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2.xml" ContentType="application/vnd.openxmlformats-officedocument.drawing+xml"/>
  <Override PartName="/xl/comments10.xml" ContentType="application/vnd.openxmlformats-officedocument.spreadsheetml.comments+xml"/>
  <Override PartName="/xl/charts/chart24.xml" ContentType="application/vnd.openxmlformats-officedocument.drawingml.chart+xml"/>
  <Override PartName="/xl/drawings/drawing3.xml" ContentType="application/vnd.openxmlformats-officedocument.drawing+xml"/>
  <Override PartName="/xl/comments1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saveExternalLinkValues="0"/>
  <mc:AlternateContent xmlns:mc="http://schemas.openxmlformats.org/markup-compatibility/2006">
    <mc:Choice Requires="x15">
      <x15ac:absPath xmlns:x15ac="http://schemas.microsoft.com/office/spreadsheetml/2010/11/ac" url="D:\Users\B. Keizer\Documents\Instrumenten\toolbox 2016\passend onderwijs\"/>
    </mc:Choice>
  </mc:AlternateContent>
  <bookViews>
    <workbookView xWindow="0" yWindow="0" windowWidth="23040" windowHeight="8820" tabRatio="876" activeTab="1"/>
  </bookViews>
  <sheets>
    <sheet name="toel" sheetId="7" r:id="rId1"/>
    <sheet name="geg LO" sheetId="1" r:id="rId2"/>
    <sheet name="geg ZO" sheetId="31" r:id="rId3"/>
    <sheet name="herbest" sheetId="47" state="hidden" r:id="rId4"/>
    <sheet name="pers" sheetId="18" r:id="rId5"/>
    <sheet name="peild SBO" sheetId="34" state="hidden" r:id="rId6"/>
    <sheet name="overdr SO" sheetId="24" state="hidden" r:id="rId7"/>
    <sheet name="peild SO" sheetId="54" r:id="rId8"/>
    <sheet name="sal pers SWV" sheetId="13" r:id="rId9"/>
    <sheet name="mat" sheetId="35" r:id="rId10"/>
    <sheet name="project" sheetId="48" r:id="rId11"/>
    <sheet name="mip" sheetId="36" r:id="rId12"/>
    <sheet name="act" sheetId="37" r:id="rId13"/>
    <sheet name="begr" sheetId="38" r:id="rId14"/>
    <sheet name="bal" sheetId="39" r:id="rId15"/>
    <sheet name="liq" sheetId="40" r:id="rId16"/>
    <sheet name="ken" sheetId="49" r:id="rId17"/>
    <sheet name="graf" sheetId="50" r:id="rId18"/>
    <sheet name="tab" sheetId="22" r:id="rId19"/>
    <sheet name="SBO" sheetId="51" state="hidden" r:id="rId20"/>
    <sheet name="bas LO" sheetId="29" state="hidden" r:id="rId21"/>
    <sheet name="bas ZO" sheetId="43" state="hidden" r:id="rId22"/>
    <sheet name="hlpbl" sheetId="28" state="hidden" r:id="rId23"/>
  </sheets>
  <definedNames>
    <definedName name="_xlnm._FilterDatabase" localSheetId="11" hidden="1">mip!$D$70:$I$71</definedName>
    <definedName name="_xlnm.Print_Area" localSheetId="12">act!$B$2:$N$46</definedName>
    <definedName name="_xlnm.Print_Area" localSheetId="14">bal!$B$2:$N$60</definedName>
    <definedName name="_xlnm.Print_Area" localSheetId="20">'bas LO'!$B$2:$AF$141</definedName>
    <definedName name="_xlnm.Print_Area" localSheetId="21">'bas ZO'!$B$2:$AF$160</definedName>
    <definedName name="_xlnm.Print_Area" localSheetId="13">begr!$B$2:$M$90</definedName>
    <definedName name="_xlnm.Print_Area" localSheetId="1">'geg LO'!$B$2:$O$112</definedName>
    <definedName name="_xlnm.Print_Area" localSheetId="2">'geg ZO'!$B$2:$Q$303</definedName>
    <definedName name="_xlnm.Print_Area" localSheetId="17">graf!$B$2:$R$142</definedName>
    <definedName name="_xlnm.Print_Area" localSheetId="3">herbest!$B$2:$M$108</definedName>
    <definedName name="_xlnm.Print_Area" localSheetId="22">hlpbl!$B$2:$L$48</definedName>
    <definedName name="_xlnm.Print_Area" localSheetId="16">ken!$B$2:$K$76</definedName>
    <definedName name="_xlnm.Print_Area" localSheetId="15">liq!$B$2:$L$55</definedName>
    <definedName name="_xlnm.Print_Area" localSheetId="9">mat!$B$2:$Q$188</definedName>
    <definedName name="_xlnm.Print_Area" localSheetId="11">mip!$B$2:$AG$72</definedName>
    <definedName name="_xlnm.Print_Area" localSheetId="6">'overdr SO'!$B$2:$R$439</definedName>
    <definedName name="_xlnm.Print_Area" localSheetId="5">'peild SBO'!$B$2:$O$204</definedName>
    <definedName name="_xlnm.Print_Area" localSheetId="7">'peild SO'!$B$2:$P$42</definedName>
    <definedName name="_xlnm.Print_Area" localSheetId="4">pers!$B$2:$Q$174</definedName>
    <definedName name="_xlnm.Print_Area" localSheetId="10">project!$B$2:$P$221</definedName>
    <definedName name="_xlnm.Print_Area" localSheetId="8">'sal pers SWV'!$B$2:$W$71</definedName>
    <definedName name="_xlnm.Print_Area" localSheetId="19">SBO!$B$2:$N$193</definedName>
    <definedName name="_xlnm.Print_Area" localSheetId="18">tab!$A$1:$K$69,tab!$A$71:$Q$141</definedName>
    <definedName name="_xlnm.Print_Area" localSheetId="0">toel!$B$2:$O$321</definedName>
    <definedName name="basisbedragMat">tab!$A$114:$D$116</definedName>
    <definedName name="basisbedragPers">tab!$A$107:$D$109</definedName>
    <definedName name="categorieMat">tab!$A$97:$D$99</definedName>
    <definedName name="categorieMat8jreo">tab!$A$101:$D$103</definedName>
    <definedName name="categoriePers">tab!$A$88:$C$90</definedName>
    <definedName name="categoriePers8jreo">tab!$A$92:$C$94</definedName>
    <definedName name="OLE_LINK1" localSheetId="0">toel!#REF!</definedName>
    <definedName name="rugzakmatbas">tab!$G$121:$K$126</definedName>
    <definedName name="rugzakmatsbo">tab!$G$136:$K$140</definedName>
    <definedName name="rugzakpersbas">tab!$G$114:$J$119</definedName>
    <definedName name="rugzakperssbo">tab!$G$130:$J$134</definedName>
    <definedName name="tabelsalaris15">tab!$A$144:$W$184</definedName>
    <definedName name="tabelsalaris16">tab!$A$188:$W$229</definedName>
    <definedName name="verhoudingstabel_LB">tab!$C$233:$D$270</definedName>
  </definedNames>
  <calcPr calcId="152511"/>
</workbook>
</file>

<file path=xl/calcChain.xml><?xml version="1.0" encoding="utf-8"?>
<calcChain xmlns="http://schemas.openxmlformats.org/spreadsheetml/2006/main">
  <c r="H83" i="22" l="1"/>
  <c r="H79" i="22"/>
  <c r="H80" i="1" l="1"/>
  <c r="Z16" i="13"/>
  <c r="W229" i="22"/>
  <c r="B229" i="22"/>
  <c r="C208" i="22"/>
  <c r="C207" i="22"/>
  <c r="W228" i="22" l="1"/>
  <c r="B228" i="22"/>
  <c r="W227" i="22"/>
  <c r="B227" i="22"/>
  <c r="W226" i="22"/>
  <c r="B226" i="22"/>
  <c r="W225" i="22"/>
  <c r="B225" i="22"/>
  <c r="W224" i="22"/>
  <c r="B224" i="22"/>
  <c r="W223" i="22"/>
  <c r="B223" i="22"/>
  <c r="W222" i="22"/>
  <c r="B222" i="22"/>
  <c r="W221" i="22"/>
  <c r="B221" i="22"/>
  <c r="W220" i="22"/>
  <c r="B220" i="22"/>
  <c r="W219" i="22"/>
  <c r="B219" i="22"/>
  <c r="W218" i="22"/>
  <c r="B218" i="22"/>
  <c r="W217" i="22"/>
  <c r="B217" i="22"/>
  <c r="W216" i="22"/>
  <c r="B216" i="22"/>
  <c r="B215" i="22"/>
  <c r="W214" i="22"/>
  <c r="B214" i="22"/>
  <c r="W213" i="22"/>
  <c r="B213" i="22"/>
  <c r="W212" i="22"/>
  <c r="B212" i="22"/>
  <c r="W211" i="22"/>
  <c r="B211" i="22"/>
  <c r="W210" i="22"/>
  <c r="B210" i="22"/>
  <c r="W209" i="22"/>
  <c r="B209" i="22"/>
  <c r="W208" i="22"/>
  <c r="B208" i="22"/>
  <c r="W207" i="22"/>
  <c r="W206" i="22"/>
  <c r="B206" i="22"/>
  <c r="W205" i="22"/>
  <c r="B205" i="22"/>
  <c r="W204" i="22"/>
  <c r="B204" i="22"/>
  <c r="W203" i="22"/>
  <c r="B203" i="22"/>
  <c r="W202" i="22"/>
  <c r="B202" i="22"/>
  <c r="W201" i="22"/>
  <c r="B201" i="22"/>
  <c r="W200" i="22"/>
  <c r="B200" i="22"/>
  <c r="W199" i="22"/>
  <c r="B199" i="22"/>
  <c r="W198" i="22"/>
  <c r="B198" i="22"/>
  <c r="W197" i="22"/>
  <c r="B197" i="22"/>
  <c r="W196" i="22"/>
  <c r="B196" i="22"/>
  <c r="W195" i="22"/>
  <c r="B195" i="22"/>
  <c r="W194" i="22"/>
  <c r="B194" i="22"/>
  <c r="W193" i="22"/>
  <c r="B193" i="22"/>
  <c r="W192" i="22"/>
  <c r="B192" i="22"/>
  <c r="W191" i="22"/>
  <c r="B191" i="22"/>
  <c r="W190" i="22"/>
  <c r="B190" i="22"/>
  <c r="W189" i="22"/>
  <c r="B189" i="22"/>
  <c r="W188" i="22"/>
  <c r="B188" i="22"/>
  <c r="E98" i="22"/>
  <c r="E99" i="22"/>
  <c r="E101" i="22"/>
  <c r="E102" i="22"/>
  <c r="E103" i="22"/>
  <c r="E97" i="22"/>
  <c r="G88" i="22"/>
  <c r="G89" i="22"/>
  <c r="G90" i="22"/>
  <c r="G92" i="22"/>
  <c r="G93" i="22"/>
  <c r="G94" i="22"/>
  <c r="G66" i="22"/>
  <c r="H66" i="22"/>
  <c r="I66" i="22"/>
  <c r="F66" i="22"/>
  <c r="E66" i="22"/>
  <c r="D66" i="22"/>
  <c r="E57" i="22"/>
  <c r="E56" i="22"/>
  <c r="E55" i="22"/>
  <c r="D49" i="22"/>
  <c r="D50" i="22"/>
  <c r="D51" i="22"/>
  <c r="C51" i="22"/>
  <c r="C50" i="22"/>
  <c r="C49" i="22"/>
  <c r="D41" i="22"/>
  <c r="D42" i="22"/>
  <c r="D43" i="22"/>
  <c r="D44" i="22"/>
  <c r="D45" i="22"/>
  <c r="D46" i="22"/>
  <c r="C46" i="22"/>
  <c r="C45" i="22"/>
  <c r="C44" i="22"/>
  <c r="C43" i="22"/>
  <c r="C42" i="22"/>
  <c r="C41" i="22"/>
  <c r="D38" i="22"/>
  <c r="B207" i="22" l="1"/>
  <c r="W215" i="22"/>
  <c r="C170" i="22"/>
  <c r="C163" i="22"/>
  <c r="C171" i="22"/>
  <c r="I16" i="18" l="1"/>
  <c r="C66" i="22" l="1"/>
  <c r="P122" i="22" l="1"/>
  <c r="P123" i="22"/>
  <c r="P124" i="22"/>
  <c r="P125" i="22"/>
  <c r="P126" i="22"/>
  <c r="F84" i="22" l="1"/>
  <c r="G84" i="22" s="1"/>
  <c r="H84" i="22" s="1"/>
  <c r="K81" i="38" l="1"/>
  <c r="K80" i="38"/>
  <c r="G80" i="38"/>
  <c r="H80" i="38"/>
  <c r="I80" i="38"/>
  <c r="J80" i="38"/>
  <c r="G81" i="38"/>
  <c r="H81" i="38"/>
  <c r="I81" i="38"/>
  <c r="J81" i="38"/>
  <c r="F81" i="38"/>
  <c r="F80" i="38"/>
  <c r="AA14" i="13" l="1"/>
  <c r="C5" i="47" l="1"/>
  <c r="G44" i="28" l="1"/>
  <c r="H44" i="28"/>
  <c r="I44" i="28"/>
  <c r="J44" i="28"/>
  <c r="F44" i="28"/>
  <c r="G34" i="28"/>
  <c r="H34" i="28"/>
  <c r="I34" i="28"/>
  <c r="J34" i="28"/>
  <c r="F34" i="28"/>
  <c r="G22" i="28"/>
  <c r="H22" i="28"/>
  <c r="I22" i="28"/>
  <c r="J22" i="28"/>
  <c r="F22" i="28"/>
  <c r="G17" i="28"/>
  <c r="H17" i="28"/>
  <c r="I17" i="28"/>
  <c r="J17" i="28"/>
  <c r="F17" i="28"/>
  <c r="G141" i="43"/>
  <c r="G142" i="43"/>
  <c r="G143" i="43"/>
  <c r="G144" i="43"/>
  <c r="G145" i="43"/>
  <c r="G146" i="43"/>
  <c r="G147" i="43"/>
  <c r="G148" i="43"/>
  <c r="G149" i="43"/>
  <c r="G150" i="43"/>
  <c r="G151" i="43"/>
  <c r="G152" i="43"/>
  <c r="G153" i="43"/>
  <c r="G154" i="43"/>
  <c r="G140" i="43"/>
  <c r="F11" i="40"/>
  <c r="O195" i="35"/>
  <c r="E202" i="13"/>
  <c r="E201" i="13"/>
  <c r="G13" i="1"/>
  <c r="J19" i="24"/>
  <c r="J246" i="24"/>
  <c r="P434" i="24"/>
  <c r="P433" i="24"/>
  <c r="P432" i="24"/>
  <c r="P431" i="24"/>
  <c r="P430" i="24"/>
  <c r="P429" i="24"/>
  <c r="P428" i="24"/>
  <c r="P427" i="24"/>
  <c r="P426" i="24"/>
  <c r="P425" i="24"/>
  <c r="P424" i="24"/>
  <c r="P423" i="24"/>
  <c r="P422" i="24"/>
  <c r="P421" i="24"/>
  <c r="P420" i="24"/>
  <c r="P419" i="24"/>
  <c r="P418" i="24"/>
  <c r="P417" i="24"/>
  <c r="P416" i="24"/>
  <c r="P415" i="24"/>
  <c r="P414" i="24"/>
  <c r="P413" i="24"/>
  <c r="P412" i="24"/>
  <c r="P411" i="24"/>
  <c r="P410" i="24"/>
  <c r="P409" i="24"/>
  <c r="P408" i="24"/>
  <c r="P407" i="24"/>
  <c r="P406" i="24"/>
  <c r="P405" i="24"/>
  <c r="P404" i="24"/>
  <c r="P403" i="24"/>
  <c r="P402" i="24"/>
  <c r="P401" i="24"/>
  <c r="P400" i="24"/>
  <c r="P399" i="24"/>
  <c r="P398" i="24"/>
  <c r="P397" i="24"/>
  <c r="P396" i="24"/>
  <c r="P395" i="24"/>
  <c r="P394" i="24"/>
  <c r="P393" i="24"/>
  <c r="P392" i="24"/>
  <c r="P391" i="24"/>
  <c r="P390" i="24"/>
  <c r="P389" i="24"/>
  <c r="P388" i="24"/>
  <c r="P387" i="24"/>
  <c r="P386" i="24"/>
  <c r="P385" i="24"/>
  <c r="P384" i="24"/>
  <c r="P383" i="24"/>
  <c r="P382" i="24"/>
  <c r="P381" i="24"/>
  <c r="P380" i="24"/>
  <c r="P379" i="24"/>
  <c r="P378" i="24"/>
  <c r="P377" i="24"/>
  <c r="P376" i="24"/>
  <c r="P375" i="24"/>
  <c r="P374" i="24"/>
  <c r="P373" i="24"/>
  <c r="P372" i="24"/>
  <c r="P371" i="24"/>
  <c r="P370" i="24"/>
  <c r="P369" i="24"/>
  <c r="P368" i="24"/>
  <c r="P367" i="24"/>
  <c r="P366" i="24"/>
  <c r="P365" i="24"/>
  <c r="P364" i="24"/>
  <c r="P363" i="24"/>
  <c r="P362" i="24"/>
  <c r="P361" i="24"/>
  <c r="P360" i="24"/>
  <c r="P359" i="24"/>
  <c r="P358" i="24"/>
  <c r="P357" i="24"/>
  <c r="P356" i="24"/>
  <c r="P355" i="24"/>
  <c r="P354" i="24"/>
  <c r="P353" i="24"/>
  <c r="P352" i="24"/>
  <c r="P351" i="24"/>
  <c r="P350" i="24"/>
  <c r="P349" i="24"/>
  <c r="P348" i="24"/>
  <c r="P347" i="24"/>
  <c r="P346" i="24"/>
  <c r="P345" i="24"/>
  <c r="P335" i="24"/>
  <c r="P334" i="24"/>
  <c r="P333" i="24"/>
  <c r="P332" i="24"/>
  <c r="P331" i="24"/>
  <c r="P330" i="24"/>
  <c r="P329" i="24"/>
  <c r="P328" i="24"/>
  <c r="P327" i="24"/>
  <c r="P326" i="24"/>
  <c r="P325" i="24"/>
  <c r="P324" i="24"/>
  <c r="P323" i="24"/>
  <c r="P322" i="24"/>
  <c r="P321" i="24"/>
  <c r="P320" i="24"/>
  <c r="P319" i="24"/>
  <c r="P318" i="24"/>
  <c r="P317" i="24"/>
  <c r="P316" i="24"/>
  <c r="P315" i="24"/>
  <c r="P314" i="24"/>
  <c r="P313" i="24"/>
  <c r="P312" i="24"/>
  <c r="P311" i="24"/>
  <c r="P310" i="24"/>
  <c r="P309" i="24"/>
  <c r="P308" i="24"/>
  <c r="P307" i="24"/>
  <c r="P306" i="24"/>
  <c r="P305" i="24"/>
  <c r="P304" i="24"/>
  <c r="P303" i="24"/>
  <c r="P302" i="24"/>
  <c r="P301" i="24"/>
  <c r="P300" i="24"/>
  <c r="P299" i="24"/>
  <c r="P298" i="24"/>
  <c r="P297" i="24"/>
  <c r="P296" i="24"/>
  <c r="P295" i="24"/>
  <c r="P294" i="24"/>
  <c r="P293" i="24"/>
  <c r="P292" i="24"/>
  <c r="P291" i="24"/>
  <c r="P290" i="24"/>
  <c r="P289" i="24"/>
  <c r="P288" i="24"/>
  <c r="P287" i="24"/>
  <c r="P286" i="24"/>
  <c r="P285" i="24"/>
  <c r="P284" i="24"/>
  <c r="P283" i="24"/>
  <c r="P282" i="24"/>
  <c r="P281" i="24"/>
  <c r="P280" i="24"/>
  <c r="P279" i="24"/>
  <c r="P278" i="24"/>
  <c r="P277" i="24"/>
  <c r="P276" i="24"/>
  <c r="P275" i="24"/>
  <c r="P274" i="24"/>
  <c r="P273" i="24"/>
  <c r="P272" i="24"/>
  <c r="P271" i="24"/>
  <c r="P270" i="24"/>
  <c r="P269" i="24"/>
  <c r="P268" i="24"/>
  <c r="P267" i="24"/>
  <c r="P266" i="24"/>
  <c r="P265" i="24"/>
  <c r="P264" i="24"/>
  <c r="P263" i="24"/>
  <c r="P262" i="24"/>
  <c r="P261" i="24"/>
  <c r="P260" i="24"/>
  <c r="P259" i="24"/>
  <c r="P258" i="24"/>
  <c r="P257" i="24"/>
  <c r="P256" i="24"/>
  <c r="P255" i="24"/>
  <c r="P254" i="24"/>
  <c r="P253" i="24"/>
  <c r="P252" i="24"/>
  <c r="P232" i="24"/>
  <c r="P231" i="24"/>
  <c r="P230" i="24"/>
  <c r="P229" i="24"/>
  <c r="P228" i="24"/>
  <c r="P227" i="24"/>
  <c r="P226" i="24"/>
  <c r="P225" i="24"/>
  <c r="P224" i="24"/>
  <c r="P223" i="24"/>
  <c r="P222" i="24"/>
  <c r="P221" i="24"/>
  <c r="P220" i="24"/>
  <c r="P219" i="24"/>
  <c r="P218" i="24"/>
  <c r="P217" i="24"/>
  <c r="P216" i="24"/>
  <c r="P215" i="24"/>
  <c r="P214" i="24"/>
  <c r="P213" i="24"/>
  <c r="P212" i="24"/>
  <c r="P211" i="24"/>
  <c r="P210" i="24"/>
  <c r="P209" i="24"/>
  <c r="P208" i="24"/>
  <c r="P207" i="24"/>
  <c r="P206" i="24"/>
  <c r="P205" i="24"/>
  <c r="P204" i="24"/>
  <c r="P203" i="24"/>
  <c r="P202" i="24"/>
  <c r="P201" i="24"/>
  <c r="P200" i="24"/>
  <c r="P199" i="24"/>
  <c r="P198" i="24"/>
  <c r="P197" i="24"/>
  <c r="P196" i="24"/>
  <c r="P195" i="24"/>
  <c r="P194" i="24"/>
  <c r="P193" i="24"/>
  <c r="P192" i="24"/>
  <c r="P191" i="24"/>
  <c r="P190" i="24"/>
  <c r="P189" i="24"/>
  <c r="P188" i="24"/>
  <c r="P187" i="24"/>
  <c r="P186" i="24"/>
  <c r="P185" i="24"/>
  <c r="P184" i="24"/>
  <c r="P183" i="24"/>
  <c r="P182" i="24"/>
  <c r="P181" i="24"/>
  <c r="P180" i="24"/>
  <c r="P179" i="24"/>
  <c r="P178" i="24"/>
  <c r="P177" i="24"/>
  <c r="P176" i="24"/>
  <c r="P175" i="24"/>
  <c r="P174" i="24"/>
  <c r="P173" i="24"/>
  <c r="P172" i="24"/>
  <c r="P171" i="24"/>
  <c r="P170" i="24"/>
  <c r="P169" i="24"/>
  <c r="P168" i="24"/>
  <c r="P167" i="24"/>
  <c r="P166" i="24"/>
  <c r="P165" i="24"/>
  <c r="P164" i="24"/>
  <c r="P163" i="24"/>
  <c r="P162" i="24"/>
  <c r="P161" i="24"/>
  <c r="P160" i="24"/>
  <c r="P159" i="24"/>
  <c r="P158" i="24"/>
  <c r="P157" i="24"/>
  <c r="P156" i="24"/>
  <c r="P155" i="24"/>
  <c r="P154" i="24"/>
  <c r="P153" i="24"/>
  <c r="P152" i="24"/>
  <c r="P151" i="24"/>
  <c r="P150" i="24"/>
  <c r="P149" i="24"/>
  <c r="P148" i="24"/>
  <c r="P147" i="24"/>
  <c r="P146" i="24"/>
  <c r="P145" i="24"/>
  <c r="P144" i="24"/>
  <c r="P143" i="24"/>
  <c r="P133" i="24"/>
  <c r="P132" i="24"/>
  <c r="P131" i="24"/>
  <c r="P130" i="24"/>
  <c r="P129" i="24"/>
  <c r="P128" i="24"/>
  <c r="P127" i="24"/>
  <c r="P126" i="24"/>
  <c r="P125" i="24"/>
  <c r="P124" i="24"/>
  <c r="P123" i="24"/>
  <c r="P122" i="24"/>
  <c r="P121" i="24"/>
  <c r="P120" i="24"/>
  <c r="P119" i="24"/>
  <c r="P118" i="24"/>
  <c r="P117" i="24"/>
  <c r="P116" i="24"/>
  <c r="P115" i="24"/>
  <c r="P114" i="24"/>
  <c r="P113" i="24"/>
  <c r="P112" i="24"/>
  <c r="P111" i="24"/>
  <c r="P110" i="24"/>
  <c r="P109" i="24"/>
  <c r="P108" i="24"/>
  <c r="P107" i="24"/>
  <c r="P106" i="24"/>
  <c r="P105" i="24"/>
  <c r="P104" i="24"/>
  <c r="P103" i="24"/>
  <c r="P102" i="24"/>
  <c r="P101" i="24"/>
  <c r="P100" i="24"/>
  <c r="P99" i="24"/>
  <c r="P98" i="24"/>
  <c r="P97" i="24"/>
  <c r="P96" i="24"/>
  <c r="P95" i="24"/>
  <c r="P94" i="24"/>
  <c r="P93" i="24"/>
  <c r="P92" i="24"/>
  <c r="P91" i="24"/>
  <c r="P90" i="24"/>
  <c r="P89" i="24"/>
  <c r="P88" i="24"/>
  <c r="P87" i="24"/>
  <c r="P86" i="24"/>
  <c r="P85" i="24"/>
  <c r="P84" i="24"/>
  <c r="P83" i="24"/>
  <c r="P82" i="24"/>
  <c r="P81" i="24"/>
  <c r="P80" i="24"/>
  <c r="P79" i="24"/>
  <c r="P78" i="24"/>
  <c r="P77" i="24"/>
  <c r="P76" i="24"/>
  <c r="P75" i="24"/>
  <c r="P74" i="24"/>
  <c r="P73" i="24"/>
  <c r="P72" i="24"/>
  <c r="P71" i="24"/>
  <c r="P70" i="24"/>
  <c r="P69" i="24"/>
  <c r="P68" i="24"/>
  <c r="P67" i="24"/>
  <c r="P66" i="24"/>
  <c r="P65" i="24"/>
  <c r="P64" i="24"/>
  <c r="P63" i="24"/>
  <c r="P62" i="24"/>
  <c r="P61" i="24"/>
  <c r="P60" i="24"/>
  <c r="P59" i="24"/>
  <c r="P58" i="24"/>
  <c r="P57" i="24"/>
  <c r="P56" i="24"/>
  <c r="P55" i="24"/>
  <c r="P54" i="24"/>
  <c r="P53" i="24"/>
  <c r="P52" i="24"/>
  <c r="P51" i="24"/>
  <c r="P50" i="24"/>
  <c r="O434" i="24"/>
  <c r="O433" i="24"/>
  <c r="O432" i="24"/>
  <c r="O431" i="24"/>
  <c r="O430" i="24"/>
  <c r="O429" i="24"/>
  <c r="O428" i="24"/>
  <c r="O427" i="24"/>
  <c r="O426" i="24"/>
  <c r="O425" i="24"/>
  <c r="O424" i="24"/>
  <c r="O423" i="24"/>
  <c r="O422" i="24"/>
  <c r="O421" i="24"/>
  <c r="O420" i="24"/>
  <c r="O419" i="24"/>
  <c r="O418" i="24"/>
  <c r="O417" i="24"/>
  <c r="O416" i="24"/>
  <c r="O415" i="24"/>
  <c r="O414" i="24"/>
  <c r="O413" i="24"/>
  <c r="O412" i="24"/>
  <c r="O411" i="24"/>
  <c r="O410" i="24"/>
  <c r="O409" i="24"/>
  <c r="O408" i="24"/>
  <c r="O407" i="24"/>
  <c r="O406" i="24"/>
  <c r="O405" i="24"/>
  <c r="O404" i="24"/>
  <c r="O403" i="24"/>
  <c r="O402" i="24"/>
  <c r="O401" i="24"/>
  <c r="O400" i="24"/>
  <c r="O399" i="24"/>
  <c r="O398" i="24"/>
  <c r="O397" i="24"/>
  <c r="O396" i="24"/>
  <c r="O395" i="24"/>
  <c r="O394" i="24"/>
  <c r="O393" i="24"/>
  <c r="O392" i="24"/>
  <c r="O391" i="24"/>
  <c r="O390" i="24"/>
  <c r="O389" i="24"/>
  <c r="O388" i="24"/>
  <c r="O387" i="24"/>
  <c r="O386" i="24"/>
  <c r="O385" i="24"/>
  <c r="O384" i="24"/>
  <c r="O383" i="24"/>
  <c r="O382" i="24"/>
  <c r="O381" i="24"/>
  <c r="O380" i="24"/>
  <c r="O379" i="24"/>
  <c r="O378" i="24"/>
  <c r="O377" i="24"/>
  <c r="O376" i="24"/>
  <c r="O375" i="24"/>
  <c r="O374" i="24"/>
  <c r="O373" i="24"/>
  <c r="O372" i="24"/>
  <c r="O371" i="24"/>
  <c r="O370" i="24"/>
  <c r="O369" i="24"/>
  <c r="O368" i="24"/>
  <c r="O367" i="24"/>
  <c r="O366" i="24"/>
  <c r="O365" i="24"/>
  <c r="O364" i="24"/>
  <c r="O363" i="24"/>
  <c r="O362" i="24"/>
  <c r="O361" i="24"/>
  <c r="O360" i="24"/>
  <c r="O359" i="24"/>
  <c r="O358" i="24"/>
  <c r="O357" i="24"/>
  <c r="O356" i="24"/>
  <c r="O355" i="24"/>
  <c r="O354" i="24"/>
  <c r="O353" i="24"/>
  <c r="O352" i="24"/>
  <c r="O351" i="24"/>
  <c r="O350" i="24"/>
  <c r="O349" i="24"/>
  <c r="O348" i="24"/>
  <c r="O347" i="24"/>
  <c r="O346" i="24"/>
  <c r="O345" i="24"/>
  <c r="O335" i="24"/>
  <c r="O334" i="24"/>
  <c r="O333" i="24"/>
  <c r="O332" i="24"/>
  <c r="O331" i="24"/>
  <c r="O330" i="24"/>
  <c r="O329" i="24"/>
  <c r="O328" i="24"/>
  <c r="O327" i="24"/>
  <c r="O326" i="24"/>
  <c r="O325" i="24"/>
  <c r="O324" i="24"/>
  <c r="O323" i="24"/>
  <c r="O322" i="24"/>
  <c r="O321" i="24"/>
  <c r="O320" i="24"/>
  <c r="O319" i="24"/>
  <c r="O318" i="24"/>
  <c r="O317" i="24"/>
  <c r="O316" i="24"/>
  <c r="O315" i="24"/>
  <c r="O314" i="24"/>
  <c r="O313" i="24"/>
  <c r="O312" i="24"/>
  <c r="O311" i="24"/>
  <c r="O310" i="24"/>
  <c r="O309" i="24"/>
  <c r="O308" i="24"/>
  <c r="O307" i="24"/>
  <c r="O306" i="24"/>
  <c r="O305" i="24"/>
  <c r="O304" i="24"/>
  <c r="O303" i="24"/>
  <c r="O302" i="24"/>
  <c r="O301" i="24"/>
  <c r="O300" i="24"/>
  <c r="O299" i="24"/>
  <c r="O298" i="24"/>
  <c r="O297" i="24"/>
  <c r="O296" i="24"/>
  <c r="O295" i="24"/>
  <c r="O294" i="24"/>
  <c r="O293" i="24"/>
  <c r="O292" i="24"/>
  <c r="O291" i="24"/>
  <c r="O290" i="24"/>
  <c r="O289" i="24"/>
  <c r="O288" i="24"/>
  <c r="O287" i="24"/>
  <c r="O286" i="24"/>
  <c r="O285" i="24"/>
  <c r="O284" i="24"/>
  <c r="O283" i="24"/>
  <c r="O282" i="24"/>
  <c r="O281" i="24"/>
  <c r="O280" i="24"/>
  <c r="O279" i="24"/>
  <c r="O278" i="24"/>
  <c r="O277" i="24"/>
  <c r="O276" i="24"/>
  <c r="O275" i="24"/>
  <c r="O274" i="24"/>
  <c r="O273" i="24"/>
  <c r="O272" i="24"/>
  <c r="O271" i="24"/>
  <c r="O270" i="24"/>
  <c r="O269" i="24"/>
  <c r="O268" i="24"/>
  <c r="O267" i="24"/>
  <c r="O266" i="24"/>
  <c r="O265" i="24"/>
  <c r="O264" i="24"/>
  <c r="O263" i="24"/>
  <c r="O262" i="24"/>
  <c r="O261" i="24"/>
  <c r="O260" i="24"/>
  <c r="O259" i="24"/>
  <c r="O258" i="24"/>
  <c r="O257" i="24"/>
  <c r="O256" i="24"/>
  <c r="O255" i="24"/>
  <c r="O254" i="24"/>
  <c r="O253" i="24"/>
  <c r="O252" i="24"/>
  <c r="O232" i="24"/>
  <c r="O231" i="24"/>
  <c r="O230" i="24"/>
  <c r="O229" i="24"/>
  <c r="O228" i="24"/>
  <c r="O227" i="24"/>
  <c r="O226" i="24"/>
  <c r="O225" i="24"/>
  <c r="O224" i="24"/>
  <c r="O223" i="24"/>
  <c r="O222" i="24"/>
  <c r="O221" i="24"/>
  <c r="O220" i="24"/>
  <c r="O219" i="24"/>
  <c r="O218" i="24"/>
  <c r="O217" i="24"/>
  <c r="O216" i="24"/>
  <c r="O215" i="24"/>
  <c r="O214" i="24"/>
  <c r="O213" i="24"/>
  <c r="O212" i="24"/>
  <c r="O211" i="24"/>
  <c r="O210" i="24"/>
  <c r="O209" i="24"/>
  <c r="O208" i="24"/>
  <c r="O207" i="24"/>
  <c r="O206" i="24"/>
  <c r="O205" i="24"/>
  <c r="O204" i="24"/>
  <c r="O203" i="24"/>
  <c r="O202" i="24"/>
  <c r="O201" i="24"/>
  <c r="O200" i="24"/>
  <c r="O199" i="24"/>
  <c r="O198" i="24"/>
  <c r="O197" i="24"/>
  <c r="O196" i="24"/>
  <c r="O195" i="24"/>
  <c r="O194" i="24"/>
  <c r="O193" i="24"/>
  <c r="O192" i="24"/>
  <c r="O191" i="24"/>
  <c r="O190" i="24"/>
  <c r="O189" i="24"/>
  <c r="O188" i="24"/>
  <c r="O187" i="24"/>
  <c r="O186" i="24"/>
  <c r="O185" i="24"/>
  <c r="O184" i="24"/>
  <c r="O183" i="24"/>
  <c r="O182" i="24"/>
  <c r="O181" i="24"/>
  <c r="O180" i="24"/>
  <c r="O179" i="24"/>
  <c r="O178" i="24"/>
  <c r="O177" i="24"/>
  <c r="O176" i="24"/>
  <c r="O175" i="24"/>
  <c r="O174" i="24"/>
  <c r="O173" i="24"/>
  <c r="O172" i="24"/>
  <c r="O171" i="24"/>
  <c r="O170" i="24"/>
  <c r="O169" i="24"/>
  <c r="O168" i="24"/>
  <c r="O167" i="24"/>
  <c r="O166" i="24"/>
  <c r="O165" i="24"/>
  <c r="O164" i="24"/>
  <c r="O163" i="24"/>
  <c r="O162" i="24"/>
  <c r="O161" i="24"/>
  <c r="O160" i="24"/>
  <c r="O159" i="24"/>
  <c r="O158" i="24"/>
  <c r="O157" i="24"/>
  <c r="O156" i="24"/>
  <c r="O155" i="24"/>
  <c r="O154" i="24"/>
  <c r="O153" i="24"/>
  <c r="O152" i="24"/>
  <c r="O151" i="24"/>
  <c r="O150" i="24"/>
  <c r="O149" i="24"/>
  <c r="O148" i="24"/>
  <c r="O147" i="24"/>
  <c r="O146" i="24"/>
  <c r="O145" i="24"/>
  <c r="O144" i="24"/>
  <c r="O143" i="24"/>
  <c r="O133" i="24"/>
  <c r="O132" i="24"/>
  <c r="O131" i="24"/>
  <c r="O130" i="24"/>
  <c r="O129" i="24"/>
  <c r="O128" i="24"/>
  <c r="O127" i="24"/>
  <c r="O126" i="24"/>
  <c r="O125" i="24"/>
  <c r="O124" i="24"/>
  <c r="O123" i="24"/>
  <c r="O122" i="24"/>
  <c r="O121" i="24"/>
  <c r="O120" i="24"/>
  <c r="O119" i="24"/>
  <c r="O118" i="24"/>
  <c r="O117" i="24"/>
  <c r="O116" i="24"/>
  <c r="O115" i="24"/>
  <c r="O114" i="24"/>
  <c r="O113" i="24"/>
  <c r="O112" i="24"/>
  <c r="O111" i="24"/>
  <c r="O110" i="24"/>
  <c r="O109" i="24"/>
  <c r="O108" i="24"/>
  <c r="O107" i="24"/>
  <c r="O106" i="24"/>
  <c r="O105" i="24"/>
  <c r="O104" i="24"/>
  <c r="O103" i="24"/>
  <c r="O102" i="24"/>
  <c r="O101" i="24"/>
  <c r="O100" i="24"/>
  <c r="O99" i="24"/>
  <c r="O98" i="24"/>
  <c r="O97" i="24"/>
  <c r="O96" i="24"/>
  <c r="O95" i="24"/>
  <c r="O94" i="24"/>
  <c r="O93" i="24"/>
  <c r="O92" i="24"/>
  <c r="O91" i="24"/>
  <c r="O90" i="24"/>
  <c r="O89" i="24"/>
  <c r="O88" i="24"/>
  <c r="O87" i="24"/>
  <c r="O86" i="24"/>
  <c r="O85" i="24"/>
  <c r="O84" i="24"/>
  <c r="O83" i="24"/>
  <c r="O82" i="24"/>
  <c r="O81" i="24"/>
  <c r="O80" i="24"/>
  <c r="O79" i="24"/>
  <c r="O78" i="24"/>
  <c r="O77" i="24"/>
  <c r="O76" i="24"/>
  <c r="O75" i="24"/>
  <c r="O74" i="24"/>
  <c r="O73" i="24"/>
  <c r="O72" i="24"/>
  <c r="O71" i="24"/>
  <c r="O70" i="24"/>
  <c r="O69" i="24"/>
  <c r="O68" i="24"/>
  <c r="O67" i="24"/>
  <c r="O66" i="24"/>
  <c r="O65" i="24"/>
  <c r="O64" i="24"/>
  <c r="O63" i="24"/>
  <c r="O62" i="24"/>
  <c r="O61" i="24"/>
  <c r="O60" i="24"/>
  <c r="O59" i="24"/>
  <c r="O58" i="24"/>
  <c r="O57" i="24"/>
  <c r="O56" i="24"/>
  <c r="O55" i="24"/>
  <c r="O54" i="24"/>
  <c r="O53" i="24"/>
  <c r="O52" i="24"/>
  <c r="O51" i="24"/>
  <c r="O50" i="24"/>
  <c r="N434" i="24"/>
  <c r="N433" i="24"/>
  <c r="N432" i="24"/>
  <c r="N431" i="24"/>
  <c r="N430" i="24"/>
  <c r="N429" i="24"/>
  <c r="N428" i="24"/>
  <c r="N427" i="24"/>
  <c r="N426" i="24"/>
  <c r="N425" i="24"/>
  <c r="N424" i="24"/>
  <c r="N423" i="24"/>
  <c r="N422" i="24"/>
  <c r="N421" i="24"/>
  <c r="N420" i="24"/>
  <c r="N419" i="24"/>
  <c r="N418" i="24"/>
  <c r="N417" i="24"/>
  <c r="N416" i="24"/>
  <c r="N415" i="24"/>
  <c r="N414" i="24"/>
  <c r="N413" i="24"/>
  <c r="N412" i="24"/>
  <c r="N411" i="24"/>
  <c r="N410" i="24"/>
  <c r="N409" i="24"/>
  <c r="N408" i="24"/>
  <c r="N407" i="24"/>
  <c r="N406" i="24"/>
  <c r="N405" i="24"/>
  <c r="N404" i="24"/>
  <c r="N403" i="24"/>
  <c r="N402" i="24"/>
  <c r="N401" i="24"/>
  <c r="N400" i="24"/>
  <c r="N399" i="24"/>
  <c r="N398" i="24"/>
  <c r="N397" i="24"/>
  <c r="N396" i="24"/>
  <c r="N395" i="24"/>
  <c r="N394" i="24"/>
  <c r="N393" i="24"/>
  <c r="N392" i="24"/>
  <c r="N391" i="24"/>
  <c r="N390" i="24"/>
  <c r="N389" i="24"/>
  <c r="N388" i="24"/>
  <c r="N387" i="24"/>
  <c r="N386" i="24"/>
  <c r="N385" i="24"/>
  <c r="N384" i="24"/>
  <c r="N383" i="24"/>
  <c r="N382" i="24"/>
  <c r="N381" i="24"/>
  <c r="N380" i="24"/>
  <c r="N379" i="24"/>
  <c r="N378" i="24"/>
  <c r="N377" i="24"/>
  <c r="N376" i="24"/>
  <c r="N375" i="24"/>
  <c r="N374" i="24"/>
  <c r="N373" i="24"/>
  <c r="N372" i="24"/>
  <c r="N371" i="24"/>
  <c r="N370" i="24"/>
  <c r="N369" i="24"/>
  <c r="N368" i="24"/>
  <c r="N367" i="24"/>
  <c r="N366" i="24"/>
  <c r="N365" i="24"/>
  <c r="N364" i="24"/>
  <c r="N363" i="24"/>
  <c r="N362" i="24"/>
  <c r="N361" i="24"/>
  <c r="N360" i="24"/>
  <c r="N359" i="24"/>
  <c r="N358" i="24"/>
  <c r="N357" i="24"/>
  <c r="N356" i="24"/>
  <c r="N355" i="24"/>
  <c r="N354" i="24"/>
  <c r="N353" i="24"/>
  <c r="N352" i="24"/>
  <c r="N351" i="24"/>
  <c r="N350" i="24"/>
  <c r="N349" i="24"/>
  <c r="N348" i="24"/>
  <c r="N347" i="24"/>
  <c r="N346" i="24"/>
  <c r="N345" i="24"/>
  <c r="N335" i="24"/>
  <c r="N334" i="24"/>
  <c r="N333" i="24"/>
  <c r="N332" i="24"/>
  <c r="N331" i="24"/>
  <c r="N330" i="24"/>
  <c r="N329" i="24"/>
  <c r="N328" i="24"/>
  <c r="N327" i="24"/>
  <c r="N326" i="24"/>
  <c r="N325" i="24"/>
  <c r="N324" i="24"/>
  <c r="N323" i="24"/>
  <c r="N322" i="24"/>
  <c r="N321" i="24"/>
  <c r="N320" i="24"/>
  <c r="N319" i="24"/>
  <c r="N318" i="24"/>
  <c r="N317" i="24"/>
  <c r="N316" i="24"/>
  <c r="N315" i="24"/>
  <c r="N314" i="24"/>
  <c r="N313" i="24"/>
  <c r="N312" i="24"/>
  <c r="N311" i="24"/>
  <c r="N310" i="24"/>
  <c r="N309" i="24"/>
  <c r="N308" i="24"/>
  <c r="N307" i="24"/>
  <c r="N306" i="24"/>
  <c r="N305" i="24"/>
  <c r="N304" i="24"/>
  <c r="N303" i="24"/>
  <c r="N302" i="24"/>
  <c r="N301" i="24"/>
  <c r="N300" i="24"/>
  <c r="N299" i="24"/>
  <c r="N298" i="24"/>
  <c r="N297" i="24"/>
  <c r="N296" i="24"/>
  <c r="N295" i="24"/>
  <c r="N294" i="24"/>
  <c r="N293" i="24"/>
  <c r="N292" i="24"/>
  <c r="N291" i="24"/>
  <c r="N290" i="24"/>
  <c r="N289" i="24"/>
  <c r="N288" i="24"/>
  <c r="N287" i="24"/>
  <c r="N286" i="24"/>
  <c r="N285" i="24"/>
  <c r="N284" i="24"/>
  <c r="N283" i="24"/>
  <c r="N282" i="24"/>
  <c r="N281" i="24"/>
  <c r="N280" i="24"/>
  <c r="N279" i="24"/>
  <c r="N278" i="24"/>
  <c r="N277" i="24"/>
  <c r="N276" i="24"/>
  <c r="N275" i="24"/>
  <c r="N274" i="24"/>
  <c r="N273" i="24"/>
  <c r="N272" i="24"/>
  <c r="N271" i="24"/>
  <c r="N270" i="24"/>
  <c r="N269" i="24"/>
  <c r="N268" i="24"/>
  <c r="N267" i="24"/>
  <c r="N266" i="24"/>
  <c r="N265" i="24"/>
  <c r="N264" i="24"/>
  <c r="N263" i="24"/>
  <c r="N262" i="24"/>
  <c r="N261" i="24"/>
  <c r="N260" i="24"/>
  <c r="N259" i="24"/>
  <c r="N258" i="24"/>
  <c r="N257" i="24"/>
  <c r="N256" i="24"/>
  <c r="N255" i="24"/>
  <c r="N254" i="24"/>
  <c r="N253" i="24"/>
  <c r="N252" i="24"/>
  <c r="N232" i="24"/>
  <c r="N231" i="24"/>
  <c r="N230" i="24"/>
  <c r="N229" i="24"/>
  <c r="N228" i="24"/>
  <c r="N227" i="24"/>
  <c r="N226" i="24"/>
  <c r="N225" i="24"/>
  <c r="N224" i="24"/>
  <c r="N223" i="24"/>
  <c r="N222" i="24"/>
  <c r="N221" i="24"/>
  <c r="N220" i="24"/>
  <c r="N219" i="24"/>
  <c r="N218" i="24"/>
  <c r="N217" i="24"/>
  <c r="N216" i="24"/>
  <c r="N215" i="24"/>
  <c r="N214" i="24"/>
  <c r="N213" i="24"/>
  <c r="N212" i="24"/>
  <c r="N211" i="24"/>
  <c r="N210" i="24"/>
  <c r="N209" i="24"/>
  <c r="N208" i="24"/>
  <c r="N207" i="24"/>
  <c r="N206" i="24"/>
  <c r="N205" i="24"/>
  <c r="N204" i="24"/>
  <c r="N203" i="24"/>
  <c r="N202" i="24"/>
  <c r="N201" i="24"/>
  <c r="N200" i="24"/>
  <c r="N199" i="24"/>
  <c r="N198" i="24"/>
  <c r="N197" i="24"/>
  <c r="N196" i="24"/>
  <c r="N195" i="24"/>
  <c r="N194" i="24"/>
  <c r="N193" i="24"/>
  <c r="N192" i="24"/>
  <c r="N191" i="24"/>
  <c r="N190" i="24"/>
  <c r="N189" i="24"/>
  <c r="N188" i="24"/>
  <c r="N187" i="24"/>
  <c r="N186" i="24"/>
  <c r="N185" i="24"/>
  <c r="N184" i="24"/>
  <c r="N183" i="24"/>
  <c r="N182" i="24"/>
  <c r="N181" i="24"/>
  <c r="N180" i="24"/>
  <c r="N179" i="24"/>
  <c r="N178" i="24"/>
  <c r="N177" i="24"/>
  <c r="N176" i="24"/>
  <c r="N175" i="24"/>
  <c r="N174" i="24"/>
  <c r="N173" i="24"/>
  <c r="N172" i="24"/>
  <c r="N171" i="24"/>
  <c r="N170" i="24"/>
  <c r="N169" i="24"/>
  <c r="N168" i="24"/>
  <c r="N167" i="24"/>
  <c r="N166" i="24"/>
  <c r="N165" i="24"/>
  <c r="N164" i="24"/>
  <c r="N163" i="24"/>
  <c r="N162" i="24"/>
  <c r="N161" i="24"/>
  <c r="N160" i="24"/>
  <c r="N159" i="24"/>
  <c r="N158" i="24"/>
  <c r="N157" i="24"/>
  <c r="N156" i="24"/>
  <c r="N155" i="24"/>
  <c r="N154" i="24"/>
  <c r="N153" i="24"/>
  <c r="N152" i="24"/>
  <c r="N151" i="24"/>
  <c r="N150" i="24"/>
  <c r="N149" i="24"/>
  <c r="N148" i="24"/>
  <c r="N147" i="24"/>
  <c r="N146" i="24"/>
  <c r="N145" i="24"/>
  <c r="N144" i="24"/>
  <c r="N143" i="24"/>
  <c r="N133" i="24"/>
  <c r="N132" i="24"/>
  <c r="N131" i="24"/>
  <c r="N130" i="24"/>
  <c r="N129" i="24"/>
  <c r="N128" i="24"/>
  <c r="N127" i="24"/>
  <c r="N126" i="24"/>
  <c r="N125" i="24"/>
  <c r="N124" i="24"/>
  <c r="N123" i="24"/>
  <c r="N122" i="24"/>
  <c r="N121" i="24"/>
  <c r="N120" i="24"/>
  <c r="N119" i="24"/>
  <c r="N118" i="24"/>
  <c r="N117" i="24"/>
  <c r="N116" i="24"/>
  <c r="N115" i="24"/>
  <c r="N114" i="24"/>
  <c r="N113" i="24"/>
  <c r="N112" i="24"/>
  <c r="N111" i="24"/>
  <c r="N110" i="24"/>
  <c r="N109" i="24"/>
  <c r="N108" i="24"/>
  <c r="N107" i="24"/>
  <c r="N106" i="24"/>
  <c r="N105" i="24"/>
  <c r="N104" i="24"/>
  <c r="N103" i="24"/>
  <c r="N102" i="24"/>
  <c r="N101" i="24"/>
  <c r="N100" i="24"/>
  <c r="N99" i="24"/>
  <c r="N98" i="24"/>
  <c r="N97" i="24"/>
  <c r="N96" i="24"/>
  <c r="N95" i="24"/>
  <c r="N94" i="24"/>
  <c r="N93" i="24"/>
  <c r="N92" i="24"/>
  <c r="N91" i="24"/>
  <c r="N90" i="24"/>
  <c r="N89" i="24"/>
  <c r="N88" i="24"/>
  <c r="N87" i="24"/>
  <c r="N86" i="24"/>
  <c r="N85" i="24"/>
  <c r="N84" i="24"/>
  <c r="N83" i="24"/>
  <c r="N82" i="24"/>
  <c r="N81" i="24"/>
  <c r="N80" i="24"/>
  <c r="N79" i="24"/>
  <c r="N78" i="24"/>
  <c r="N77" i="24"/>
  <c r="N76" i="24"/>
  <c r="N75" i="24"/>
  <c r="N74" i="24"/>
  <c r="N73" i="24"/>
  <c r="N72" i="24"/>
  <c r="N71" i="24"/>
  <c r="N70" i="24"/>
  <c r="N69" i="24"/>
  <c r="N68" i="24"/>
  <c r="N67" i="24"/>
  <c r="N66" i="24"/>
  <c r="N65" i="24"/>
  <c r="N64" i="24"/>
  <c r="N63" i="24"/>
  <c r="N62" i="24"/>
  <c r="N61" i="24"/>
  <c r="N60" i="24"/>
  <c r="N59" i="24"/>
  <c r="N58" i="24"/>
  <c r="N57" i="24"/>
  <c r="N56" i="24"/>
  <c r="N55" i="24"/>
  <c r="N54" i="24"/>
  <c r="N53" i="24"/>
  <c r="N52" i="24"/>
  <c r="N51" i="24"/>
  <c r="N50" i="24"/>
  <c r="M434" i="24"/>
  <c r="M433" i="24"/>
  <c r="M432" i="24"/>
  <c r="M431" i="24"/>
  <c r="M430" i="24"/>
  <c r="M429" i="24"/>
  <c r="M428" i="24"/>
  <c r="M427" i="24"/>
  <c r="M426" i="24"/>
  <c r="M425" i="24"/>
  <c r="M424" i="24"/>
  <c r="M423" i="24"/>
  <c r="M422" i="24"/>
  <c r="M421" i="24"/>
  <c r="M420" i="24"/>
  <c r="M419" i="24"/>
  <c r="M418" i="24"/>
  <c r="M417" i="24"/>
  <c r="M416" i="24"/>
  <c r="M415" i="24"/>
  <c r="M414" i="24"/>
  <c r="M413" i="24"/>
  <c r="M412" i="24"/>
  <c r="M411" i="24"/>
  <c r="M410" i="24"/>
  <c r="M409" i="24"/>
  <c r="M408" i="24"/>
  <c r="M407" i="24"/>
  <c r="M406" i="24"/>
  <c r="M405" i="24"/>
  <c r="M404" i="24"/>
  <c r="M403" i="24"/>
  <c r="M402" i="24"/>
  <c r="M401" i="24"/>
  <c r="M400" i="24"/>
  <c r="M399" i="24"/>
  <c r="M398" i="24"/>
  <c r="M397" i="24"/>
  <c r="M396" i="24"/>
  <c r="M395" i="24"/>
  <c r="M394" i="24"/>
  <c r="M393" i="24"/>
  <c r="M392" i="24"/>
  <c r="M391" i="24"/>
  <c r="M390" i="24"/>
  <c r="M389" i="24"/>
  <c r="M388" i="24"/>
  <c r="M387" i="24"/>
  <c r="M386" i="24"/>
  <c r="M385" i="24"/>
  <c r="M384" i="24"/>
  <c r="M383" i="24"/>
  <c r="M382" i="24"/>
  <c r="M381" i="24"/>
  <c r="M380" i="24"/>
  <c r="M379" i="24"/>
  <c r="M378" i="24"/>
  <c r="M377" i="24"/>
  <c r="M376" i="24"/>
  <c r="M375" i="24"/>
  <c r="M374" i="24"/>
  <c r="M373" i="24"/>
  <c r="M372" i="24"/>
  <c r="M371" i="24"/>
  <c r="M370" i="24"/>
  <c r="M369" i="24"/>
  <c r="M368" i="24"/>
  <c r="M367" i="24"/>
  <c r="M366" i="24"/>
  <c r="M365" i="24"/>
  <c r="M364" i="24"/>
  <c r="M363" i="24"/>
  <c r="M362" i="24"/>
  <c r="M361" i="24"/>
  <c r="M360" i="24"/>
  <c r="M359" i="24"/>
  <c r="M358" i="24"/>
  <c r="M357" i="24"/>
  <c r="M356" i="24"/>
  <c r="M355" i="24"/>
  <c r="M354" i="24"/>
  <c r="M353" i="24"/>
  <c r="M352" i="24"/>
  <c r="M351" i="24"/>
  <c r="M350" i="24"/>
  <c r="M349" i="24"/>
  <c r="M348" i="24"/>
  <c r="M347" i="24"/>
  <c r="M346" i="24"/>
  <c r="M345" i="24"/>
  <c r="M335" i="24"/>
  <c r="M334" i="24"/>
  <c r="M333" i="24"/>
  <c r="M332" i="24"/>
  <c r="M331" i="24"/>
  <c r="M330" i="24"/>
  <c r="M329" i="24"/>
  <c r="M328" i="24"/>
  <c r="M327" i="24"/>
  <c r="M326" i="24"/>
  <c r="M325" i="24"/>
  <c r="M324" i="24"/>
  <c r="M323" i="24"/>
  <c r="M322" i="24"/>
  <c r="M321" i="24"/>
  <c r="M320" i="24"/>
  <c r="M319" i="24"/>
  <c r="M318" i="24"/>
  <c r="M317" i="24"/>
  <c r="M316" i="24"/>
  <c r="M315" i="24"/>
  <c r="M314" i="24"/>
  <c r="M313" i="24"/>
  <c r="M312" i="24"/>
  <c r="M311" i="24"/>
  <c r="M310" i="24"/>
  <c r="M309" i="24"/>
  <c r="M308" i="24"/>
  <c r="M307" i="24"/>
  <c r="M306" i="24"/>
  <c r="M305" i="24"/>
  <c r="M304" i="24"/>
  <c r="M303" i="24"/>
  <c r="M302" i="24"/>
  <c r="M301" i="24"/>
  <c r="M300" i="24"/>
  <c r="M299" i="24"/>
  <c r="M298" i="24"/>
  <c r="M297" i="24"/>
  <c r="M296" i="24"/>
  <c r="M295" i="24"/>
  <c r="M294" i="24"/>
  <c r="M293" i="24"/>
  <c r="M292" i="24"/>
  <c r="M291" i="24"/>
  <c r="M290" i="24"/>
  <c r="M289" i="24"/>
  <c r="M288" i="24"/>
  <c r="M287" i="24"/>
  <c r="M286" i="24"/>
  <c r="M285" i="24"/>
  <c r="M284" i="24"/>
  <c r="M283" i="24"/>
  <c r="M282" i="24"/>
  <c r="M281" i="24"/>
  <c r="M280" i="24"/>
  <c r="M279" i="24"/>
  <c r="M278" i="24"/>
  <c r="M277" i="24"/>
  <c r="M276" i="24"/>
  <c r="M275" i="24"/>
  <c r="M274" i="24"/>
  <c r="M273" i="24"/>
  <c r="M272" i="24"/>
  <c r="M271" i="24"/>
  <c r="M270" i="24"/>
  <c r="M269" i="24"/>
  <c r="M268" i="24"/>
  <c r="M267" i="24"/>
  <c r="M266" i="24"/>
  <c r="M265" i="24"/>
  <c r="M264" i="24"/>
  <c r="M263" i="24"/>
  <c r="M262" i="24"/>
  <c r="M261" i="24"/>
  <c r="M260" i="24"/>
  <c r="M259" i="24"/>
  <c r="M258" i="24"/>
  <c r="M257" i="24"/>
  <c r="M256" i="24"/>
  <c r="M255" i="24"/>
  <c r="M254" i="24"/>
  <c r="M253" i="24"/>
  <c r="M252" i="24"/>
  <c r="M232" i="24"/>
  <c r="M231" i="24"/>
  <c r="M230" i="24"/>
  <c r="M229" i="24"/>
  <c r="M228" i="24"/>
  <c r="M227" i="24"/>
  <c r="M226" i="24"/>
  <c r="M225" i="24"/>
  <c r="M224" i="24"/>
  <c r="M223" i="24"/>
  <c r="M222" i="24"/>
  <c r="M221" i="24"/>
  <c r="M220" i="24"/>
  <c r="M219" i="24"/>
  <c r="M218" i="24"/>
  <c r="M217" i="24"/>
  <c r="M216" i="24"/>
  <c r="M215" i="24"/>
  <c r="M214" i="24"/>
  <c r="M213" i="24"/>
  <c r="M212" i="24"/>
  <c r="M211" i="24"/>
  <c r="M210" i="24"/>
  <c r="M209" i="24"/>
  <c r="M208" i="24"/>
  <c r="M207" i="24"/>
  <c r="M206" i="24"/>
  <c r="M205" i="24"/>
  <c r="M204" i="24"/>
  <c r="M203" i="24"/>
  <c r="M202" i="24"/>
  <c r="M201" i="24"/>
  <c r="M200" i="24"/>
  <c r="M199" i="24"/>
  <c r="M198" i="24"/>
  <c r="M197" i="24"/>
  <c r="M196" i="24"/>
  <c r="M195" i="24"/>
  <c r="M194" i="24"/>
  <c r="M193" i="24"/>
  <c r="M192" i="24"/>
  <c r="M191" i="24"/>
  <c r="M190" i="24"/>
  <c r="M189" i="24"/>
  <c r="M188" i="24"/>
  <c r="M187" i="24"/>
  <c r="M186" i="24"/>
  <c r="M185" i="24"/>
  <c r="M184" i="24"/>
  <c r="M183" i="24"/>
  <c r="M182" i="24"/>
  <c r="M181" i="24"/>
  <c r="M180" i="24"/>
  <c r="M179" i="24"/>
  <c r="M178" i="24"/>
  <c r="M177" i="24"/>
  <c r="M176" i="24"/>
  <c r="M175" i="24"/>
  <c r="M174" i="24"/>
  <c r="M173" i="24"/>
  <c r="M172" i="24"/>
  <c r="M171" i="24"/>
  <c r="M170" i="24"/>
  <c r="M169" i="24"/>
  <c r="M168" i="24"/>
  <c r="M167" i="24"/>
  <c r="M166" i="24"/>
  <c r="M165" i="24"/>
  <c r="M164" i="24"/>
  <c r="M163" i="24"/>
  <c r="M162" i="24"/>
  <c r="M161" i="24"/>
  <c r="M160" i="24"/>
  <c r="M159" i="24"/>
  <c r="M158" i="24"/>
  <c r="M157" i="24"/>
  <c r="M156" i="24"/>
  <c r="M155" i="24"/>
  <c r="M154" i="24"/>
  <c r="M153" i="24"/>
  <c r="M152" i="24"/>
  <c r="M151" i="24"/>
  <c r="M150" i="24"/>
  <c r="M149" i="24"/>
  <c r="M148" i="24"/>
  <c r="M147" i="24"/>
  <c r="M146" i="24"/>
  <c r="M145" i="24"/>
  <c r="M144" i="24"/>
  <c r="M143" i="24"/>
  <c r="M133" i="24"/>
  <c r="M132" i="24"/>
  <c r="M131" i="24"/>
  <c r="M130" i="24"/>
  <c r="M129" i="24"/>
  <c r="M128" i="24"/>
  <c r="M127" i="24"/>
  <c r="M126" i="24"/>
  <c r="M125" i="24"/>
  <c r="M124" i="24"/>
  <c r="M123" i="24"/>
  <c r="M122" i="24"/>
  <c r="M121" i="24"/>
  <c r="M120" i="24"/>
  <c r="M119" i="24"/>
  <c r="M118" i="24"/>
  <c r="M117" i="24"/>
  <c r="M116" i="24"/>
  <c r="M115" i="24"/>
  <c r="M114" i="24"/>
  <c r="M113" i="24"/>
  <c r="M112" i="24"/>
  <c r="M111" i="24"/>
  <c r="M110" i="24"/>
  <c r="M109" i="24"/>
  <c r="M108" i="24"/>
  <c r="M107" i="24"/>
  <c r="M106" i="24"/>
  <c r="M105" i="24"/>
  <c r="M104" i="24"/>
  <c r="M103" i="24"/>
  <c r="M102" i="24"/>
  <c r="M101" i="24"/>
  <c r="M100" i="24"/>
  <c r="M99" i="24"/>
  <c r="M98" i="24"/>
  <c r="M97" i="24"/>
  <c r="M96" i="24"/>
  <c r="M95" i="24"/>
  <c r="M94" i="24"/>
  <c r="M93" i="24"/>
  <c r="M92" i="24"/>
  <c r="M91" i="24"/>
  <c r="M90" i="24"/>
  <c r="M89" i="24"/>
  <c r="M88" i="24"/>
  <c r="M87" i="24"/>
  <c r="M86" i="24"/>
  <c r="M85" i="24"/>
  <c r="M84" i="24"/>
  <c r="M83" i="24"/>
  <c r="M82" i="24"/>
  <c r="M81" i="24"/>
  <c r="M80" i="24"/>
  <c r="M79" i="24"/>
  <c r="M78" i="24"/>
  <c r="M77" i="24"/>
  <c r="M76" i="24"/>
  <c r="M75" i="24"/>
  <c r="M74" i="24"/>
  <c r="M73" i="24"/>
  <c r="M72" i="24"/>
  <c r="M71" i="24"/>
  <c r="M70" i="24"/>
  <c r="M69" i="24"/>
  <c r="M68" i="24"/>
  <c r="M67" i="24"/>
  <c r="M66" i="24"/>
  <c r="M65" i="24"/>
  <c r="M64" i="24"/>
  <c r="M63" i="24"/>
  <c r="M62" i="24"/>
  <c r="M61" i="24"/>
  <c r="M60" i="24"/>
  <c r="M59" i="24"/>
  <c r="M58" i="24"/>
  <c r="M57" i="24"/>
  <c r="M56" i="24"/>
  <c r="M55" i="24"/>
  <c r="M54" i="24"/>
  <c r="M53" i="24"/>
  <c r="M52" i="24"/>
  <c r="M51" i="24"/>
  <c r="M50" i="24"/>
  <c r="L434" i="24"/>
  <c r="L433" i="24"/>
  <c r="L432" i="24"/>
  <c r="L431" i="24"/>
  <c r="L430" i="24"/>
  <c r="L429" i="24"/>
  <c r="L428" i="24"/>
  <c r="L427" i="24"/>
  <c r="L426" i="24"/>
  <c r="L425" i="24"/>
  <c r="L424" i="24"/>
  <c r="L423" i="24"/>
  <c r="L422" i="24"/>
  <c r="L421" i="24"/>
  <c r="L420" i="24"/>
  <c r="L419" i="24"/>
  <c r="L418" i="24"/>
  <c r="L417" i="24"/>
  <c r="L416" i="24"/>
  <c r="L415" i="24"/>
  <c r="L414" i="24"/>
  <c r="L413" i="24"/>
  <c r="L412" i="24"/>
  <c r="L411" i="24"/>
  <c r="L410" i="24"/>
  <c r="L409" i="24"/>
  <c r="L408" i="24"/>
  <c r="L407" i="24"/>
  <c r="L406" i="24"/>
  <c r="L405" i="24"/>
  <c r="L404" i="24"/>
  <c r="L403" i="24"/>
  <c r="L402" i="24"/>
  <c r="L401" i="24"/>
  <c r="L400" i="24"/>
  <c r="L399" i="24"/>
  <c r="L398" i="24"/>
  <c r="L397" i="24"/>
  <c r="L396" i="24"/>
  <c r="L395" i="24"/>
  <c r="L394" i="24"/>
  <c r="L393" i="24"/>
  <c r="L392" i="24"/>
  <c r="L391" i="24"/>
  <c r="L390" i="24"/>
  <c r="L389" i="24"/>
  <c r="L388" i="24"/>
  <c r="L387" i="24"/>
  <c r="L386" i="24"/>
  <c r="L385" i="24"/>
  <c r="L384" i="24"/>
  <c r="L383" i="24"/>
  <c r="L382" i="24"/>
  <c r="L381" i="24"/>
  <c r="L380" i="24"/>
  <c r="L379" i="24"/>
  <c r="L378" i="24"/>
  <c r="L377" i="24"/>
  <c r="L376" i="24"/>
  <c r="L375" i="24"/>
  <c r="L374" i="24"/>
  <c r="L373" i="24"/>
  <c r="L372" i="24"/>
  <c r="L371" i="24"/>
  <c r="L370" i="24"/>
  <c r="L369" i="24"/>
  <c r="L368" i="24"/>
  <c r="L367" i="24"/>
  <c r="L366" i="24"/>
  <c r="L365" i="24"/>
  <c r="L364" i="24"/>
  <c r="L363" i="24"/>
  <c r="L362" i="24"/>
  <c r="L361" i="24"/>
  <c r="L360" i="24"/>
  <c r="L359" i="24"/>
  <c r="L358" i="24"/>
  <c r="L357" i="24"/>
  <c r="L356" i="24"/>
  <c r="L355" i="24"/>
  <c r="L354" i="24"/>
  <c r="L353" i="24"/>
  <c r="L352" i="24"/>
  <c r="L351" i="24"/>
  <c r="L350" i="24"/>
  <c r="L349" i="24"/>
  <c r="L348" i="24"/>
  <c r="L347" i="24"/>
  <c r="L346" i="24"/>
  <c r="L345" i="24"/>
  <c r="L335" i="24"/>
  <c r="L334" i="24"/>
  <c r="L333" i="24"/>
  <c r="L332" i="24"/>
  <c r="L331" i="24"/>
  <c r="L330" i="24"/>
  <c r="L329" i="24"/>
  <c r="L328" i="24"/>
  <c r="L327" i="24"/>
  <c r="L326" i="24"/>
  <c r="L325" i="24"/>
  <c r="L324" i="24"/>
  <c r="L323" i="24"/>
  <c r="L322" i="24"/>
  <c r="L321" i="24"/>
  <c r="L320" i="24"/>
  <c r="L319" i="24"/>
  <c r="L318" i="24"/>
  <c r="L317" i="24"/>
  <c r="L316" i="24"/>
  <c r="L315" i="24"/>
  <c r="L314" i="24"/>
  <c r="L313" i="24"/>
  <c r="L312" i="24"/>
  <c r="L311" i="24"/>
  <c r="L310" i="24"/>
  <c r="L309" i="24"/>
  <c r="L308" i="24"/>
  <c r="L307" i="24"/>
  <c r="L306" i="24"/>
  <c r="L305" i="24"/>
  <c r="L304" i="24"/>
  <c r="L303" i="24"/>
  <c r="L302" i="24"/>
  <c r="L301" i="24"/>
  <c r="L300" i="24"/>
  <c r="L299" i="24"/>
  <c r="L298" i="24"/>
  <c r="L297" i="24"/>
  <c r="L296" i="24"/>
  <c r="L295" i="24"/>
  <c r="L294" i="24"/>
  <c r="L293" i="24"/>
  <c r="L292" i="24"/>
  <c r="L291" i="24"/>
  <c r="L290" i="24"/>
  <c r="L289" i="24"/>
  <c r="L288" i="24"/>
  <c r="L287" i="24"/>
  <c r="L286" i="24"/>
  <c r="L285" i="24"/>
  <c r="L284" i="24"/>
  <c r="L283" i="24"/>
  <c r="L282" i="24"/>
  <c r="L281" i="24"/>
  <c r="L280" i="24"/>
  <c r="L279" i="24"/>
  <c r="L278" i="24"/>
  <c r="L277" i="24"/>
  <c r="L276" i="24"/>
  <c r="L275" i="24"/>
  <c r="L274" i="24"/>
  <c r="L273" i="24"/>
  <c r="L272" i="24"/>
  <c r="L271" i="24"/>
  <c r="L270" i="24"/>
  <c r="L269" i="24"/>
  <c r="L268" i="24"/>
  <c r="L267" i="24"/>
  <c r="L266" i="24"/>
  <c r="L265" i="24"/>
  <c r="L264" i="24"/>
  <c r="L263" i="24"/>
  <c r="L262" i="24"/>
  <c r="L261" i="24"/>
  <c r="L260" i="24"/>
  <c r="L259" i="24"/>
  <c r="L258" i="24"/>
  <c r="L257" i="24"/>
  <c r="L256" i="24"/>
  <c r="L255" i="24"/>
  <c r="L254" i="24"/>
  <c r="L253" i="24"/>
  <c r="L252" i="24"/>
  <c r="L232" i="24"/>
  <c r="L231" i="24"/>
  <c r="L230" i="24"/>
  <c r="L229" i="24"/>
  <c r="L228" i="24"/>
  <c r="L227" i="24"/>
  <c r="L226" i="24"/>
  <c r="L225" i="24"/>
  <c r="L224" i="24"/>
  <c r="L223" i="24"/>
  <c r="L222" i="24"/>
  <c r="L221" i="24"/>
  <c r="L220" i="24"/>
  <c r="L219" i="24"/>
  <c r="L218" i="24"/>
  <c r="L217" i="24"/>
  <c r="L216" i="24"/>
  <c r="L215" i="24"/>
  <c r="L214" i="24"/>
  <c r="L213" i="24"/>
  <c r="L212" i="24"/>
  <c r="L211" i="24"/>
  <c r="L210" i="24"/>
  <c r="L209" i="24"/>
  <c r="L208" i="24"/>
  <c r="L207" i="24"/>
  <c r="L206" i="24"/>
  <c r="L205" i="24"/>
  <c r="L204" i="24"/>
  <c r="L203" i="24"/>
  <c r="L202" i="24"/>
  <c r="L201" i="24"/>
  <c r="L200" i="24"/>
  <c r="L199" i="24"/>
  <c r="L198" i="24"/>
  <c r="L197" i="24"/>
  <c r="L196" i="24"/>
  <c r="L195" i="24"/>
  <c r="L194" i="24"/>
  <c r="L193" i="24"/>
  <c r="L192" i="24"/>
  <c r="L191" i="24"/>
  <c r="L190" i="24"/>
  <c r="L189" i="24"/>
  <c r="L188" i="24"/>
  <c r="L187" i="24"/>
  <c r="L186" i="24"/>
  <c r="L185" i="24"/>
  <c r="L184" i="24"/>
  <c r="L183" i="24"/>
  <c r="L182" i="24"/>
  <c r="L181" i="24"/>
  <c r="L180" i="24"/>
  <c r="L179" i="24"/>
  <c r="L178" i="24"/>
  <c r="L177" i="24"/>
  <c r="L176" i="24"/>
  <c r="L175" i="24"/>
  <c r="L174" i="24"/>
  <c r="L173" i="24"/>
  <c r="L172" i="24"/>
  <c r="L171" i="24"/>
  <c r="L170" i="24"/>
  <c r="L169" i="24"/>
  <c r="L168" i="24"/>
  <c r="L167" i="24"/>
  <c r="L166" i="24"/>
  <c r="L165" i="24"/>
  <c r="L164" i="24"/>
  <c r="L163" i="24"/>
  <c r="L162" i="24"/>
  <c r="L161" i="24"/>
  <c r="L160" i="24"/>
  <c r="L159" i="24"/>
  <c r="L158" i="24"/>
  <c r="L157" i="24"/>
  <c r="L156" i="24"/>
  <c r="L155" i="24"/>
  <c r="L154" i="24"/>
  <c r="L153" i="24"/>
  <c r="L152" i="24"/>
  <c r="L151" i="24"/>
  <c r="L150" i="24"/>
  <c r="L149" i="24"/>
  <c r="L148" i="24"/>
  <c r="L147" i="24"/>
  <c r="L146" i="24"/>
  <c r="L145" i="24"/>
  <c r="L144" i="24"/>
  <c r="L143" i="24"/>
  <c r="L133" i="24"/>
  <c r="L132" i="24"/>
  <c r="L131" i="24"/>
  <c r="L130" i="24"/>
  <c r="L129" i="24"/>
  <c r="L128" i="24"/>
  <c r="L127" i="24"/>
  <c r="L126" i="24"/>
  <c r="L125" i="24"/>
  <c r="L124" i="24"/>
  <c r="L123" i="24"/>
  <c r="L122" i="24"/>
  <c r="L121" i="24"/>
  <c r="L120" i="24"/>
  <c r="L119" i="24"/>
  <c r="L118" i="24"/>
  <c r="L117" i="24"/>
  <c r="L116" i="24"/>
  <c r="L115" i="24"/>
  <c r="L114" i="24"/>
  <c r="L113" i="24"/>
  <c r="L112" i="24"/>
  <c r="L111" i="24"/>
  <c r="L110" i="24"/>
  <c r="L109" i="24"/>
  <c r="L108" i="24"/>
  <c r="L107" i="24"/>
  <c r="L106" i="24"/>
  <c r="L105" i="24"/>
  <c r="L104" i="24"/>
  <c r="L103" i="24"/>
  <c r="L102" i="24"/>
  <c r="L101" i="24"/>
  <c r="L100" i="24"/>
  <c r="L99" i="24"/>
  <c r="L98" i="24"/>
  <c r="L97" i="24"/>
  <c r="L96" i="24"/>
  <c r="L95" i="24"/>
  <c r="L94" i="24"/>
  <c r="L93" i="24"/>
  <c r="L92" i="24"/>
  <c r="L91" i="24"/>
  <c r="L90" i="24"/>
  <c r="L89" i="24"/>
  <c r="L88" i="24"/>
  <c r="L87" i="24"/>
  <c r="L86" i="24"/>
  <c r="L85" i="24"/>
  <c r="L84" i="24"/>
  <c r="L83" i="24"/>
  <c r="L82" i="24"/>
  <c r="L81" i="24"/>
  <c r="L80" i="24"/>
  <c r="L79" i="24"/>
  <c r="L78" i="24"/>
  <c r="L77" i="24"/>
  <c r="L76" i="24"/>
  <c r="L75" i="24"/>
  <c r="L74" i="24"/>
  <c r="L73" i="24"/>
  <c r="L72" i="24"/>
  <c r="L71" i="24"/>
  <c r="L70" i="24"/>
  <c r="L69" i="24"/>
  <c r="L68" i="24"/>
  <c r="L67" i="24"/>
  <c r="L66" i="24"/>
  <c r="L65" i="24"/>
  <c r="L64" i="24"/>
  <c r="L63" i="24"/>
  <c r="L62" i="24"/>
  <c r="L61" i="24"/>
  <c r="L60" i="24"/>
  <c r="L59" i="24"/>
  <c r="L58" i="24"/>
  <c r="L57" i="24"/>
  <c r="L56" i="24"/>
  <c r="L55" i="24"/>
  <c r="L54" i="24"/>
  <c r="L53" i="24"/>
  <c r="L52" i="24"/>
  <c r="L51" i="24"/>
  <c r="L50" i="24"/>
  <c r="K434" i="24"/>
  <c r="K433" i="24"/>
  <c r="K432" i="24"/>
  <c r="K431" i="24"/>
  <c r="K430" i="24"/>
  <c r="K429" i="24"/>
  <c r="K428" i="24"/>
  <c r="K427" i="24"/>
  <c r="K426" i="24"/>
  <c r="K425" i="24"/>
  <c r="K424" i="24"/>
  <c r="K423" i="24"/>
  <c r="K422" i="24"/>
  <c r="K421" i="24"/>
  <c r="K420" i="24"/>
  <c r="K419" i="24"/>
  <c r="K418" i="24"/>
  <c r="K417" i="24"/>
  <c r="K416" i="24"/>
  <c r="K415" i="24"/>
  <c r="K414" i="24"/>
  <c r="K413" i="24"/>
  <c r="K412" i="24"/>
  <c r="K411" i="24"/>
  <c r="K410" i="24"/>
  <c r="K409" i="24"/>
  <c r="K408" i="24"/>
  <c r="K407" i="24"/>
  <c r="K406" i="24"/>
  <c r="K405" i="24"/>
  <c r="K404" i="24"/>
  <c r="K403" i="24"/>
  <c r="K402" i="24"/>
  <c r="K401" i="24"/>
  <c r="K400" i="24"/>
  <c r="K399" i="24"/>
  <c r="K398" i="24"/>
  <c r="K397" i="24"/>
  <c r="K396" i="24"/>
  <c r="K395" i="24"/>
  <c r="K394" i="24"/>
  <c r="K393" i="24"/>
  <c r="K392" i="24"/>
  <c r="K391" i="24"/>
  <c r="K390" i="24"/>
  <c r="K389" i="24"/>
  <c r="K388" i="24"/>
  <c r="K387" i="24"/>
  <c r="K386" i="24"/>
  <c r="K385" i="24"/>
  <c r="K384" i="24"/>
  <c r="K383" i="24"/>
  <c r="K382" i="24"/>
  <c r="K381" i="24"/>
  <c r="K380" i="24"/>
  <c r="K379" i="24"/>
  <c r="K378" i="24"/>
  <c r="K377" i="24"/>
  <c r="K376" i="24"/>
  <c r="K375" i="24"/>
  <c r="K374" i="24"/>
  <c r="K373" i="24"/>
  <c r="K372" i="24"/>
  <c r="K371" i="24"/>
  <c r="K370" i="24"/>
  <c r="K369" i="24"/>
  <c r="K368" i="24"/>
  <c r="K367" i="24"/>
  <c r="K366" i="24"/>
  <c r="K365" i="24"/>
  <c r="K364" i="24"/>
  <c r="K363" i="24"/>
  <c r="K362" i="24"/>
  <c r="K361" i="24"/>
  <c r="K360" i="24"/>
  <c r="K359" i="24"/>
  <c r="K358" i="24"/>
  <c r="K357" i="24"/>
  <c r="K356" i="24"/>
  <c r="K355" i="24"/>
  <c r="K354" i="24"/>
  <c r="K353" i="24"/>
  <c r="K352" i="24"/>
  <c r="K351" i="24"/>
  <c r="K350" i="24"/>
  <c r="K349" i="24"/>
  <c r="K348" i="24"/>
  <c r="K347" i="24"/>
  <c r="K346" i="24"/>
  <c r="K345" i="24"/>
  <c r="K335" i="24"/>
  <c r="K334" i="24"/>
  <c r="K333" i="24"/>
  <c r="K332" i="24"/>
  <c r="K331" i="24"/>
  <c r="K330" i="24"/>
  <c r="K329" i="24"/>
  <c r="K328" i="24"/>
  <c r="K327" i="24"/>
  <c r="K326" i="24"/>
  <c r="K325" i="24"/>
  <c r="K324" i="24"/>
  <c r="K323" i="24"/>
  <c r="K322" i="24"/>
  <c r="K321" i="24"/>
  <c r="K320" i="24"/>
  <c r="K319" i="24"/>
  <c r="K318" i="24"/>
  <c r="K317" i="24"/>
  <c r="K316" i="24"/>
  <c r="K315" i="24"/>
  <c r="K314" i="24"/>
  <c r="K313" i="24"/>
  <c r="K312" i="24"/>
  <c r="K311" i="24"/>
  <c r="K310" i="24"/>
  <c r="K309" i="24"/>
  <c r="K308" i="24"/>
  <c r="K307" i="24"/>
  <c r="K306" i="24"/>
  <c r="K305" i="24"/>
  <c r="K304" i="24"/>
  <c r="K303" i="24"/>
  <c r="K302" i="24"/>
  <c r="K301" i="24"/>
  <c r="K300" i="24"/>
  <c r="K299" i="24"/>
  <c r="K298" i="24"/>
  <c r="K297" i="24"/>
  <c r="K296" i="24"/>
  <c r="K295" i="24"/>
  <c r="K294" i="24"/>
  <c r="K293" i="24"/>
  <c r="K292" i="24"/>
  <c r="K291" i="24"/>
  <c r="K290" i="24"/>
  <c r="K289" i="24"/>
  <c r="K288" i="24"/>
  <c r="K287" i="24"/>
  <c r="K286" i="24"/>
  <c r="K285" i="24"/>
  <c r="K284" i="24"/>
  <c r="K283" i="24"/>
  <c r="K282" i="24"/>
  <c r="K281" i="24"/>
  <c r="K280" i="24"/>
  <c r="K279" i="24"/>
  <c r="K278" i="24"/>
  <c r="K277" i="24"/>
  <c r="K276" i="24"/>
  <c r="K275" i="24"/>
  <c r="K274" i="24"/>
  <c r="K273" i="24"/>
  <c r="K272" i="24"/>
  <c r="K271" i="24"/>
  <c r="K270" i="24"/>
  <c r="K269" i="24"/>
  <c r="K268" i="24"/>
  <c r="K267" i="24"/>
  <c r="K266" i="24"/>
  <c r="K265" i="24"/>
  <c r="K264" i="24"/>
  <c r="K263" i="24"/>
  <c r="K262" i="24"/>
  <c r="K261" i="24"/>
  <c r="K260" i="24"/>
  <c r="K259" i="24"/>
  <c r="K258" i="24"/>
  <c r="K257" i="24"/>
  <c r="K256" i="24"/>
  <c r="K255" i="24"/>
  <c r="K254" i="24"/>
  <c r="K253" i="24"/>
  <c r="K252" i="24"/>
  <c r="K232" i="24"/>
  <c r="K231" i="24"/>
  <c r="K230" i="24"/>
  <c r="K229" i="24"/>
  <c r="K228" i="24"/>
  <c r="K227" i="24"/>
  <c r="K226" i="24"/>
  <c r="K225" i="24"/>
  <c r="K224" i="24"/>
  <c r="K223" i="24"/>
  <c r="K222" i="24"/>
  <c r="K221" i="24"/>
  <c r="K220" i="24"/>
  <c r="K219" i="24"/>
  <c r="K218" i="24"/>
  <c r="K217" i="24"/>
  <c r="K216" i="24"/>
  <c r="K215" i="24"/>
  <c r="K214" i="24"/>
  <c r="K213" i="24"/>
  <c r="K212" i="24"/>
  <c r="K211" i="24"/>
  <c r="K210" i="24"/>
  <c r="K209" i="24"/>
  <c r="K208" i="24"/>
  <c r="K207" i="24"/>
  <c r="K206" i="24"/>
  <c r="K205" i="24"/>
  <c r="K204" i="24"/>
  <c r="K203" i="24"/>
  <c r="K202" i="24"/>
  <c r="K201" i="24"/>
  <c r="K200" i="24"/>
  <c r="K199" i="24"/>
  <c r="K198" i="24"/>
  <c r="K197" i="24"/>
  <c r="K196" i="24"/>
  <c r="K195" i="24"/>
  <c r="K194" i="24"/>
  <c r="K193" i="24"/>
  <c r="K192" i="24"/>
  <c r="K191" i="24"/>
  <c r="K190" i="24"/>
  <c r="K189" i="24"/>
  <c r="K188" i="24"/>
  <c r="K187" i="24"/>
  <c r="K186" i="24"/>
  <c r="K185" i="24"/>
  <c r="K184" i="24"/>
  <c r="K183" i="24"/>
  <c r="K182" i="24"/>
  <c r="K181" i="24"/>
  <c r="K180" i="24"/>
  <c r="K179" i="24"/>
  <c r="K178" i="24"/>
  <c r="K177" i="24"/>
  <c r="K176" i="24"/>
  <c r="K175" i="24"/>
  <c r="K174" i="24"/>
  <c r="K173" i="24"/>
  <c r="K172" i="24"/>
  <c r="K171" i="24"/>
  <c r="K170" i="24"/>
  <c r="K169" i="24"/>
  <c r="K168" i="24"/>
  <c r="K167" i="24"/>
  <c r="K166" i="24"/>
  <c r="K165" i="24"/>
  <c r="K164" i="24"/>
  <c r="K163" i="24"/>
  <c r="K162" i="24"/>
  <c r="K161" i="24"/>
  <c r="K160" i="24"/>
  <c r="K159" i="24"/>
  <c r="K158" i="24"/>
  <c r="K157" i="24"/>
  <c r="K156" i="24"/>
  <c r="K155" i="24"/>
  <c r="K154" i="24"/>
  <c r="K153" i="24"/>
  <c r="K152" i="24"/>
  <c r="K151" i="24"/>
  <c r="K150" i="24"/>
  <c r="K149" i="24"/>
  <c r="K148" i="24"/>
  <c r="K147" i="24"/>
  <c r="K146" i="24"/>
  <c r="K145" i="24"/>
  <c r="K144" i="24"/>
  <c r="K143" i="24"/>
  <c r="K133" i="24"/>
  <c r="K132" i="24"/>
  <c r="K131" i="24"/>
  <c r="K130" i="24"/>
  <c r="K129" i="24"/>
  <c r="K128" i="24"/>
  <c r="K127" i="24"/>
  <c r="K126" i="24"/>
  <c r="K125" i="24"/>
  <c r="K124" i="24"/>
  <c r="K123" i="24"/>
  <c r="K122" i="24"/>
  <c r="K121" i="24"/>
  <c r="K120" i="24"/>
  <c r="K119" i="24"/>
  <c r="K118" i="24"/>
  <c r="K117" i="24"/>
  <c r="K116" i="24"/>
  <c r="K115" i="24"/>
  <c r="K114" i="24"/>
  <c r="K113" i="24"/>
  <c r="K112" i="24"/>
  <c r="K111" i="24"/>
  <c r="K110" i="24"/>
  <c r="K109" i="24"/>
  <c r="K108" i="24"/>
  <c r="K107" i="24"/>
  <c r="K106" i="24"/>
  <c r="K105" i="24"/>
  <c r="K104" i="24"/>
  <c r="K103" i="24"/>
  <c r="K102" i="24"/>
  <c r="K101" i="24"/>
  <c r="K100" i="24"/>
  <c r="K99" i="24"/>
  <c r="K98" i="24"/>
  <c r="K97" i="24"/>
  <c r="K96" i="24"/>
  <c r="K95" i="24"/>
  <c r="K94" i="24"/>
  <c r="K93" i="24"/>
  <c r="K92" i="24"/>
  <c r="K91" i="24"/>
  <c r="K90" i="24"/>
  <c r="K89" i="24"/>
  <c r="K88" i="24"/>
  <c r="K87" i="24"/>
  <c r="K86" i="24"/>
  <c r="K85" i="24"/>
  <c r="K84" i="24"/>
  <c r="K83" i="24"/>
  <c r="K82" i="24"/>
  <c r="K81" i="24"/>
  <c r="K80" i="24"/>
  <c r="K79" i="24"/>
  <c r="K78" i="24"/>
  <c r="K77" i="24"/>
  <c r="K76" i="24"/>
  <c r="K75" i="24"/>
  <c r="K74" i="24"/>
  <c r="K73" i="24"/>
  <c r="K72" i="24"/>
  <c r="K71" i="24"/>
  <c r="K70" i="24"/>
  <c r="K69" i="24"/>
  <c r="K68" i="24"/>
  <c r="K67" i="24"/>
  <c r="K66" i="24"/>
  <c r="K65" i="24"/>
  <c r="K64" i="24"/>
  <c r="K63" i="24"/>
  <c r="K62" i="24"/>
  <c r="K61" i="24"/>
  <c r="K60" i="24"/>
  <c r="K59" i="24"/>
  <c r="K58" i="24"/>
  <c r="K57" i="24"/>
  <c r="K56" i="24"/>
  <c r="K55" i="24"/>
  <c r="K54" i="24"/>
  <c r="K53" i="24"/>
  <c r="K52" i="24"/>
  <c r="K51" i="24"/>
  <c r="K50" i="24"/>
  <c r="J434" i="24"/>
  <c r="J433" i="24"/>
  <c r="J432" i="24"/>
  <c r="J431" i="24"/>
  <c r="J430" i="24"/>
  <c r="J429" i="24"/>
  <c r="J428" i="24"/>
  <c r="J427" i="24"/>
  <c r="J426" i="24"/>
  <c r="J425" i="24"/>
  <c r="J424" i="24"/>
  <c r="J423" i="24"/>
  <c r="J422" i="24"/>
  <c r="J421" i="24"/>
  <c r="J420" i="24"/>
  <c r="J419" i="24"/>
  <c r="J418" i="24"/>
  <c r="J417" i="24"/>
  <c r="J416" i="24"/>
  <c r="J415" i="24"/>
  <c r="J414" i="24"/>
  <c r="J413" i="24"/>
  <c r="J412" i="24"/>
  <c r="J411" i="24"/>
  <c r="J410" i="24"/>
  <c r="J409" i="24"/>
  <c r="J408" i="24"/>
  <c r="J407" i="24"/>
  <c r="J406" i="24"/>
  <c r="J405" i="24"/>
  <c r="J404" i="24"/>
  <c r="J403" i="24"/>
  <c r="J402" i="24"/>
  <c r="J401" i="24"/>
  <c r="J400" i="24"/>
  <c r="J399" i="24"/>
  <c r="J398" i="24"/>
  <c r="J397" i="24"/>
  <c r="J396" i="24"/>
  <c r="J395" i="24"/>
  <c r="J394" i="24"/>
  <c r="J393" i="24"/>
  <c r="J392" i="24"/>
  <c r="J391" i="24"/>
  <c r="J390" i="24"/>
  <c r="J389" i="24"/>
  <c r="J388" i="24"/>
  <c r="J387" i="24"/>
  <c r="J386" i="24"/>
  <c r="J385" i="24"/>
  <c r="J384" i="24"/>
  <c r="J383" i="24"/>
  <c r="J382" i="24"/>
  <c r="J381" i="24"/>
  <c r="J380" i="24"/>
  <c r="J379" i="24"/>
  <c r="J378" i="24"/>
  <c r="J377" i="24"/>
  <c r="J376" i="24"/>
  <c r="J375" i="24"/>
  <c r="J374" i="24"/>
  <c r="J373" i="24"/>
  <c r="J372" i="24"/>
  <c r="J371" i="24"/>
  <c r="J370" i="24"/>
  <c r="J369" i="24"/>
  <c r="J368" i="24"/>
  <c r="J367" i="24"/>
  <c r="J366" i="24"/>
  <c r="J365" i="24"/>
  <c r="J364" i="24"/>
  <c r="J363" i="24"/>
  <c r="J362" i="24"/>
  <c r="J361" i="24"/>
  <c r="J360" i="24"/>
  <c r="J359" i="24"/>
  <c r="J358" i="24"/>
  <c r="J357" i="24"/>
  <c r="J356" i="24"/>
  <c r="J355" i="24"/>
  <c r="J354" i="24"/>
  <c r="J353" i="24"/>
  <c r="J352" i="24"/>
  <c r="J351" i="24"/>
  <c r="J350" i="24"/>
  <c r="J349" i="24"/>
  <c r="J348" i="24"/>
  <c r="J347" i="24"/>
  <c r="J346" i="24"/>
  <c r="J345" i="24"/>
  <c r="J335" i="24"/>
  <c r="J334" i="24"/>
  <c r="J333" i="24"/>
  <c r="J332" i="24"/>
  <c r="J331" i="24"/>
  <c r="J330" i="24"/>
  <c r="J329" i="24"/>
  <c r="J328" i="24"/>
  <c r="J327" i="24"/>
  <c r="J326" i="24"/>
  <c r="J325" i="24"/>
  <c r="J324" i="24"/>
  <c r="J323" i="24"/>
  <c r="J322" i="24"/>
  <c r="J321" i="24"/>
  <c r="J320" i="24"/>
  <c r="J319" i="24"/>
  <c r="J318" i="24"/>
  <c r="J317" i="24"/>
  <c r="J316" i="24"/>
  <c r="J315" i="24"/>
  <c r="J314" i="24"/>
  <c r="J313" i="24"/>
  <c r="J312" i="24"/>
  <c r="J311" i="24"/>
  <c r="J310" i="24"/>
  <c r="J309" i="24"/>
  <c r="J308" i="24"/>
  <c r="J307" i="24"/>
  <c r="J306" i="24"/>
  <c r="J305" i="24"/>
  <c r="J304" i="24"/>
  <c r="J303" i="24"/>
  <c r="J302" i="24"/>
  <c r="J301" i="24"/>
  <c r="J300" i="24"/>
  <c r="J299" i="24"/>
  <c r="J298" i="24"/>
  <c r="J297" i="24"/>
  <c r="J296" i="24"/>
  <c r="J295" i="24"/>
  <c r="J294" i="24"/>
  <c r="J293" i="24"/>
  <c r="J292" i="24"/>
  <c r="J291" i="24"/>
  <c r="J290" i="24"/>
  <c r="J289" i="24"/>
  <c r="J288" i="24"/>
  <c r="J287" i="24"/>
  <c r="J286" i="24"/>
  <c r="J285" i="24"/>
  <c r="J284" i="24"/>
  <c r="J283" i="24"/>
  <c r="J282" i="24"/>
  <c r="J281" i="24"/>
  <c r="J280" i="24"/>
  <c r="J279" i="24"/>
  <c r="J278" i="24"/>
  <c r="J277" i="24"/>
  <c r="J276" i="24"/>
  <c r="J275" i="24"/>
  <c r="J274" i="24"/>
  <c r="J273" i="24"/>
  <c r="J272" i="24"/>
  <c r="J271" i="24"/>
  <c r="J270" i="24"/>
  <c r="J269" i="24"/>
  <c r="J268" i="24"/>
  <c r="J267" i="24"/>
  <c r="J266" i="24"/>
  <c r="J265" i="24"/>
  <c r="J264" i="24"/>
  <c r="J263" i="24"/>
  <c r="J262" i="24"/>
  <c r="J261" i="24"/>
  <c r="J260" i="24"/>
  <c r="J259" i="24"/>
  <c r="J258" i="24"/>
  <c r="J257" i="24"/>
  <c r="J256" i="24"/>
  <c r="J255" i="24"/>
  <c r="J254" i="24"/>
  <c r="J253" i="24"/>
  <c r="J252" i="24"/>
  <c r="J251" i="24"/>
  <c r="J250" i="24"/>
  <c r="J249" i="24"/>
  <c r="J248" i="24"/>
  <c r="J247" i="24"/>
  <c r="J232" i="24"/>
  <c r="J231" i="24"/>
  <c r="J230" i="24"/>
  <c r="J229" i="24"/>
  <c r="J228" i="24"/>
  <c r="J227" i="24"/>
  <c r="J226" i="24"/>
  <c r="J225" i="24"/>
  <c r="J224" i="24"/>
  <c r="J223" i="24"/>
  <c r="J222" i="24"/>
  <c r="J221" i="24"/>
  <c r="J220" i="24"/>
  <c r="J219" i="24"/>
  <c r="J218" i="24"/>
  <c r="J217" i="24"/>
  <c r="J216" i="24"/>
  <c r="J215" i="24"/>
  <c r="J214" i="24"/>
  <c r="J213" i="24"/>
  <c r="J212" i="24"/>
  <c r="J211" i="24"/>
  <c r="J210" i="24"/>
  <c r="J209" i="24"/>
  <c r="J208" i="24"/>
  <c r="J207" i="24"/>
  <c r="J206" i="24"/>
  <c r="J205" i="24"/>
  <c r="J204" i="24"/>
  <c r="J203" i="24"/>
  <c r="J202" i="24"/>
  <c r="J201" i="24"/>
  <c r="J200" i="24"/>
  <c r="J199" i="24"/>
  <c r="J198" i="24"/>
  <c r="J197" i="24"/>
  <c r="J196" i="24"/>
  <c r="J195" i="24"/>
  <c r="J194" i="24"/>
  <c r="J193" i="24"/>
  <c r="J192" i="24"/>
  <c r="J191" i="24"/>
  <c r="J190" i="24"/>
  <c r="J189" i="24"/>
  <c r="J188" i="24"/>
  <c r="J187" i="24"/>
  <c r="J186" i="24"/>
  <c r="J185" i="24"/>
  <c r="J184" i="24"/>
  <c r="J183" i="24"/>
  <c r="J182" i="24"/>
  <c r="J181" i="24"/>
  <c r="J180" i="24"/>
  <c r="J179" i="24"/>
  <c r="J178" i="24"/>
  <c r="J177" i="24"/>
  <c r="J176" i="24"/>
  <c r="J175" i="24"/>
  <c r="J174" i="24"/>
  <c r="J173" i="24"/>
  <c r="J172" i="24"/>
  <c r="J171" i="24"/>
  <c r="J170" i="24"/>
  <c r="J169" i="24"/>
  <c r="J168" i="24"/>
  <c r="J167" i="24"/>
  <c r="J166" i="24"/>
  <c r="J165" i="24"/>
  <c r="J164" i="24"/>
  <c r="J163" i="24"/>
  <c r="J162" i="24"/>
  <c r="J161" i="24"/>
  <c r="J160" i="24"/>
  <c r="J159" i="24"/>
  <c r="J158" i="24"/>
  <c r="J157" i="24"/>
  <c r="J156" i="24"/>
  <c r="J155" i="24"/>
  <c r="J154" i="24"/>
  <c r="J153" i="24"/>
  <c r="J152" i="24"/>
  <c r="J151" i="24"/>
  <c r="J150" i="24"/>
  <c r="J149" i="24"/>
  <c r="J148" i="24"/>
  <c r="J147" i="24"/>
  <c r="J146" i="24"/>
  <c r="J145" i="24"/>
  <c r="J144" i="24"/>
  <c r="J143" i="24"/>
  <c r="J133" i="24"/>
  <c r="J132" i="24"/>
  <c r="J131" i="24"/>
  <c r="J130" i="24"/>
  <c r="J129" i="24"/>
  <c r="J128" i="24"/>
  <c r="J127" i="24"/>
  <c r="J126" i="24"/>
  <c r="J125" i="24"/>
  <c r="J124" i="24"/>
  <c r="J123" i="24"/>
  <c r="J122" i="24"/>
  <c r="J121" i="24"/>
  <c r="J120" i="24"/>
  <c r="J119" i="24"/>
  <c r="J118" i="24"/>
  <c r="J117" i="24"/>
  <c r="J116" i="24"/>
  <c r="J115" i="24"/>
  <c r="J114" i="24"/>
  <c r="J113" i="24"/>
  <c r="J112" i="24"/>
  <c r="J111" i="24"/>
  <c r="J110" i="24"/>
  <c r="J109" i="24"/>
  <c r="J108" i="24"/>
  <c r="J107" i="24"/>
  <c r="J106" i="24"/>
  <c r="J105" i="24"/>
  <c r="J104" i="24"/>
  <c r="J103" i="24"/>
  <c r="J102" i="24"/>
  <c r="J101" i="24"/>
  <c r="J100" i="24"/>
  <c r="J99" i="24"/>
  <c r="J98" i="24"/>
  <c r="J97" i="24"/>
  <c r="J96" i="24"/>
  <c r="J95" i="24"/>
  <c r="J94" i="24"/>
  <c r="J93" i="24"/>
  <c r="J92" i="24"/>
  <c r="J91" i="24"/>
  <c r="J90" i="24"/>
  <c r="J89" i="24"/>
  <c r="J88" i="24"/>
  <c r="J87" i="24"/>
  <c r="J86" i="24"/>
  <c r="J85" i="24"/>
  <c r="J84" i="24"/>
  <c r="J83" i="24"/>
  <c r="J82" i="24"/>
  <c r="J81" i="24"/>
  <c r="J80" i="24"/>
  <c r="J79" i="24"/>
  <c r="J78" i="24"/>
  <c r="J77" i="24"/>
  <c r="J76" i="24"/>
  <c r="J75" i="24"/>
  <c r="J74" i="24"/>
  <c r="J73" i="24"/>
  <c r="J72" i="24"/>
  <c r="J71" i="24"/>
  <c r="J70" i="24"/>
  <c r="J69" i="24"/>
  <c r="J68" i="24"/>
  <c r="J67" i="24"/>
  <c r="J66" i="24"/>
  <c r="J65" i="24"/>
  <c r="J64" i="24"/>
  <c r="J63" i="24"/>
  <c r="J62" i="24"/>
  <c r="J61" i="24"/>
  <c r="J60" i="24"/>
  <c r="J59" i="24"/>
  <c r="J58" i="24"/>
  <c r="J57" i="24"/>
  <c r="J56" i="24"/>
  <c r="J55" i="24"/>
  <c r="J54" i="24"/>
  <c r="J53" i="24"/>
  <c r="J52" i="24"/>
  <c r="J51" i="24"/>
  <c r="J50" i="24"/>
  <c r="J49" i="24"/>
  <c r="J48" i="24"/>
  <c r="J47" i="24"/>
  <c r="J46" i="24"/>
  <c r="J45" i="24"/>
  <c r="J44" i="24"/>
  <c r="G26" i="47"/>
  <c r="G29" i="47"/>
  <c r="G28" i="47"/>
  <c r="G27" i="47"/>
  <c r="G25" i="47"/>
  <c r="G24" i="47"/>
  <c r="G52" i="47"/>
  <c r="G51" i="47"/>
  <c r="G50" i="47"/>
  <c r="G49" i="47"/>
  <c r="G48" i="47"/>
  <c r="G42" i="47"/>
  <c r="G41" i="47"/>
  <c r="G40" i="47"/>
  <c r="G39" i="47"/>
  <c r="G38" i="47"/>
  <c r="G18" i="47"/>
  <c r="G17" i="47"/>
  <c r="G16" i="47"/>
  <c r="G15" i="47"/>
  <c r="G14" i="47"/>
  <c r="G13" i="47"/>
  <c r="AA228" i="13" l="1"/>
  <c r="AA224" i="13"/>
  <c r="AA220" i="13"/>
  <c r="AA216" i="13"/>
  <c r="AA212" i="13"/>
  <c r="AA207" i="13"/>
  <c r="AA193" i="13"/>
  <c r="AA189" i="13"/>
  <c r="AA185" i="13"/>
  <c r="AA181" i="13"/>
  <c r="AA177" i="13"/>
  <c r="AA162" i="13"/>
  <c r="AA158" i="13"/>
  <c r="AA154" i="13"/>
  <c r="AA150" i="13"/>
  <c r="AA146" i="13"/>
  <c r="AA131" i="13"/>
  <c r="AA127" i="13"/>
  <c r="AA123" i="13"/>
  <c r="AA119" i="13"/>
  <c r="AA115" i="13"/>
  <c r="AA100" i="13"/>
  <c r="AA96" i="13"/>
  <c r="AA92" i="13"/>
  <c r="AA88" i="13"/>
  <c r="AA84" i="13"/>
  <c r="AA79" i="13"/>
  <c r="AA66" i="13"/>
  <c r="AA62" i="13"/>
  <c r="AA58" i="13"/>
  <c r="AA54" i="13"/>
  <c r="AA50" i="13"/>
  <c r="AA19" i="13"/>
  <c r="AA23" i="13"/>
  <c r="AA27" i="13"/>
  <c r="AA31" i="13"/>
  <c r="AA35" i="13"/>
  <c r="AA226" i="13"/>
  <c r="AA218" i="13"/>
  <c r="AA210" i="13"/>
  <c r="AA191" i="13"/>
  <c r="AA183" i="13"/>
  <c r="AA164" i="13"/>
  <c r="AA156" i="13"/>
  <c r="AA148" i="13"/>
  <c r="AA129" i="13"/>
  <c r="AA125" i="13"/>
  <c r="AA121" i="13"/>
  <c r="AA113" i="13"/>
  <c r="AA90" i="13"/>
  <c r="AA68" i="13"/>
  <c r="AA56" i="13"/>
  <c r="AA17" i="13"/>
  <c r="AA25" i="13"/>
  <c r="AA33" i="13"/>
  <c r="AA221" i="13"/>
  <c r="AA213" i="13"/>
  <c r="AA194" i="13"/>
  <c r="AA190" i="13"/>
  <c r="AA182" i="13"/>
  <c r="AA163" i="13"/>
  <c r="AA155" i="13"/>
  <c r="AA147" i="13"/>
  <c r="AA128" i="13"/>
  <c r="AA120" i="13"/>
  <c r="AA111" i="13"/>
  <c r="AA89" i="13"/>
  <c r="AA81" i="13"/>
  <c r="AA63" i="13"/>
  <c r="AA55" i="13"/>
  <c r="AA18" i="13"/>
  <c r="AA26" i="13"/>
  <c r="AA34" i="13"/>
  <c r="AA227" i="13"/>
  <c r="AA223" i="13"/>
  <c r="AA219" i="13"/>
  <c r="AA215" i="13"/>
  <c r="AA211" i="13"/>
  <c r="AA196" i="13"/>
  <c r="AA192" i="13"/>
  <c r="AA188" i="13"/>
  <c r="AA184" i="13"/>
  <c r="AA180" i="13"/>
  <c r="AA175" i="13"/>
  <c r="AA161" i="13"/>
  <c r="AA157" i="13"/>
  <c r="AA153" i="13"/>
  <c r="AA149" i="13"/>
  <c r="AA145" i="13"/>
  <c r="AA130" i="13"/>
  <c r="AA126" i="13"/>
  <c r="AA122" i="13"/>
  <c r="AA118" i="13"/>
  <c r="AA114" i="13"/>
  <c r="AA99" i="13"/>
  <c r="AA95" i="13"/>
  <c r="AA91" i="13"/>
  <c r="AA87" i="13"/>
  <c r="AA83" i="13"/>
  <c r="AA47" i="13"/>
  <c r="AA65" i="13"/>
  <c r="AA61" i="13"/>
  <c r="AA57" i="13"/>
  <c r="AA53" i="13"/>
  <c r="AA49" i="13"/>
  <c r="AA20" i="13"/>
  <c r="AA24" i="13"/>
  <c r="AA28" i="13"/>
  <c r="AA32" i="13"/>
  <c r="AA16" i="13"/>
  <c r="AA222" i="13"/>
  <c r="AA214" i="13"/>
  <c r="AA195" i="13"/>
  <c r="AA187" i="13"/>
  <c r="AA179" i="13"/>
  <c r="AA160" i="13"/>
  <c r="AA152" i="13"/>
  <c r="AA143" i="13"/>
  <c r="AA117" i="13"/>
  <c r="AA98" i="13"/>
  <c r="AA94" i="13"/>
  <c r="AA86" i="13"/>
  <c r="AA82" i="13"/>
  <c r="AA64" i="13"/>
  <c r="AA60" i="13"/>
  <c r="AA52" i="13"/>
  <c r="AA21" i="13"/>
  <c r="AA29" i="13"/>
  <c r="AA225" i="13"/>
  <c r="AA217" i="13"/>
  <c r="AA209" i="13"/>
  <c r="AA186" i="13"/>
  <c r="AA178" i="13"/>
  <c r="AA159" i="13"/>
  <c r="AA151" i="13"/>
  <c r="AA132" i="13"/>
  <c r="AA124" i="13"/>
  <c r="AA116" i="13"/>
  <c r="AA97" i="13"/>
  <c r="AA93" i="13"/>
  <c r="AA85" i="13"/>
  <c r="AA67" i="13"/>
  <c r="AA59" i="13"/>
  <c r="AA51" i="13"/>
  <c r="AA22" i="13"/>
  <c r="AA30" i="13"/>
  <c r="D109" i="22"/>
  <c r="D108" i="22"/>
  <c r="D107" i="22"/>
  <c r="C109" i="22" l="1"/>
  <c r="C108" i="22"/>
  <c r="C107" i="22"/>
  <c r="O9" i="36" l="1"/>
  <c r="F42" i="31"/>
  <c r="D78" i="22" l="1"/>
  <c r="E78" i="22"/>
  <c r="F78" i="22"/>
  <c r="G78" i="22"/>
  <c r="H78" i="22"/>
  <c r="C78" i="22"/>
  <c r="F81" i="1" l="1"/>
  <c r="F82" i="1"/>
  <c r="F83" i="1"/>
  <c r="F84" i="1"/>
  <c r="F85" i="1"/>
  <c r="F86" i="1"/>
  <c r="F87" i="1"/>
  <c r="F88" i="1"/>
  <c r="F89" i="1"/>
  <c r="F90" i="1"/>
  <c r="F91" i="1"/>
  <c r="F92" i="1"/>
  <c r="F93" i="1"/>
  <c r="F94" i="1"/>
  <c r="F80" i="1"/>
  <c r="C111" i="22"/>
  <c r="I57" i="31" s="1"/>
  <c r="H23" i="54" l="1"/>
  <c r="H10" i="54"/>
  <c r="I23" i="54"/>
  <c r="K147" i="35" l="1"/>
  <c r="K134" i="18"/>
  <c r="J10" i="54" s="1"/>
  <c r="F39" i="49"/>
  <c r="I10" i="54"/>
  <c r="I42" i="48"/>
  <c r="G39" i="49" l="1"/>
  <c r="L134" i="18"/>
  <c r="M134" i="18" s="1"/>
  <c r="J23" i="54"/>
  <c r="L147" i="35"/>
  <c r="K10" i="54" l="1"/>
  <c r="H39" i="49"/>
  <c r="N139" i="22"/>
  <c r="K137" i="22"/>
  <c r="K136" i="22"/>
  <c r="N125" i="22"/>
  <c r="K123" i="22"/>
  <c r="K121" i="22"/>
  <c r="K139" i="22"/>
  <c r="N121" i="22"/>
  <c r="N136" i="22"/>
  <c r="N124" i="22"/>
  <c r="K126" i="22"/>
  <c r="N138" i="22"/>
  <c r="K138" i="22"/>
  <c r="N122" i="22"/>
  <c r="N126" i="22"/>
  <c r="K124" i="22"/>
  <c r="N137" i="22"/>
  <c r="N123" i="22"/>
  <c r="K125" i="22"/>
  <c r="N140" i="22"/>
  <c r="K140" i="22"/>
  <c r="K122" i="22"/>
  <c r="Q122" i="22" s="1"/>
  <c r="M147" i="35"/>
  <c r="K23" i="54"/>
  <c r="N134" i="18"/>
  <c r="L10" i="54"/>
  <c r="Q124" i="22" l="1"/>
  <c r="Q125" i="22"/>
  <c r="Q121" i="22"/>
  <c r="Q126" i="22"/>
  <c r="Q123" i="22"/>
  <c r="N147" i="35"/>
  <c r="L23" i="54"/>
  <c r="I39" i="49"/>
  <c r="O134" i="18"/>
  <c r="N10" i="54" s="1"/>
  <c r="M10" i="54"/>
  <c r="N11" i="48"/>
  <c r="N31" i="48" s="1"/>
  <c r="N51" i="48" s="1"/>
  <c r="N71" i="48" s="1"/>
  <c r="N91" i="48" s="1"/>
  <c r="N115" i="48" s="1"/>
  <c r="N135" i="48" s="1"/>
  <c r="N155" i="48" s="1"/>
  <c r="N175" i="48" s="1"/>
  <c r="N195" i="48" s="1"/>
  <c r="J37" i="40"/>
  <c r="H14" i="35"/>
  <c r="G100" i="47"/>
  <c r="I105" i="22"/>
  <c r="H93" i="47" s="1"/>
  <c r="I93" i="47" s="1"/>
  <c r="K93" i="47" s="1"/>
  <c r="I106" i="22"/>
  <c r="H94" i="47" s="1"/>
  <c r="I94" i="47" s="1"/>
  <c r="K94" i="47" s="1"/>
  <c r="I107" i="22"/>
  <c r="H96" i="47" s="1"/>
  <c r="I96" i="47" s="1"/>
  <c r="K96" i="47" s="1"/>
  <c r="I108" i="22"/>
  <c r="H95" i="47" s="1"/>
  <c r="I95" i="47" s="1"/>
  <c r="K95" i="47" s="1"/>
  <c r="I104" i="22"/>
  <c r="H92" i="47" s="1"/>
  <c r="I92" i="47" s="1"/>
  <c r="I103" i="22"/>
  <c r="F97" i="47"/>
  <c r="F66" i="47"/>
  <c r="F88" i="47" s="1"/>
  <c r="F65" i="47"/>
  <c r="F87" i="47" s="1"/>
  <c r="F63" i="47"/>
  <c r="F85" i="47" s="1"/>
  <c r="F62" i="47"/>
  <c r="F84" i="47" s="1"/>
  <c r="F61" i="47"/>
  <c r="F83" i="47" s="1"/>
  <c r="F52" i="47"/>
  <c r="F51" i="47"/>
  <c r="F50" i="47"/>
  <c r="F49" i="47"/>
  <c r="F48" i="47"/>
  <c r="F43" i="47"/>
  <c r="F29" i="47"/>
  <c r="F28" i="47"/>
  <c r="F27" i="47"/>
  <c r="F26" i="47"/>
  <c r="F25" i="47"/>
  <c r="F24" i="47"/>
  <c r="F19" i="47"/>
  <c r="Q134" i="22"/>
  <c r="M111" i="22"/>
  <c r="I135" i="22"/>
  <c r="J111" i="22"/>
  <c r="H13" i="47" s="1"/>
  <c r="O147" i="35" l="1"/>
  <c r="N23" i="54" s="1"/>
  <c r="M23" i="54"/>
  <c r="F53" i="47"/>
  <c r="F67" i="47"/>
  <c r="F30" i="47"/>
  <c r="H39" i="47"/>
  <c r="H38" i="47"/>
  <c r="H41" i="47"/>
  <c r="G86" i="47"/>
  <c r="N213" i="48"/>
  <c r="G85" i="47"/>
  <c r="I85" i="47" s="1"/>
  <c r="G88" i="47"/>
  <c r="I88" i="47" s="1"/>
  <c r="G84" i="47"/>
  <c r="I84" i="47" s="1"/>
  <c r="H15" i="47"/>
  <c r="G87" i="47"/>
  <c r="I87" i="47" s="1"/>
  <c r="H17" i="47"/>
  <c r="H14" i="47"/>
  <c r="P131" i="22"/>
  <c r="R131" i="22" s="1"/>
  <c r="Q117" i="22"/>
  <c r="G83" i="47"/>
  <c r="I83" i="47" s="1"/>
  <c r="I97" i="47"/>
  <c r="K92" i="47"/>
  <c r="K97" i="47" s="1"/>
  <c r="F64" i="47"/>
  <c r="F86" i="47" s="1"/>
  <c r="F89" i="47" l="1"/>
  <c r="F100" i="47" s="1"/>
  <c r="I100" i="47" s="1"/>
  <c r="K100" i="47" s="1"/>
  <c r="I86" i="47"/>
  <c r="I89" i="47" s="1"/>
  <c r="H16" i="47"/>
  <c r="H18" i="47"/>
  <c r="P130" i="22"/>
  <c r="R130" i="22" s="1"/>
  <c r="P134" i="22"/>
  <c r="R134" i="22" s="1"/>
  <c r="P132" i="22"/>
  <c r="R132" i="22" s="1"/>
  <c r="H40" i="47"/>
  <c r="H42" i="47"/>
  <c r="P133" i="22"/>
  <c r="R133" i="22" s="1"/>
  <c r="I102" i="47" l="1"/>
  <c r="I104" i="47" s="1"/>
  <c r="I105" i="47" s="1"/>
  <c r="I137" i="18" s="1"/>
  <c r="H19" i="47"/>
  <c r="H20" i="47" s="1"/>
  <c r="H43" i="47"/>
  <c r="H44" i="47" s="1"/>
  <c r="I138" i="18" l="1"/>
  <c r="C124" i="22"/>
  <c r="H64" i="22"/>
  <c r="I64" i="22"/>
  <c r="I31" i="35"/>
  <c r="J31" i="35" s="1"/>
  <c r="K31" i="35" s="1"/>
  <c r="L31" i="35" s="1"/>
  <c r="M31" i="35" s="1"/>
  <c r="N31" i="35" s="1"/>
  <c r="O31" i="35" s="1"/>
  <c r="O100" i="35"/>
  <c r="O101" i="35"/>
  <c r="O102" i="35"/>
  <c r="O103" i="35"/>
  <c r="O105" i="35"/>
  <c r="O8" i="18"/>
  <c r="O105" i="18" s="1"/>
  <c r="N9" i="54"/>
  <c r="P8" i="24"/>
  <c r="P39" i="24" s="1"/>
  <c r="P140" i="24" s="1"/>
  <c r="P13" i="24"/>
  <c r="P26" i="24"/>
  <c r="M21" i="34"/>
  <c r="M11" i="34" s="1"/>
  <c r="O16" i="31"/>
  <c r="O177" i="31" s="1"/>
  <c r="M12" i="1"/>
  <c r="M77" i="1" s="1"/>
  <c r="O46" i="31" l="1"/>
  <c r="M36" i="34"/>
  <c r="O204" i="35"/>
  <c r="H83" i="47" l="1"/>
  <c r="J83" i="47" s="1"/>
  <c r="H24" i="47"/>
  <c r="G61" i="47" s="1"/>
  <c r="H28" i="47"/>
  <c r="G65" i="47" s="1"/>
  <c r="H25" i="47"/>
  <c r="G62" i="47" s="1"/>
  <c r="H86" i="47"/>
  <c r="H51" i="47"/>
  <c r="H65" i="47" s="1"/>
  <c r="H52" i="47"/>
  <c r="H66" i="47" s="1"/>
  <c r="H29" i="47"/>
  <c r="G66" i="47" s="1"/>
  <c r="H27" i="47"/>
  <c r="H88" i="47"/>
  <c r="H84" i="47"/>
  <c r="H50" i="47"/>
  <c r="H63" i="47" s="1"/>
  <c r="H85" i="47"/>
  <c r="H26" i="47"/>
  <c r="G63" i="47" s="1"/>
  <c r="H87" i="47"/>
  <c r="H48" i="47"/>
  <c r="H49" i="47"/>
  <c r="H62" i="47" s="1"/>
  <c r="P121" i="22"/>
  <c r="J88" i="47" l="1"/>
  <c r="K88" i="47" s="1"/>
  <c r="J84" i="47"/>
  <c r="K84" i="47" s="1"/>
  <c r="J86" i="47"/>
  <c r="K86" i="47" s="1"/>
  <c r="J87" i="47"/>
  <c r="K87" i="47" s="1"/>
  <c r="J85" i="47"/>
  <c r="K85" i="47" s="1"/>
  <c r="I62" i="47"/>
  <c r="I63" i="47"/>
  <c r="H53" i="47"/>
  <c r="H61" i="47"/>
  <c r="H67" i="47" s="1"/>
  <c r="I65" i="47"/>
  <c r="H30" i="47"/>
  <c r="G64" i="47"/>
  <c r="I64" i="47" s="1"/>
  <c r="I66" i="47"/>
  <c r="K83" i="47"/>
  <c r="K89" i="47" l="1"/>
  <c r="K102" i="47" s="1"/>
  <c r="J89" i="47"/>
  <c r="J102" i="47" s="1"/>
  <c r="I61" i="47"/>
  <c r="I67" i="47" s="1"/>
  <c r="G67" i="47"/>
  <c r="I149" i="35"/>
  <c r="H19" i="39" l="1"/>
  <c r="D29" i="48"/>
  <c r="I157" i="35"/>
  <c r="J157" i="35" s="1"/>
  <c r="K157" i="35" s="1"/>
  <c r="L157" i="35" s="1"/>
  <c r="M157" i="35" s="1"/>
  <c r="N157" i="35" s="1"/>
  <c r="O157" i="35" s="1"/>
  <c r="I156" i="35"/>
  <c r="J156" i="35" s="1"/>
  <c r="K156" i="35" s="1"/>
  <c r="L156" i="35" s="1"/>
  <c r="M156" i="35" s="1"/>
  <c r="N156" i="35" s="1"/>
  <c r="O156" i="35" s="1"/>
  <c r="I155" i="35"/>
  <c r="J155" i="35" s="1"/>
  <c r="K155" i="35" s="1"/>
  <c r="L155" i="35" s="1"/>
  <c r="M155" i="35" s="1"/>
  <c r="N155" i="35" s="1"/>
  <c r="O155" i="35" s="1"/>
  <c r="K101" i="1" l="1"/>
  <c r="L101" i="1" s="1"/>
  <c r="M101" i="1" s="1"/>
  <c r="M50" i="13" l="1"/>
  <c r="M82" i="13" s="1"/>
  <c r="M114" i="13" s="1"/>
  <c r="M146" i="13" s="1"/>
  <c r="M178" i="13" s="1"/>
  <c r="M210" i="13" s="1"/>
  <c r="N50" i="13"/>
  <c r="N82" i="13" s="1"/>
  <c r="N114" i="13" s="1"/>
  <c r="N146" i="13" s="1"/>
  <c r="N178" i="13" s="1"/>
  <c r="N210" i="13" s="1"/>
  <c r="M51" i="13"/>
  <c r="M83" i="13" s="1"/>
  <c r="M115" i="13" s="1"/>
  <c r="M147" i="13" s="1"/>
  <c r="M179" i="13" s="1"/>
  <c r="M211" i="13" s="1"/>
  <c r="N51" i="13"/>
  <c r="N83" i="13" s="1"/>
  <c r="M52" i="13"/>
  <c r="M84" i="13" s="1"/>
  <c r="M116" i="13" s="1"/>
  <c r="M148" i="13" s="1"/>
  <c r="M180" i="13" s="1"/>
  <c r="M212" i="13" s="1"/>
  <c r="N52" i="13"/>
  <c r="N84" i="13" s="1"/>
  <c r="N116" i="13" s="1"/>
  <c r="N148" i="13" s="1"/>
  <c r="N180" i="13" s="1"/>
  <c r="N212" i="13" s="1"/>
  <c r="M53" i="13"/>
  <c r="M85" i="13" s="1"/>
  <c r="M117" i="13" s="1"/>
  <c r="M149" i="13" s="1"/>
  <c r="M181" i="13" s="1"/>
  <c r="M213" i="13" s="1"/>
  <c r="N53" i="13"/>
  <c r="N85" i="13" s="1"/>
  <c r="N117" i="13" s="1"/>
  <c r="N149" i="13" s="1"/>
  <c r="N181" i="13" s="1"/>
  <c r="N213" i="13" s="1"/>
  <c r="M54" i="13"/>
  <c r="M86" i="13" s="1"/>
  <c r="M118" i="13" s="1"/>
  <c r="M150" i="13" s="1"/>
  <c r="M182" i="13" s="1"/>
  <c r="M214" i="13" s="1"/>
  <c r="N54" i="13"/>
  <c r="N86" i="13" s="1"/>
  <c r="N118" i="13" s="1"/>
  <c r="N150" i="13" s="1"/>
  <c r="N182" i="13" s="1"/>
  <c r="N214" i="13" s="1"/>
  <c r="M55" i="13"/>
  <c r="M87" i="13" s="1"/>
  <c r="M119" i="13" s="1"/>
  <c r="M151" i="13" s="1"/>
  <c r="M183" i="13" s="1"/>
  <c r="M215" i="13" s="1"/>
  <c r="N55" i="13"/>
  <c r="N87" i="13" s="1"/>
  <c r="N119" i="13" s="1"/>
  <c r="N151" i="13" s="1"/>
  <c r="N183" i="13" s="1"/>
  <c r="N215" i="13" s="1"/>
  <c r="M56" i="13"/>
  <c r="M88" i="13" s="1"/>
  <c r="M120" i="13" s="1"/>
  <c r="M152" i="13" s="1"/>
  <c r="M184" i="13" s="1"/>
  <c r="M216" i="13" s="1"/>
  <c r="N56" i="13"/>
  <c r="N88" i="13" s="1"/>
  <c r="N120" i="13" s="1"/>
  <c r="N152" i="13" s="1"/>
  <c r="N184" i="13" s="1"/>
  <c r="N216" i="13" s="1"/>
  <c r="M57" i="13"/>
  <c r="M89" i="13" s="1"/>
  <c r="M121" i="13" s="1"/>
  <c r="M153" i="13" s="1"/>
  <c r="M185" i="13" s="1"/>
  <c r="M217" i="13" s="1"/>
  <c r="N57" i="13"/>
  <c r="N89" i="13" s="1"/>
  <c r="N121" i="13" s="1"/>
  <c r="N153" i="13" s="1"/>
  <c r="N185" i="13" s="1"/>
  <c r="N217" i="13" s="1"/>
  <c r="M58" i="13"/>
  <c r="M90" i="13" s="1"/>
  <c r="M122" i="13" s="1"/>
  <c r="M154" i="13" s="1"/>
  <c r="M186" i="13" s="1"/>
  <c r="M218" i="13" s="1"/>
  <c r="N58" i="13"/>
  <c r="N90" i="13" s="1"/>
  <c r="N122" i="13" s="1"/>
  <c r="N154" i="13" s="1"/>
  <c r="N186" i="13" s="1"/>
  <c r="N218" i="13" s="1"/>
  <c r="M59" i="13"/>
  <c r="M91" i="13" s="1"/>
  <c r="M123" i="13" s="1"/>
  <c r="M155" i="13" s="1"/>
  <c r="M187" i="13" s="1"/>
  <c r="M219" i="13" s="1"/>
  <c r="N59" i="13"/>
  <c r="N91" i="13" s="1"/>
  <c r="N123" i="13" s="1"/>
  <c r="N155" i="13" s="1"/>
  <c r="N187" i="13" s="1"/>
  <c r="N219" i="13" s="1"/>
  <c r="M60" i="13"/>
  <c r="M92" i="13" s="1"/>
  <c r="M124" i="13" s="1"/>
  <c r="M156" i="13" s="1"/>
  <c r="M188" i="13" s="1"/>
  <c r="M220" i="13" s="1"/>
  <c r="N60" i="13"/>
  <c r="N92" i="13" s="1"/>
  <c r="N124" i="13" s="1"/>
  <c r="N156" i="13" s="1"/>
  <c r="N188" i="13" s="1"/>
  <c r="N220" i="13" s="1"/>
  <c r="M61" i="13"/>
  <c r="M93" i="13" s="1"/>
  <c r="M125" i="13" s="1"/>
  <c r="M157" i="13" s="1"/>
  <c r="M189" i="13" s="1"/>
  <c r="M221" i="13" s="1"/>
  <c r="N61" i="13"/>
  <c r="N93" i="13" s="1"/>
  <c r="N125" i="13" s="1"/>
  <c r="N157" i="13" s="1"/>
  <c r="N189" i="13" s="1"/>
  <c r="N221" i="13" s="1"/>
  <c r="M62" i="13"/>
  <c r="M94" i="13" s="1"/>
  <c r="M126" i="13" s="1"/>
  <c r="M158" i="13" s="1"/>
  <c r="M190" i="13" s="1"/>
  <c r="M222" i="13" s="1"/>
  <c r="N62" i="13"/>
  <c r="N94" i="13" s="1"/>
  <c r="N126" i="13" s="1"/>
  <c r="N158" i="13" s="1"/>
  <c r="N190" i="13" s="1"/>
  <c r="N222" i="13" s="1"/>
  <c r="M63" i="13"/>
  <c r="M95" i="13" s="1"/>
  <c r="M127" i="13" s="1"/>
  <c r="M159" i="13" s="1"/>
  <c r="M191" i="13" s="1"/>
  <c r="M223" i="13" s="1"/>
  <c r="N63" i="13"/>
  <c r="N95" i="13" s="1"/>
  <c r="N127" i="13" s="1"/>
  <c r="N159" i="13" s="1"/>
  <c r="N191" i="13" s="1"/>
  <c r="N223" i="13" s="1"/>
  <c r="M64" i="13"/>
  <c r="M96" i="13" s="1"/>
  <c r="M128" i="13" s="1"/>
  <c r="M160" i="13" s="1"/>
  <c r="M192" i="13" s="1"/>
  <c r="M224" i="13" s="1"/>
  <c r="AF224" i="13" s="1"/>
  <c r="N64" i="13"/>
  <c r="N96" i="13" s="1"/>
  <c r="N128" i="13" s="1"/>
  <c r="N160" i="13" s="1"/>
  <c r="N192" i="13" s="1"/>
  <c r="N224" i="13" s="1"/>
  <c r="M65" i="13"/>
  <c r="M97" i="13" s="1"/>
  <c r="M129" i="13" s="1"/>
  <c r="M161" i="13" s="1"/>
  <c r="M193" i="13" s="1"/>
  <c r="M225" i="13" s="1"/>
  <c r="N65" i="13"/>
  <c r="N97" i="13" s="1"/>
  <c r="N129" i="13" s="1"/>
  <c r="N161" i="13" s="1"/>
  <c r="N193" i="13" s="1"/>
  <c r="N225" i="13" s="1"/>
  <c r="M66" i="13"/>
  <c r="M98" i="13" s="1"/>
  <c r="M130" i="13" s="1"/>
  <c r="M162" i="13" s="1"/>
  <c r="M194" i="13" s="1"/>
  <c r="M226" i="13" s="1"/>
  <c r="AF226" i="13" s="1"/>
  <c r="N66" i="13"/>
  <c r="N98" i="13" s="1"/>
  <c r="N130" i="13" s="1"/>
  <c r="N162" i="13" s="1"/>
  <c r="N194" i="13" s="1"/>
  <c r="N226" i="13" s="1"/>
  <c r="M67" i="13"/>
  <c r="M99" i="13" s="1"/>
  <c r="M131" i="13" s="1"/>
  <c r="M163" i="13" s="1"/>
  <c r="M195" i="13" s="1"/>
  <c r="M227" i="13" s="1"/>
  <c r="N67" i="13"/>
  <c r="N99" i="13" s="1"/>
  <c r="N131" i="13" s="1"/>
  <c r="N163" i="13" s="1"/>
  <c r="N195" i="13" s="1"/>
  <c r="N227" i="13" s="1"/>
  <c r="M68" i="13"/>
  <c r="M100" i="13" s="1"/>
  <c r="M132" i="13" s="1"/>
  <c r="M164" i="13" s="1"/>
  <c r="M196" i="13" s="1"/>
  <c r="M228" i="13" s="1"/>
  <c r="N68" i="13"/>
  <c r="N100" i="13" s="1"/>
  <c r="N132" i="13" s="1"/>
  <c r="N164" i="13" s="1"/>
  <c r="N196" i="13" s="1"/>
  <c r="N228" i="13" s="1"/>
  <c r="AF34" i="13"/>
  <c r="AF30" i="13"/>
  <c r="AF26" i="13"/>
  <c r="AF22" i="13"/>
  <c r="AF20" i="13"/>
  <c r="AF18" i="13"/>
  <c r="N36" i="13"/>
  <c r="AF222" i="13" l="1"/>
  <c r="AF220" i="13"/>
  <c r="AF218" i="13"/>
  <c r="AF216" i="13"/>
  <c r="AF228" i="13"/>
  <c r="AF214" i="13"/>
  <c r="AF212" i="13"/>
  <c r="AF210" i="13"/>
  <c r="AF225" i="13"/>
  <c r="AF223" i="13"/>
  <c r="AF221" i="13"/>
  <c r="AF219" i="13"/>
  <c r="AF217" i="13"/>
  <c r="AF215" i="13"/>
  <c r="AF213" i="13"/>
  <c r="AF24" i="13"/>
  <c r="AF32" i="13"/>
  <c r="AF227" i="13"/>
  <c r="AF28" i="13"/>
  <c r="AF19" i="13"/>
  <c r="AF23" i="13"/>
  <c r="AF27" i="13"/>
  <c r="AF31" i="13"/>
  <c r="AF35" i="13"/>
  <c r="AF17" i="13"/>
  <c r="AF21" i="13"/>
  <c r="AF25" i="13"/>
  <c r="AF29" i="13"/>
  <c r="AF33" i="13"/>
  <c r="N49" i="13"/>
  <c r="N81" i="13" s="1"/>
  <c r="N113" i="13" s="1"/>
  <c r="N115" i="13"/>
  <c r="N147" i="13" s="1"/>
  <c r="N179" i="13" s="1"/>
  <c r="N211" i="13" s="1"/>
  <c r="AF211" i="13" s="1"/>
  <c r="N133" i="13" l="1"/>
  <c r="N69" i="13"/>
  <c r="N145" i="13"/>
  <c r="N177" i="13" s="1"/>
  <c r="N101" i="13"/>
  <c r="N197" i="13" l="1"/>
  <c r="N209" i="13"/>
  <c r="N229" i="13" s="1"/>
  <c r="N165" i="13"/>
  <c r="B144" i="22" l="1"/>
  <c r="B145" i="22"/>
  <c r="B146" i="22"/>
  <c r="B147" i="22"/>
  <c r="B148" i="22"/>
  <c r="B149" i="22"/>
  <c r="B150" i="22"/>
  <c r="B151" i="22"/>
  <c r="B152" i="22"/>
  <c r="B153" i="22"/>
  <c r="B154" i="22"/>
  <c r="B155" i="22"/>
  <c r="B156" i="22"/>
  <c r="B157" i="22"/>
  <c r="B158" i="22"/>
  <c r="B159" i="22"/>
  <c r="B160" i="22"/>
  <c r="B161" i="22"/>
  <c r="B164" i="22"/>
  <c r="B165" i="22"/>
  <c r="B166" i="22"/>
  <c r="B167" i="22"/>
  <c r="B168" i="22"/>
  <c r="B169" i="22"/>
  <c r="B170" i="22"/>
  <c r="B171" i="22"/>
  <c r="B172" i="22"/>
  <c r="B173" i="22"/>
  <c r="B174" i="22"/>
  <c r="B175" i="22"/>
  <c r="B176" i="22"/>
  <c r="B177" i="22"/>
  <c r="B178" i="22"/>
  <c r="B179" i="22"/>
  <c r="B180" i="22"/>
  <c r="B181" i="22"/>
  <c r="B182" i="22"/>
  <c r="B183" i="22"/>
  <c r="B184" i="22"/>
  <c r="W144" i="22"/>
  <c r="W145" i="22"/>
  <c r="W146" i="22"/>
  <c r="W147" i="22"/>
  <c r="D64" i="22" l="1"/>
  <c r="E64" i="22"/>
  <c r="F64" i="22"/>
  <c r="G64" i="22"/>
  <c r="H16" i="18" l="1"/>
  <c r="I42" i="31" l="1"/>
  <c r="H42" i="31"/>
  <c r="H35" i="35" l="1"/>
  <c r="C5" i="54" l="1"/>
  <c r="H147" i="35" l="1"/>
  <c r="H134" i="18"/>
  <c r="G22" i="54" l="1"/>
  <c r="M9" i="54"/>
  <c r="L9" i="54"/>
  <c r="K9" i="54"/>
  <c r="J9" i="54"/>
  <c r="I9" i="54"/>
  <c r="H9" i="54"/>
  <c r="G9" i="54"/>
  <c r="C72" i="22" l="1"/>
  <c r="F186" i="51" l="1"/>
  <c r="F175" i="51"/>
  <c r="F164" i="51"/>
  <c r="F153" i="51"/>
  <c r="F142" i="51"/>
  <c r="F131" i="51"/>
  <c r="F116" i="51"/>
  <c r="F105" i="51"/>
  <c r="F94" i="51"/>
  <c r="F83" i="51"/>
  <c r="F72" i="51"/>
  <c r="F61" i="51"/>
  <c r="F50" i="51"/>
  <c r="F39" i="51"/>
  <c r="F28" i="51"/>
  <c r="F197" i="51" l="1"/>
  <c r="F15" i="51" s="1"/>
  <c r="H126" i="51" l="1"/>
  <c r="I126" i="51" s="1"/>
  <c r="J126" i="51" s="1"/>
  <c r="K126" i="51" s="1"/>
  <c r="L126" i="51" s="1"/>
  <c r="F126" i="51" l="1"/>
  <c r="D13" i="51"/>
  <c r="D14" i="51"/>
  <c r="D16" i="51"/>
  <c r="D18" i="51"/>
  <c r="D19" i="51"/>
  <c r="D21" i="51"/>
  <c r="D12" i="51"/>
  <c r="D183" i="51" l="1"/>
  <c r="D172" i="51"/>
  <c r="D161" i="51"/>
  <c r="D150" i="51"/>
  <c r="D139" i="51"/>
  <c r="D128" i="51"/>
  <c r="D113" i="51"/>
  <c r="D102" i="51"/>
  <c r="D91" i="51"/>
  <c r="D80" i="51"/>
  <c r="D69" i="51"/>
  <c r="D58" i="51"/>
  <c r="D47" i="51"/>
  <c r="D36" i="51"/>
  <c r="D25" i="51"/>
  <c r="C118" i="22" l="1"/>
  <c r="F93" i="22"/>
  <c r="F94" i="22"/>
  <c r="F92" i="22"/>
  <c r="F89" i="22"/>
  <c r="F90" i="22"/>
  <c r="F88" i="22"/>
  <c r="L7" i="51" l="1"/>
  <c r="L125" i="51" s="1"/>
  <c r="K7" i="51"/>
  <c r="K125" i="51" s="1"/>
  <c r="J7" i="51"/>
  <c r="J125" i="51" s="1"/>
  <c r="I7" i="51"/>
  <c r="I125" i="51" s="1"/>
  <c r="H7" i="51"/>
  <c r="H125" i="51" s="1"/>
  <c r="G7" i="51"/>
  <c r="G125" i="51" s="1"/>
  <c r="F7" i="51"/>
  <c r="F125" i="51" s="1"/>
  <c r="H8" i="51" l="1"/>
  <c r="I8" i="51" s="1"/>
  <c r="J8" i="51" s="1"/>
  <c r="K8" i="51" s="1"/>
  <c r="L8" i="51" s="1"/>
  <c r="F8" i="51"/>
  <c r="H51" i="39" l="1"/>
  <c r="F49" i="49" l="1"/>
  <c r="G49" i="49"/>
  <c r="H49" i="49"/>
  <c r="I49" i="49"/>
  <c r="I66" i="13" l="1"/>
  <c r="P33" i="13"/>
  <c r="Z33" i="13"/>
  <c r="I54" i="13"/>
  <c r="Z54" i="13" s="1"/>
  <c r="P21" i="13"/>
  <c r="Z21" i="13"/>
  <c r="I65" i="13"/>
  <c r="I97" i="13" s="1"/>
  <c r="P32" i="13"/>
  <c r="Z32" i="13"/>
  <c r="I61" i="13"/>
  <c r="P61" i="13" s="1"/>
  <c r="P28" i="13"/>
  <c r="Z28" i="13"/>
  <c r="I57" i="13"/>
  <c r="I89" i="13" s="1"/>
  <c r="P24" i="13"/>
  <c r="Z24" i="13"/>
  <c r="I53" i="13"/>
  <c r="I85" i="13" s="1"/>
  <c r="P20" i="13"/>
  <c r="Z20" i="13"/>
  <c r="I62" i="13"/>
  <c r="I94" i="13" s="1"/>
  <c r="P29" i="13"/>
  <c r="Z29" i="13"/>
  <c r="I68" i="13"/>
  <c r="I100" i="13" s="1"/>
  <c r="P35" i="13"/>
  <c r="Z35" i="13"/>
  <c r="I64" i="13"/>
  <c r="P31" i="13"/>
  <c r="Z31" i="13"/>
  <c r="I60" i="13"/>
  <c r="Z60" i="13" s="1"/>
  <c r="P27" i="13"/>
  <c r="Z27" i="13"/>
  <c r="I56" i="13"/>
  <c r="I88" i="13" s="1"/>
  <c r="P23" i="13"/>
  <c r="Z23" i="13"/>
  <c r="I52" i="13"/>
  <c r="I84" i="13" s="1"/>
  <c r="P19" i="13"/>
  <c r="Z19" i="13"/>
  <c r="I58" i="13"/>
  <c r="P25" i="13"/>
  <c r="Z25" i="13"/>
  <c r="I67" i="13"/>
  <c r="P67" i="13" s="1"/>
  <c r="P34" i="13"/>
  <c r="Z34" i="13"/>
  <c r="I63" i="13"/>
  <c r="Z63" i="13" s="1"/>
  <c r="P30" i="13"/>
  <c r="Z30" i="13"/>
  <c r="I59" i="13"/>
  <c r="P59" i="13" s="1"/>
  <c r="P26" i="13"/>
  <c r="Z26" i="13"/>
  <c r="I55" i="13"/>
  <c r="I87" i="13" s="1"/>
  <c r="P22" i="13"/>
  <c r="Z22" i="13"/>
  <c r="I51" i="13"/>
  <c r="I83" i="13" s="1"/>
  <c r="I50" i="13"/>
  <c r="P57" i="13"/>
  <c r="Z57" i="13"/>
  <c r="I96" i="13"/>
  <c r="P64" i="13"/>
  <c r="Z64" i="13"/>
  <c r="I95" i="13"/>
  <c r="I98" i="13"/>
  <c r="P66" i="13"/>
  <c r="Z66" i="13"/>
  <c r="I90" i="13"/>
  <c r="P58" i="13"/>
  <c r="Z58" i="13"/>
  <c r="I82" i="13"/>
  <c r="Z65" i="13" l="1"/>
  <c r="Z62" i="13"/>
  <c r="AC62" i="13" s="1"/>
  <c r="P63" i="13"/>
  <c r="Z56" i="13"/>
  <c r="AC56" i="13" s="1"/>
  <c r="P65" i="13"/>
  <c r="P56" i="13"/>
  <c r="P52" i="13"/>
  <c r="I93" i="13"/>
  <c r="P93" i="13" s="1"/>
  <c r="Z59" i="13"/>
  <c r="P68" i="13"/>
  <c r="I91" i="13"/>
  <c r="I123" i="13" s="1"/>
  <c r="Z61" i="13"/>
  <c r="AB61" i="13" s="1"/>
  <c r="Z52" i="13"/>
  <c r="AC52" i="13" s="1"/>
  <c r="Z68" i="13"/>
  <c r="AC68" i="13" s="1"/>
  <c r="P60" i="13"/>
  <c r="P54" i="13"/>
  <c r="I99" i="13"/>
  <c r="Z99" i="13" s="1"/>
  <c r="Z53" i="13"/>
  <c r="AC53" i="13" s="1"/>
  <c r="P53" i="13"/>
  <c r="P62" i="13"/>
  <c r="Z67" i="13"/>
  <c r="AC67" i="13" s="1"/>
  <c r="I86" i="13"/>
  <c r="Z86" i="13" s="1"/>
  <c r="I92" i="13"/>
  <c r="Z92" i="13" s="1"/>
  <c r="Z55" i="13"/>
  <c r="AB55" i="13" s="1"/>
  <c r="AB26" i="13"/>
  <c r="AC26" i="13"/>
  <c r="AB19" i="13"/>
  <c r="AC19" i="13"/>
  <c r="AB35" i="13"/>
  <c r="AC35" i="13"/>
  <c r="AB28" i="13"/>
  <c r="AC28" i="13"/>
  <c r="P55" i="13"/>
  <c r="AB22" i="13"/>
  <c r="AC22" i="13"/>
  <c r="AB25" i="13"/>
  <c r="AC25" i="13"/>
  <c r="AB31" i="13"/>
  <c r="AC31" i="13"/>
  <c r="AB24" i="13"/>
  <c r="AC24" i="13"/>
  <c r="AB33" i="13"/>
  <c r="AC33" i="13"/>
  <c r="AB34" i="13"/>
  <c r="AC34" i="13"/>
  <c r="AB27" i="13"/>
  <c r="AC27" i="13"/>
  <c r="AB20" i="13"/>
  <c r="AC20" i="13"/>
  <c r="AB21" i="13"/>
  <c r="AC21" i="13"/>
  <c r="AB30" i="13"/>
  <c r="AC30" i="13"/>
  <c r="AB23" i="13"/>
  <c r="AC23" i="13"/>
  <c r="AB29" i="13"/>
  <c r="AC29" i="13"/>
  <c r="AB32" i="13"/>
  <c r="AC32" i="13"/>
  <c r="P99" i="13"/>
  <c r="I128" i="13"/>
  <c r="P96" i="13"/>
  <c r="Z96" i="13"/>
  <c r="Z93" i="13"/>
  <c r="I115" i="13"/>
  <c r="AC58" i="13"/>
  <c r="AB58" i="13"/>
  <c r="I130" i="13"/>
  <c r="P98" i="13"/>
  <c r="Z98" i="13"/>
  <c r="I127" i="13"/>
  <c r="P95" i="13"/>
  <c r="Z95" i="13"/>
  <c r="AB52" i="13"/>
  <c r="P92" i="13"/>
  <c r="I121" i="13"/>
  <c r="P89" i="13"/>
  <c r="Z89" i="13"/>
  <c r="AC65" i="13"/>
  <c r="AB65" i="13"/>
  <c r="I114" i="13"/>
  <c r="I126" i="13"/>
  <c r="P94" i="13"/>
  <c r="Z94" i="13"/>
  <c r="Z91" i="13"/>
  <c r="I120" i="13"/>
  <c r="P88" i="13"/>
  <c r="Z88" i="13"/>
  <c r="AC64" i="13"/>
  <c r="AB64" i="13"/>
  <c r="I117" i="13"/>
  <c r="P85" i="13"/>
  <c r="Z85" i="13"/>
  <c r="AC59" i="13"/>
  <c r="AB59" i="13"/>
  <c r="AC54" i="13"/>
  <c r="AB54" i="13"/>
  <c r="I122" i="13"/>
  <c r="P90" i="13"/>
  <c r="Z90" i="13"/>
  <c r="AC66" i="13"/>
  <c r="AB66" i="13"/>
  <c r="I119" i="13"/>
  <c r="P87" i="13"/>
  <c r="Z87" i="13"/>
  <c r="AC63" i="13"/>
  <c r="AB63" i="13"/>
  <c r="I116" i="13"/>
  <c r="P84" i="13"/>
  <c r="Z84" i="13"/>
  <c r="AC60" i="13"/>
  <c r="AB60" i="13"/>
  <c r="I132" i="13"/>
  <c r="P100" i="13"/>
  <c r="Z100" i="13"/>
  <c r="AC57" i="13"/>
  <c r="AB57" i="13"/>
  <c r="I129" i="13"/>
  <c r="P97" i="13"/>
  <c r="Z97" i="13"/>
  <c r="W184" i="22"/>
  <c r="W183" i="22"/>
  <c r="AB62" i="13" l="1"/>
  <c r="AC61" i="13"/>
  <c r="I125" i="13"/>
  <c r="AB56" i="13"/>
  <c r="P91" i="13"/>
  <c r="AB68" i="13"/>
  <c r="AD68" i="13" s="1"/>
  <c r="I131" i="13"/>
  <c r="AB67" i="13"/>
  <c r="AD67" i="13" s="1"/>
  <c r="AC55" i="13"/>
  <c r="AD55" i="13" s="1"/>
  <c r="P86" i="13"/>
  <c r="AB53" i="13"/>
  <c r="I124" i="13"/>
  <c r="I156" i="13" s="1"/>
  <c r="I118" i="13"/>
  <c r="I150" i="13" s="1"/>
  <c r="AD32" i="13"/>
  <c r="AD23" i="13"/>
  <c r="AD21" i="13"/>
  <c r="AD27" i="13"/>
  <c r="AD64" i="13"/>
  <c r="AD65" i="13"/>
  <c r="AD58" i="13"/>
  <c r="AD28" i="13"/>
  <c r="AD62" i="13"/>
  <c r="AD52" i="13"/>
  <c r="AD19" i="13"/>
  <c r="AD35" i="13"/>
  <c r="AD33" i="13"/>
  <c r="AD31" i="13"/>
  <c r="AD22" i="13"/>
  <c r="AD26" i="13"/>
  <c r="AD29" i="13"/>
  <c r="AD30" i="13"/>
  <c r="AD20" i="13"/>
  <c r="AD34" i="13"/>
  <c r="AD24" i="13"/>
  <c r="AD25" i="13"/>
  <c r="AD56" i="13"/>
  <c r="AD60" i="13"/>
  <c r="AD63" i="13"/>
  <c r="AD53" i="13"/>
  <c r="AD54" i="13"/>
  <c r="AC87" i="13"/>
  <c r="AB87" i="13"/>
  <c r="I155" i="13"/>
  <c r="P123" i="13"/>
  <c r="Z123" i="13"/>
  <c r="I146" i="13"/>
  <c r="AC98" i="13"/>
  <c r="AB98" i="13"/>
  <c r="AC86" i="13"/>
  <c r="AB86" i="13"/>
  <c r="AC96" i="13"/>
  <c r="AB96" i="13"/>
  <c r="I164" i="13"/>
  <c r="P132" i="13"/>
  <c r="Z132" i="13"/>
  <c r="AC85" i="13"/>
  <c r="AB85" i="13"/>
  <c r="AC97" i="13"/>
  <c r="AB97" i="13"/>
  <c r="I148" i="13"/>
  <c r="P116" i="13"/>
  <c r="Z116" i="13"/>
  <c r="AC90" i="13"/>
  <c r="AB90" i="13"/>
  <c r="AD59" i="13"/>
  <c r="AC88" i="13"/>
  <c r="AB88" i="13"/>
  <c r="I158" i="13"/>
  <c r="P126" i="13"/>
  <c r="Z126" i="13"/>
  <c r="AC89" i="13"/>
  <c r="AB89" i="13"/>
  <c r="I159" i="13"/>
  <c r="P127" i="13"/>
  <c r="Z127" i="13"/>
  <c r="I157" i="13"/>
  <c r="P125" i="13"/>
  <c r="Z125" i="13"/>
  <c r="AC99" i="13"/>
  <c r="AB99" i="13"/>
  <c r="AD57" i="13"/>
  <c r="AC100" i="13"/>
  <c r="AB100" i="13"/>
  <c r="I151" i="13"/>
  <c r="P119" i="13"/>
  <c r="Z119" i="13"/>
  <c r="I149" i="13"/>
  <c r="P117" i="13"/>
  <c r="Z117" i="13"/>
  <c r="AC91" i="13"/>
  <c r="AB91" i="13"/>
  <c r="AC92" i="13"/>
  <c r="AB92" i="13"/>
  <c r="I162" i="13"/>
  <c r="P130" i="13"/>
  <c r="Z130" i="13"/>
  <c r="Z118" i="13"/>
  <c r="I160" i="13"/>
  <c r="P128" i="13"/>
  <c r="Z128" i="13"/>
  <c r="I161" i="13"/>
  <c r="P129" i="13"/>
  <c r="Z129" i="13"/>
  <c r="AC84" i="13"/>
  <c r="AB84" i="13"/>
  <c r="AD66" i="13"/>
  <c r="I154" i="13"/>
  <c r="P122" i="13"/>
  <c r="Z122" i="13"/>
  <c r="AD61" i="13"/>
  <c r="I152" i="13"/>
  <c r="P120" i="13"/>
  <c r="Z120" i="13"/>
  <c r="AC94" i="13"/>
  <c r="AB94" i="13"/>
  <c r="I153" i="13"/>
  <c r="P121" i="13"/>
  <c r="Z121" i="13"/>
  <c r="AC95" i="13"/>
  <c r="AB95" i="13"/>
  <c r="I147" i="13"/>
  <c r="AC93" i="13"/>
  <c r="AB93" i="13"/>
  <c r="I163" i="13"/>
  <c r="P131" i="13"/>
  <c r="Z131" i="13"/>
  <c r="Z124" i="13" l="1"/>
  <c r="P124" i="13"/>
  <c r="P118" i="13"/>
  <c r="P137" i="22"/>
  <c r="Q137" i="22"/>
  <c r="P140" i="22"/>
  <c r="Q140" i="22"/>
  <c r="P139" i="22"/>
  <c r="Q139" i="22"/>
  <c r="P136" i="22"/>
  <c r="Q136" i="22"/>
  <c r="P138" i="22"/>
  <c r="Q138" i="22"/>
  <c r="AD86" i="13"/>
  <c r="AD84" i="13"/>
  <c r="AD95" i="13"/>
  <c r="AD89" i="13"/>
  <c r="AD92" i="13"/>
  <c r="AD88" i="13"/>
  <c r="AD98" i="13"/>
  <c r="I184" i="13"/>
  <c r="I216" i="13" s="1"/>
  <c r="P152" i="13"/>
  <c r="Z152" i="13"/>
  <c r="I186" i="13"/>
  <c r="I218" i="13" s="1"/>
  <c r="P154" i="13"/>
  <c r="Z154" i="13"/>
  <c r="AC129" i="13"/>
  <c r="AB129" i="13"/>
  <c r="I182" i="13"/>
  <c r="I214" i="13" s="1"/>
  <c r="P150" i="13"/>
  <c r="Z150" i="13"/>
  <c r="I183" i="13"/>
  <c r="I215" i="13" s="1"/>
  <c r="P151" i="13"/>
  <c r="Z151" i="13"/>
  <c r="I189" i="13"/>
  <c r="I221" i="13" s="1"/>
  <c r="P157" i="13"/>
  <c r="Z157" i="13"/>
  <c r="AC126" i="13"/>
  <c r="AB126" i="13"/>
  <c r="AC132" i="13"/>
  <c r="AB132" i="13"/>
  <c r="I195" i="13"/>
  <c r="I227" i="13" s="1"/>
  <c r="P163" i="13"/>
  <c r="Z163" i="13"/>
  <c r="AC121" i="13"/>
  <c r="AB121" i="13"/>
  <c r="AD94" i="13"/>
  <c r="I192" i="13"/>
  <c r="I224" i="13" s="1"/>
  <c r="P160" i="13"/>
  <c r="Z160" i="13"/>
  <c r="AC130" i="13"/>
  <c r="AB130" i="13"/>
  <c r="I181" i="13"/>
  <c r="I213" i="13" s="1"/>
  <c r="P149" i="13"/>
  <c r="Z149" i="13"/>
  <c r="AD99" i="13"/>
  <c r="I191" i="13"/>
  <c r="I223" i="13" s="1"/>
  <c r="P159" i="13"/>
  <c r="Z159" i="13"/>
  <c r="AC116" i="13"/>
  <c r="AB116" i="13"/>
  <c r="AD97" i="13"/>
  <c r="AC124" i="13"/>
  <c r="AB124" i="13"/>
  <c r="I187" i="13"/>
  <c r="I219" i="13" s="1"/>
  <c r="P155" i="13"/>
  <c r="Z155" i="13"/>
  <c r="I179" i="13"/>
  <c r="I211" i="13" s="1"/>
  <c r="AC120" i="13"/>
  <c r="AB120" i="13"/>
  <c r="AC122" i="13"/>
  <c r="AB122" i="13"/>
  <c r="I193" i="13"/>
  <c r="I225" i="13" s="1"/>
  <c r="P161" i="13"/>
  <c r="Z161" i="13"/>
  <c r="AC118" i="13"/>
  <c r="AB118" i="13"/>
  <c r="AD91" i="13"/>
  <c r="AC119" i="13"/>
  <c r="AB119" i="13"/>
  <c r="AD100" i="13"/>
  <c r="AC125" i="13"/>
  <c r="AB125" i="13"/>
  <c r="I190" i="13"/>
  <c r="I222" i="13" s="1"/>
  <c r="P158" i="13"/>
  <c r="Z158" i="13"/>
  <c r="I196" i="13"/>
  <c r="I228" i="13" s="1"/>
  <c r="P164" i="13"/>
  <c r="Z164" i="13"/>
  <c r="I178" i="13"/>
  <c r="I210" i="13" s="1"/>
  <c r="AC131" i="13"/>
  <c r="AB131" i="13"/>
  <c r="AD93" i="13"/>
  <c r="I185" i="13"/>
  <c r="I217" i="13" s="1"/>
  <c r="P153" i="13"/>
  <c r="Z153" i="13"/>
  <c r="AC128" i="13"/>
  <c r="AB128" i="13"/>
  <c r="I194" i="13"/>
  <c r="I226" i="13" s="1"/>
  <c r="P162" i="13"/>
  <c r="Z162" i="13"/>
  <c r="AC117" i="13"/>
  <c r="AB117" i="13"/>
  <c r="AC127" i="13"/>
  <c r="AB127" i="13"/>
  <c r="AD90" i="13"/>
  <c r="I180" i="13"/>
  <c r="I212" i="13" s="1"/>
  <c r="P148" i="13"/>
  <c r="Z148" i="13"/>
  <c r="AD85" i="13"/>
  <c r="AD96" i="13"/>
  <c r="I188" i="13"/>
  <c r="I220" i="13" s="1"/>
  <c r="P156" i="13"/>
  <c r="Z156" i="13"/>
  <c r="AC123" i="13"/>
  <c r="AB123" i="13"/>
  <c r="AD87" i="13"/>
  <c r="H133" i="35"/>
  <c r="Z211" i="13" l="1"/>
  <c r="P211" i="13"/>
  <c r="Z224" i="13"/>
  <c r="P224" i="13"/>
  <c r="P218" i="13"/>
  <c r="Z218" i="13"/>
  <c r="Z212" i="13"/>
  <c r="P212" i="13"/>
  <c r="P226" i="13"/>
  <c r="Z226" i="13"/>
  <c r="Z228" i="13"/>
  <c r="P228" i="13"/>
  <c r="Z221" i="13"/>
  <c r="P221" i="13"/>
  <c r="Z220" i="13"/>
  <c r="P220" i="13"/>
  <c r="Z215" i="13"/>
  <c r="P215" i="13"/>
  <c r="Z210" i="13"/>
  <c r="P210" i="13"/>
  <c r="Z227" i="13"/>
  <c r="P227" i="13"/>
  <c r="Z222" i="13"/>
  <c r="P222" i="13"/>
  <c r="Z217" i="13"/>
  <c r="P217" i="13"/>
  <c r="Z225" i="13"/>
  <c r="P225" i="13"/>
  <c r="Z219" i="13"/>
  <c r="P219" i="13"/>
  <c r="Z223" i="13"/>
  <c r="P223" i="13"/>
  <c r="Z213" i="13"/>
  <c r="P213" i="13"/>
  <c r="Z214" i="13"/>
  <c r="P214" i="13"/>
  <c r="Z216" i="13"/>
  <c r="P216" i="13"/>
  <c r="AD122" i="13"/>
  <c r="AD124" i="13"/>
  <c r="AD130" i="13"/>
  <c r="AD117" i="13"/>
  <c r="AD131" i="13"/>
  <c r="AD125" i="13"/>
  <c r="AD118" i="13"/>
  <c r="AD116" i="13"/>
  <c r="AD126" i="13"/>
  <c r="AD120" i="13"/>
  <c r="AD121" i="13"/>
  <c r="AC156" i="13"/>
  <c r="AB156" i="13"/>
  <c r="P194" i="13"/>
  <c r="Z194" i="13"/>
  <c r="AC164" i="13"/>
  <c r="AB164" i="13"/>
  <c r="AC160" i="13"/>
  <c r="AB160" i="13"/>
  <c r="P195" i="13"/>
  <c r="Z195" i="13"/>
  <c r="P183" i="13"/>
  <c r="Z183" i="13"/>
  <c r="P186" i="13"/>
  <c r="Z186" i="13"/>
  <c r="AC148" i="13"/>
  <c r="AB148" i="13"/>
  <c r="P185" i="13"/>
  <c r="Z185" i="13"/>
  <c r="P190" i="13"/>
  <c r="Z190" i="13"/>
  <c r="P193" i="13"/>
  <c r="Z193" i="13"/>
  <c r="P187" i="13"/>
  <c r="Z187" i="13"/>
  <c r="P191" i="13"/>
  <c r="Z191" i="13"/>
  <c r="P181" i="13"/>
  <c r="Z181" i="13"/>
  <c r="P189" i="13"/>
  <c r="Z189" i="13"/>
  <c r="AC150" i="13"/>
  <c r="AB150" i="13"/>
  <c r="AD129" i="13"/>
  <c r="AC152" i="13"/>
  <c r="AB152" i="13"/>
  <c r="P188" i="13"/>
  <c r="Z188" i="13"/>
  <c r="AD127" i="13"/>
  <c r="AC162" i="13"/>
  <c r="AB162" i="13"/>
  <c r="AD128" i="13"/>
  <c r="P196" i="13"/>
  <c r="Z196" i="13"/>
  <c r="P192" i="13"/>
  <c r="Z192" i="13"/>
  <c r="AC163" i="13"/>
  <c r="AB163" i="13"/>
  <c r="AC151" i="13"/>
  <c r="AB151" i="13"/>
  <c r="AC154" i="13"/>
  <c r="AB154" i="13"/>
  <c r="AD123" i="13"/>
  <c r="P180" i="13"/>
  <c r="Z180" i="13"/>
  <c r="AC153" i="13"/>
  <c r="AB153" i="13"/>
  <c r="AC158" i="13"/>
  <c r="AB158" i="13"/>
  <c r="AD119" i="13"/>
  <c r="AC161" i="13"/>
  <c r="AB161" i="13"/>
  <c r="AC155" i="13"/>
  <c r="AB155" i="13"/>
  <c r="AC159" i="13"/>
  <c r="AB159" i="13"/>
  <c r="AC149" i="13"/>
  <c r="AB149" i="13"/>
  <c r="AD132" i="13"/>
  <c r="AC157" i="13"/>
  <c r="AB157" i="13"/>
  <c r="P182" i="13"/>
  <c r="Z182" i="13"/>
  <c r="P184" i="13"/>
  <c r="Z184" i="13"/>
  <c r="AB214" i="13" l="1"/>
  <c r="AC214" i="13"/>
  <c r="AB223" i="13"/>
  <c r="AC223" i="13"/>
  <c r="AB225" i="13"/>
  <c r="AC225" i="13"/>
  <c r="AC222" i="13"/>
  <c r="AB222" i="13"/>
  <c r="AB210" i="13"/>
  <c r="AC210" i="13"/>
  <c r="AB220" i="13"/>
  <c r="AC220" i="13"/>
  <c r="AC228" i="13"/>
  <c r="AB228" i="13"/>
  <c r="AB212" i="13"/>
  <c r="AC212" i="13"/>
  <c r="AC224" i="13"/>
  <c r="AB224" i="13"/>
  <c r="AC226" i="13"/>
  <c r="AB226" i="13"/>
  <c r="AC218" i="13"/>
  <c r="AB218" i="13"/>
  <c r="AC216" i="13"/>
  <c r="AB216" i="13"/>
  <c r="AB213" i="13"/>
  <c r="AC213" i="13"/>
  <c r="AB219" i="13"/>
  <c r="AC219" i="13"/>
  <c r="AB217" i="13"/>
  <c r="AC217" i="13"/>
  <c r="AB227" i="13"/>
  <c r="AC227" i="13"/>
  <c r="AB215" i="13"/>
  <c r="AC215" i="13"/>
  <c r="AB221" i="13"/>
  <c r="AC221" i="13"/>
  <c r="AB211" i="13"/>
  <c r="AC211" i="13"/>
  <c r="AD164" i="13"/>
  <c r="AD149" i="13"/>
  <c r="AD148" i="13"/>
  <c r="AD156" i="13"/>
  <c r="AD153" i="13"/>
  <c r="AD154" i="13"/>
  <c r="AD152" i="13"/>
  <c r="AD157" i="13"/>
  <c r="AC192" i="13"/>
  <c r="AB192" i="13"/>
  <c r="AC181" i="13"/>
  <c r="AB181" i="13"/>
  <c r="AC187" i="13"/>
  <c r="AB187" i="13"/>
  <c r="AC190" i="13"/>
  <c r="AB190" i="13"/>
  <c r="AC185" i="13"/>
  <c r="AB185" i="13"/>
  <c r="AC186" i="13"/>
  <c r="AB186" i="13"/>
  <c r="AC195" i="13"/>
  <c r="AB195" i="13"/>
  <c r="AC194" i="13"/>
  <c r="AB194" i="13"/>
  <c r="AC184" i="13"/>
  <c r="AB184" i="13"/>
  <c r="AD155" i="13"/>
  <c r="AD158" i="13"/>
  <c r="AD151" i="13"/>
  <c r="AC196" i="13"/>
  <c r="AB196" i="13"/>
  <c r="AD162" i="13"/>
  <c r="AD150" i="13"/>
  <c r="AC189" i="13"/>
  <c r="AB189" i="13"/>
  <c r="AC191" i="13"/>
  <c r="AB191" i="13"/>
  <c r="AC193" i="13"/>
  <c r="AB193" i="13"/>
  <c r="AC183" i="13"/>
  <c r="AB183" i="13"/>
  <c r="AC182" i="13"/>
  <c r="AB182" i="13"/>
  <c r="AD159" i="13"/>
  <c r="AD161" i="13"/>
  <c r="AC180" i="13"/>
  <c r="AB180" i="13"/>
  <c r="AD163" i="13"/>
  <c r="AC188" i="13"/>
  <c r="AB188" i="13"/>
  <c r="AD160" i="13"/>
  <c r="AD221" i="13" l="1"/>
  <c r="AD227" i="13"/>
  <c r="AD219" i="13"/>
  <c r="AD212" i="13"/>
  <c r="AD220" i="13"/>
  <c r="AD223" i="13"/>
  <c r="AD218" i="13"/>
  <c r="AD224" i="13"/>
  <c r="AD228" i="13"/>
  <c r="AD216" i="13"/>
  <c r="AD226" i="13"/>
  <c r="AD222" i="13"/>
  <c r="AD211" i="13"/>
  <c r="AD215" i="13"/>
  <c r="AD217" i="13"/>
  <c r="AD213" i="13"/>
  <c r="AD210" i="13"/>
  <c r="AD225" i="13"/>
  <c r="AD214" i="13"/>
  <c r="AD192" i="13"/>
  <c r="AD188" i="13"/>
  <c r="AD193" i="13"/>
  <c r="AD189" i="13"/>
  <c r="AD180" i="13"/>
  <c r="AD196" i="13"/>
  <c r="AD184" i="13"/>
  <c r="AD186" i="13"/>
  <c r="AD190" i="13"/>
  <c r="AD181" i="13"/>
  <c r="AD183" i="13"/>
  <c r="AD191" i="13"/>
  <c r="AD182" i="13"/>
  <c r="AD194" i="13"/>
  <c r="AD195" i="13"/>
  <c r="AD185" i="13"/>
  <c r="AD187" i="13"/>
  <c r="W149" i="22"/>
  <c r="W150" i="22"/>
  <c r="W158" i="22"/>
  <c r="W164" i="22"/>
  <c r="W172" i="22"/>
  <c r="W173" i="22"/>
  <c r="W174" i="22"/>
  <c r="W178" i="22"/>
  <c r="W179" i="22"/>
  <c r="W180" i="22"/>
  <c r="W181" i="22"/>
  <c r="W182" i="22"/>
  <c r="D72" i="22" l="1"/>
  <c r="D73" i="22"/>
  <c r="C73" i="22"/>
  <c r="D76" i="22" l="1"/>
  <c r="C76" i="22"/>
  <c r="D75" i="22"/>
  <c r="C75" i="22"/>
  <c r="C74" i="22"/>
  <c r="D74" i="22"/>
  <c r="C83" i="22" l="1"/>
  <c r="C85" i="22" l="1"/>
  <c r="I30" i="35" s="1"/>
  <c r="E83" i="22"/>
  <c r="E85" i="22" s="1"/>
  <c r="K30" i="35" s="1"/>
  <c r="H85" i="22"/>
  <c r="N30" i="35" s="1"/>
  <c r="G83" i="22" l="1"/>
  <c r="G85" i="22" s="1"/>
  <c r="M30" i="35" s="1"/>
  <c r="F83" i="22"/>
  <c r="F85" i="22" s="1"/>
  <c r="L30" i="35" s="1"/>
  <c r="D83" i="22"/>
  <c r="I22" i="31"/>
  <c r="P117" i="22"/>
  <c r="R117" i="22" l="1"/>
  <c r="F51" i="38"/>
  <c r="G51" i="38"/>
  <c r="H51" i="38"/>
  <c r="I51" i="38"/>
  <c r="J51" i="38"/>
  <c r="K51" i="38"/>
  <c r="F83" i="38" l="1"/>
  <c r="G83" i="38" l="1"/>
  <c r="H83" i="38" l="1"/>
  <c r="E14" i="43"/>
  <c r="F14" i="43"/>
  <c r="E15" i="43"/>
  <c r="F15" i="43"/>
  <c r="E16" i="43"/>
  <c r="F16" i="43"/>
  <c r="E17" i="43"/>
  <c r="F17" i="43"/>
  <c r="E18" i="43"/>
  <c r="F18" i="43"/>
  <c r="E19" i="43"/>
  <c r="F19" i="43"/>
  <c r="E20" i="43"/>
  <c r="F20" i="43"/>
  <c r="E21" i="43"/>
  <c r="F21" i="43"/>
  <c r="E22" i="43"/>
  <c r="F22" i="43"/>
  <c r="E23" i="43"/>
  <c r="F23" i="43"/>
  <c r="E24" i="43"/>
  <c r="F24" i="43"/>
  <c r="E25" i="43"/>
  <c r="F25" i="43"/>
  <c r="E26" i="43"/>
  <c r="F26" i="43"/>
  <c r="E27" i="43"/>
  <c r="F27" i="43"/>
  <c r="E28" i="43"/>
  <c r="F28" i="43"/>
  <c r="E29" i="43"/>
  <c r="F29" i="43"/>
  <c r="E30" i="43"/>
  <c r="F30" i="43"/>
  <c r="E31" i="43"/>
  <c r="F31" i="43"/>
  <c r="E32" i="43"/>
  <c r="F32" i="43"/>
  <c r="E33" i="43"/>
  <c r="F33" i="43"/>
  <c r="E34" i="43"/>
  <c r="F34" i="43"/>
  <c r="E35" i="43"/>
  <c r="F35" i="43"/>
  <c r="E36" i="43"/>
  <c r="F36" i="43"/>
  <c r="E37" i="43"/>
  <c r="F37" i="43"/>
  <c r="E38" i="43"/>
  <c r="F38" i="43"/>
  <c r="E39" i="43"/>
  <c r="F39" i="43"/>
  <c r="E40" i="43"/>
  <c r="F40" i="43"/>
  <c r="E41" i="43"/>
  <c r="F41" i="43"/>
  <c r="E42" i="43"/>
  <c r="F42" i="43"/>
  <c r="E43" i="43"/>
  <c r="F43" i="43"/>
  <c r="E44" i="43"/>
  <c r="F44" i="43"/>
  <c r="E45" i="43"/>
  <c r="F45" i="43"/>
  <c r="E46" i="43"/>
  <c r="F46" i="43"/>
  <c r="E47" i="43"/>
  <c r="F47" i="43"/>
  <c r="E48" i="43"/>
  <c r="F48" i="43"/>
  <c r="E49" i="43"/>
  <c r="F49" i="43"/>
  <c r="E50" i="43"/>
  <c r="F50" i="43"/>
  <c r="E51" i="43"/>
  <c r="F51" i="43"/>
  <c r="E52" i="43"/>
  <c r="F52" i="43"/>
  <c r="E53" i="43"/>
  <c r="F53" i="43"/>
  <c r="E54" i="43"/>
  <c r="F54" i="43"/>
  <c r="E55" i="43"/>
  <c r="F55" i="43"/>
  <c r="E56" i="43"/>
  <c r="F56" i="43"/>
  <c r="E57" i="43"/>
  <c r="F57" i="43"/>
  <c r="E58" i="43"/>
  <c r="F58" i="43"/>
  <c r="E59" i="43"/>
  <c r="F59" i="43"/>
  <c r="E60" i="43"/>
  <c r="F60" i="43"/>
  <c r="E61" i="43"/>
  <c r="F61" i="43"/>
  <c r="E62" i="43"/>
  <c r="F62" i="43"/>
  <c r="E63" i="43"/>
  <c r="F63" i="43"/>
  <c r="E64" i="43"/>
  <c r="F64" i="43"/>
  <c r="E65" i="43"/>
  <c r="F65" i="43"/>
  <c r="E66" i="43"/>
  <c r="F66" i="43"/>
  <c r="E67" i="43"/>
  <c r="F67" i="43"/>
  <c r="E68" i="43"/>
  <c r="F68" i="43"/>
  <c r="E69" i="43"/>
  <c r="F69" i="43"/>
  <c r="E70" i="43"/>
  <c r="F70" i="43"/>
  <c r="E71" i="43"/>
  <c r="F71" i="43"/>
  <c r="E72" i="43"/>
  <c r="F72" i="43"/>
  <c r="E73" i="43"/>
  <c r="F73" i="43"/>
  <c r="E74" i="43"/>
  <c r="F74" i="43"/>
  <c r="E75" i="43"/>
  <c r="F75" i="43"/>
  <c r="E76" i="43"/>
  <c r="F76" i="43"/>
  <c r="E77" i="43"/>
  <c r="F77" i="43"/>
  <c r="E78" i="43"/>
  <c r="F78" i="43"/>
  <c r="E79" i="43"/>
  <c r="F79" i="43"/>
  <c r="E80" i="43"/>
  <c r="F80" i="43"/>
  <c r="E81" i="43"/>
  <c r="F81" i="43"/>
  <c r="E82" i="43"/>
  <c r="F82" i="43"/>
  <c r="E83" i="43"/>
  <c r="F83" i="43"/>
  <c r="E84" i="43"/>
  <c r="F84" i="43"/>
  <c r="E85" i="43"/>
  <c r="F85" i="43"/>
  <c r="E86" i="43"/>
  <c r="F86" i="43"/>
  <c r="E87" i="43"/>
  <c r="F87" i="43"/>
  <c r="E88" i="43"/>
  <c r="F88" i="43"/>
  <c r="E89" i="43"/>
  <c r="F89" i="43"/>
  <c r="E90" i="43"/>
  <c r="F90" i="43"/>
  <c r="E91" i="43"/>
  <c r="F91" i="43"/>
  <c r="E92" i="43"/>
  <c r="F92" i="43"/>
  <c r="E93" i="43"/>
  <c r="F93" i="43"/>
  <c r="E94" i="43"/>
  <c r="F94" i="43"/>
  <c r="E95" i="43"/>
  <c r="F95" i="43"/>
  <c r="E96" i="43"/>
  <c r="F96" i="43"/>
  <c r="E97" i="43"/>
  <c r="F97" i="43"/>
  <c r="E98" i="43"/>
  <c r="F98" i="43"/>
  <c r="E99" i="43"/>
  <c r="F99" i="43"/>
  <c r="E100" i="43"/>
  <c r="F100" i="43"/>
  <c r="E101" i="43"/>
  <c r="F101" i="43"/>
  <c r="E102" i="43"/>
  <c r="F102" i="43"/>
  <c r="E103" i="43"/>
  <c r="F103" i="43"/>
  <c r="E104" i="43"/>
  <c r="F104" i="43"/>
  <c r="E105" i="43"/>
  <c r="F105" i="43"/>
  <c r="E106" i="43"/>
  <c r="F106" i="43"/>
  <c r="E107" i="43"/>
  <c r="F107" i="43"/>
  <c r="E108" i="43"/>
  <c r="F108" i="43"/>
  <c r="E109" i="43"/>
  <c r="F109" i="43"/>
  <c r="E110" i="43"/>
  <c r="F110" i="43"/>
  <c r="E111" i="43"/>
  <c r="F111" i="43"/>
  <c r="E112" i="43"/>
  <c r="F112" i="43"/>
  <c r="E113" i="43"/>
  <c r="F113" i="43"/>
  <c r="E114" i="43"/>
  <c r="F114" i="43"/>
  <c r="E115" i="43"/>
  <c r="F115" i="43"/>
  <c r="E116" i="43"/>
  <c r="F116" i="43"/>
  <c r="E117" i="43"/>
  <c r="F117" i="43"/>
  <c r="E118" i="43"/>
  <c r="F118" i="43"/>
  <c r="E119" i="43"/>
  <c r="F119" i="43"/>
  <c r="E120" i="43"/>
  <c r="F120" i="43"/>
  <c r="E121" i="43"/>
  <c r="F121" i="43"/>
  <c r="E122" i="43"/>
  <c r="F122" i="43"/>
  <c r="E123" i="43"/>
  <c r="F123" i="43"/>
  <c r="E124" i="43"/>
  <c r="F124" i="43"/>
  <c r="E125" i="43"/>
  <c r="F125" i="43"/>
  <c r="E126" i="43"/>
  <c r="F126" i="43"/>
  <c r="E127" i="43"/>
  <c r="F127" i="43"/>
  <c r="E128" i="43"/>
  <c r="F128" i="43"/>
  <c r="E129" i="43"/>
  <c r="F129" i="43"/>
  <c r="E130" i="43"/>
  <c r="F130" i="43"/>
  <c r="E131" i="43"/>
  <c r="F131" i="43"/>
  <c r="E132" i="43"/>
  <c r="F132" i="43"/>
  <c r="E133" i="43"/>
  <c r="F133" i="43"/>
  <c r="E134" i="43"/>
  <c r="F134" i="43"/>
  <c r="E135" i="43"/>
  <c r="F135" i="43"/>
  <c r="E136" i="43"/>
  <c r="F136" i="43"/>
  <c r="E137" i="43"/>
  <c r="F137" i="43"/>
  <c r="E13" i="43"/>
  <c r="F13" i="43"/>
  <c r="E141" i="43"/>
  <c r="E142" i="43"/>
  <c r="E143" i="43"/>
  <c r="E144" i="43"/>
  <c r="E145" i="43"/>
  <c r="E146" i="43"/>
  <c r="E147" i="43"/>
  <c r="E148" i="43"/>
  <c r="E149" i="43"/>
  <c r="E150" i="43"/>
  <c r="E151" i="43"/>
  <c r="E152" i="43"/>
  <c r="E153" i="43"/>
  <c r="E154" i="43"/>
  <c r="E140" i="43"/>
  <c r="AA155" i="43"/>
  <c r="H146" i="43"/>
  <c r="R146" i="43"/>
  <c r="S146" i="43" s="1"/>
  <c r="T146" i="43" s="1"/>
  <c r="AB146" i="43"/>
  <c r="AC146" i="43" s="1"/>
  <c r="AD146" i="43" s="1"/>
  <c r="R147" i="43"/>
  <c r="S147" i="43" s="1"/>
  <c r="T147" i="43" s="1"/>
  <c r="AB147" i="43"/>
  <c r="AC147" i="43" s="1"/>
  <c r="AD147" i="43" s="1"/>
  <c r="R148" i="43"/>
  <c r="S148" i="43" s="1"/>
  <c r="T148" i="43" s="1"/>
  <c r="AB148" i="43"/>
  <c r="AC148" i="43" s="1"/>
  <c r="AD148" i="43" s="1"/>
  <c r="R149" i="43"/>
  <c r="S149" i="43" s="1"/>
  <c r="T149" i="43" s="1"/>
  <c r="AB149" i="43"/>
  <c r="AC149" i="43" s="1"/>
  <c r="AD149" i="43" s="1"/>
  <c r="R150" i="43"/>
  <c r="S150" i="43" s="1"/>
  <c r="T150" i="43" s="1"/>
  <c r="AB150" i="43"/>
  <c r="AC150" i="43" s="1"/>
  <c r="AD150" i="43" s="1"/>
  <c r="R151" i="43"/>
  <c r="S151" i="43" s="1"/>
  <c r="T151" i="43" s="1"/>
  <c r="AB151" i="43"/>
  <c r="AC151" i="43" s="1"/>
  <c r="AD151" i="43" s="1"/>
  <c r="R152" i="43"/>
  <c r="S152" i="43" s="1"/>
  <c r="T152" i="43" s="1"/>
  <c r="AB152" i="43"/>
  <c r="AC152" i="43" s="1"/>
  <c r="AD152" i="43" s="1"/>
  <c r="R153" i="43"/>
  <c r="S153" i="43" s="1"/>
  <c r="T153" i="43" s="1"/>
  <c r="AB153" i="43"/>
  <c r="AC153" i="43" s="1"/>
  <c r="AD153" i="43" s="1"/>
  <c r="R154" i="43"/>
  <c r="S154" i="43" s="1"/>
  <c r="T154" i="43" s="1"/>
  <c r="AB154" i="43"/>
  <c r="AC154" i="43" s="1"/>
  <c r="AD154" i="43" s="1"/>
  <c r="H154" i="43" l="1"/>
  <c r="I154" i="43" s="1"/>
  <c r="J154" i="43" s="1"/>
  <c r="H150" i="43"/>
  <c r="I150" i="43" s="1"/>
  <c r="J150" i="43" s="1"/>
  <c r="H152" i="43"/>
  <c r="I152" i="43" s="1"/>
  <c r="J152" i="43" s="1"/>
  <c r="H148" i="43"/>
  <c r="I148" i="43" s="1"/>
  <c r="J148" i="43" s="1"/>
  <c r="H151" i="43"/>
  <c r="I151" i="43" s="1"/>
  <c r="H149" i="43"/>
  <c r="I149" i="43" s="1"/>
  <c r="H147" i="43"/>
  <c r="I147" i="43" s="1"/>
  <c r="I83" i="38"/>
  <c r="H153" i="43"/>
  <c r="I153" i="43" s="1"/>
  <c r="I146" i="43"/>
  <c r="J83" i="38" l="1"/>
  <c r="K83" i="38"/>
  <c r="J146" i="43"/>
  <c r="J147" i="43"/>
  <c r="J151" i="43"/>
  <c r="J149" i="43"/>
  <c r="J153" i="43"/>
  <c r="P115" i="22"/>
  <c r="R115" i="22" s="1"/>
  <c r="P116" i="22"/>
  <c r="R116" i="22" s="1"/>
  <c r="P118" i="22"/>
  <c r="R118" i="22" s="1"/>
  <c r="P119" i="22"/>
  <c r="R119" i="22" s="1"/>
  <c r="M113" i="22"/>
  <c r="P114" i="22" l="1"/>
  <c r="R114" i="22" s="1"/>
  <c r="K30" i="37"/>
  <c r="L30" i="37"/>
  <c r="K32" i="37"/>
  <c r="M102" i="35" s="1"/>
  <c r="L32" i="37"/>
  <c r="N102" i="35" s="1"/>
  <c r="K33" i="37"/>
  <c r="M103" i="35" s="1"/>
  <c r="L33" i="37"/>
  <c r="N103" i="35" s="1"/>
  <c r="K21" i="37"/>
  <c r="L21" i="37"/>
  <c r="K23" i="37"/>
  <c r="L23" i="37"/>
  <c r="K24" i="37"/>
  <c r="L24" i="37"/>
  <c r="F8" i="37"/>
  <c r="M195" i="35"/>
  <c r="N195" i="35"/>
  <c r="E170" i="13"/>
  <c r="E169" i="13"/>
  <c r="E138" i="13"/>
  <c r="E137" i="13"/>
  <c r="L11" i="48"/>
  <c r="M11" i="48"/>
  <c r="M8" i="18"/>
  <c r="M105" i="18" s="1"/>
  <c r="N8" i="18"/>
  <c r="N105" i="18" s="1"/>
  <c r="L213" i="48" l="1"/>
  <c r="L31" i="48"/>
  <c r="L51" i="48" s="1"/>
  <c r="L71" i="48" s="1"/>
  <c r="L91" i="48" s="1"/>
  <c r="L115" i="48" s="1"/>
  <c r="L135" i="48" s="1"/>
  <c r="L155" i="48" s="1"/>
  <c r="L175" i="48" s="1"/>
  <c r="L195" i="48" s="1"/>
  <c r="M213" i="48"/>
  <c r="M31" i="48"/>
  <c r="M51" i="48" s="1"/>
  <c r="M71" i="48" s="1"/>
  <c r="M91" i="48" s="1"/>
  <c r="M115" i="48" s="1"/>
  <c r="M135" i="48" s="1"/>
  <c r="M155" i="48" s="1"/>
  <c r="M175" i="48" s="1"/>
  <c r="M195" i="48" s="1"/>
  <c r="N100" i="35"/>
  <c r="M100" i="35"/>
  <c r="N8" i="24"/>
  <c r="N39" i="24" s="1"/>
  <c r="N140" i="24" s="1"/>
  <c r="O8" i="24"/>
  <c r="O39" i="24" s="1"/>
  <c r="O140" i="24" s="1"/>
  <c r="N13" i="24"/>
  <c r="O13" i="24"/>
  <c r="N26" i="24"/>
  <c r="O26" i="24"/>
  <c r="K21" i="34"/>
  <c r="K11" i="34" s="1"/>
  <c r="L21" i="34"/>
  <c r="L11" i="34" s="1"/>
  <c r="I140" i="31"/>
  <c r="J140" i="31" s="1"/>
  <c r="K140" i="31" s="1"/>
  <c r="L140" i="31" s="1"/>
  <c r="M140" i="31" s="1"/>
  <c r="N140" i="31" s="1"/>
  <c r="O140" i="31" s="1"/>
  <c r="I141" i="31"/>
  <c r="J141" i="31" s="1"/>
  <c r="K141" i="31" s="1"/>
  <c r="L141" i="31" s="1"/>
  <c r="M141" i="31" s="1"/>
  <c r="N141" i="31" s="1"/>
  <c r="O141" i="31" s="1"/>
  <c r="I142" i="31"/>
  <c r="J142" i="31" s="1"/>
  <c r="K142" i="31" s="1"/>
  <c r="L142" i="31" s="1"/>
  <c r="M142" i="31" s="1"/>
  <c r="N142" i="31" s="1"/>
  <c r="O142" i="31" s="1"/>
  <c r="I143" i="31"/>
  <c r="J143" i="31" s="1"/>
  <c r="K143" i="31" s="1"/>
  <c r="L143" i="31" s="1"/>
  <c r="M143" i="31" s="1"/>
  <c r="N143" i="31" s="1"/>
  <c r="O143" i="31" s="1"/>
  <c r="I144" i="31"/>
  <c r="J144" i="31" s="1"/>
  <c r="K144" i="31" s="1"/>
  <c r="L144" i="31" s="1"/>
  <c r="M144" i="31" s="1"/>
  <c r="N144" i="31" s="1"/>
  <c r="O144" i="31" s="1"/>
  <c r="I145" i="31"/>
  <c r="J145" i="31" s="1"/>
  <c r="K145" i="31" s="1"/>
  <c r="L145" i="31" s="1"/>
  <c r="M145" i="31" s="1"/>
  <c r="N145" i="31" s="1"/>
  <c r="O145" i="31" s="1"/>
  <c r="M16" i="31"/>
  <c r="N16" i="31"/>
  <c r="L12" i="1"/>
  <c r="L77" i="1" s="1"/>
  <c r="K12" i="1"/>
  <c r="K77" i="1" s="1"/>
  <c r="M46" i="31" l="1"/>
  <c r="M177" i="31"/>
  <c r="N46" i="31"/>
  <c r="N177" i="31"/>
  <c r="L36" i="34"/>
  <c r="K36" i="34"/>
  <c r="W176" i="22"/>
  <c r="W166" i="22"/>
  <c r="W171" i="22"/>
  <c r="W167" i="22"/>
  <c r="W177" i="22"/>
  <c r="W170" i="22"/>
  <c r="I146" i="31" l="1"/>
  <c r="J146" i="31" s="1"/>
  <c r="K146" i="31" s="1"/>
  <c r="L146" i="31" s="1"/>
  <c r="M146" i="31" s="1"/>
  <c r="N146" i="31" s="1"/>
  <c r="O146" i="31" s="1"/>
  <c r="J113" i="22"/>
  <c r="F44" i="24"/>
  <c r="F45" i="24"/>
  <c r="F46" i="24"/>
  <c r="F248" i="24" s="1"/>
  <c r="F47" i="24"/>
  <c r="F249" i="24" s="1"/>
  <c r="F48" i="24"/>
  <c r="F49" i="24"/>
  <c r="F251" i="24" s="1"/>
  <c r="F50" i="24"/>
  <c r="F51" i="24"/>
  <c r="F52" i="24"/>
  <c r="F254" i="24" s="1"/>
  <c r="F53" i="24"/>
  <c r="F255" i="24" s="1"/>
  <c r="F54" i="24"/>
  <c r="F55" i="24"/>
  <c r="F257" i="24" s="1"/>
  <c r="F56" i="24"/>
  <c r="F258" i="24" s="1"/>
  <c r="F57" i="24"/>
  <c r="F58" i="24"/>
  <c r="F260" i="24" s="1"/>
  <c r="F59" i="24"/>
  <c r="F261" i="24" s="1"/>
  <c r="F60" i="24"/>
  <c r="F61" i="24"/>
  <c r="F263" i="24" s="1"/>
  <c r="F62" i="24"/>
  <c r="F264" i="24" s="1"/>
  <c r="F63" i="24"/>
  <c r="F64" i="24"/>
  <c r="F65" i="24"/>
  <c r="F267" i="24" s="1"/>
  <c r="F66" i="24"/>
  <c r="F67" i="24"/>
  <c r="F269" i="24" s="1"/>
  <c r="F68" i="24"/>
  <c r="F270" i="24" s="1"/>
  <c r="F69" i="24"/>
  <c r="F271" i="24" s="1"/>
  <c r="F70" i="24"/>
  <c r="F272" i="24" s="1"/>
  <c r="F71" i="24"/>
  <c r="F273" i="24" s="1"/>
  <c r="F72" i="24"/>
  <c r="F73" i="24"/>
  <c r="F275" i="24" s="1"/>
  <c r="F74" i="24"/>
  <c r="F75" i="24"/>
  <c r="F76" i="24"/>
  <c r="F77" i="24"/>
  <c r="F279" i="24" s="1"/>
  <c r="F78" i="24"/>
  <c r="F79" i="24"/>
  <c r="F80" i="24"/>
  <c r="F282" i="24" s="1"/>
  <c r="F81" i="24"/>
  <c r="F82" i="24"/>
  <c r="F83" i="24"/>
  <c r="F285" i="24" s="1"/>
  <c r="F84" i="24"/>
  <c r="F85" i="24"/>
  <c r="F86" i="24"/>
  <c r="F87" i="24"/>
  <c r="F88" i="24"/>
  <c r="F89" i="24"/>
  <c r="F291" i="24" s="1"/>
  <c r="F90" i="24"/>
  <c r="F91" i="24"/>
  <c r="F293" i="24" s="1"/>
  <c r="F92" i="24"/>
  <c r="F93" i="24"/>
  <c r="F94" i="24"/>
  <c r="F95" i="24"/>
  <c r="F96" i="24"/>
  <c r="F97" i="24"/>
  <c r="F98" i="24"/>
  <c r="F99" i="24"/>
  <c r="F100" i="24"/>
  <c r="F101" i="24"/>
  <c r="F102" i="24"/>
  <c r="F103" i="24"/>
  <c r="F104" i="24"/>
  <c r="F105" i="24"/>
  <c r="F106" i="24"/>
  <c r="F107" i="24"/>
  <c r="F108" i="24"/>
  <c r="F109" i="24"/>
  <c r="F110" i="24"/>
  <c r="F111" i="24"/>
  <c r="F112" i="24"/>
  <c r="F113" i="24"/>
  <c r="F114" i="24"/>
  <c r="F115" i="24"/>
  <c r="F116" i="24"/>
  <c r="F117" i="24"/>
  <c r="F118" i="24"/>
  <c r="F119" i="24"/>
  <c r="F120" i="24"/>
  <c r="F121" i="24"/>
  <c r="F122" i="24"/>
  <c r="F123" i="24"/>
  <c r="F124" i="24"/>
  <c r="F125" i="24"/>
  <c r="F126" i="24"/>
  <c r="F127" i="24"/>
  <c r="F128" i="24"/>
  <c r="F129" i="24"/>
  <c r="F130" i="24"/>
  <c r="F131" i="24"/>
  <c r="F132" i="24"/>
  <c r="F133" i="24"/>
  <c r="F143" i="24"/>
  <c r="F144" i="24"/>
  <c r="F145" i="24"/>
  <c r="F146" i="24"/>
  <c r="F147" i="24"/>
  <c r="F148" i="24"/>
  <c r="F149" i="24"/>
  <c r="F150" i="24"/>
  <c r="F151" i="24"/>
  <c r="F152" i="24"/>
  <c r="F153" i="24"/>
  <c r="F154" i="24"/>
  <c r="F155" i="24"/>
  <c r="F156" i="24"/>
  <c r="F157" i="24"/>
  <c r="F158" i="24"/>
  <c r="F159" i="24"/>
  <c r="F160" i="24"/>
  <c r="F161" i="24"/>
  <c r="F162" i="24"/>
  <c r="F163" i="24"/>
  <c r="F164" i="24"/>
  <c r="F165" i="24"/>
  <c r="F166" i="24"/>
  <c r="F167" i="24"/>
  <c r="F168" i="24"/>
  <c r="F169" i="24"/>
  <c r="F170" i="24"/>
  <c r="F171" i="24"/>
  <c r="F172" i="24"/>
  <c r="F173" i="24"/>
  <c r="F174" i="24"/>
  <c r="F175" i="24"/>
  <c r="F176" i="24"/>
  <c r="F177" i="24"/>
  <c r="F178" i="24"/>
  <c r="F179" i="24"/>
  <c r="F180" i="24"/>
  <c r="F181" i="24"/>
  <c r="F182" i="24"/>
  <c r="F183" i="24"/>
  <c r="F184" i="24"/>
  <c r="F185" i="24"/>
  <c r="F186" i="24"/>
  <c r="F187" i="24"/>
  <c r="F188" i="24"/>
  <c r="F189" i="24"/>
  <c r="F190" i="24"/>
  <c r="F191" i="24"/>
  <c r="F192" i="24"/>
  <c r="F193" i="24"/>
  <c r="F194" i="24"/>
  <c r="F195" i="24"/>
  <c r="F196" i="24"/>
  <c r="F197" i="24"/>
  <c r="F198" i="24"/>
  <c r="F199" i="24"/>
  <c r="F200" i="24"/>
  <c r="F201" i="24"/>
  <c r="F202" i="24"/>
  <c r="F203" i="24"/>
  <c r="F204" i="24"/>
  <c r="F205" i="24"/>
  <c r="F206" i="24"/>
  <c r="F207" i="24"/>
  <c r="F208" i="24"/>
  <c r="F209" i="24"/>
  <c r="F411" i="24" s="1"/>
  <c r="F210" i="24"/>
  <c r="F211" i="24"/>
  <c r="F413" i="24" s="1"/>
  <c r="F212" i="24"/>
  <c r="F414" i="24" s="1"/>
  <c r="F213" i="24"/>
  <c r="F415" i="24" s="1"/>
  <c r="F214" i="24"/>
  <c r="F416" i="24" s="1"/>
  <c r="F215" i="24"/>
  <c r="F216" i="24"/>
  <c r="F217" i="24"/>
  <c r="F218" i="24"/>
  <c r="F219" i="24"/>
  <c r="F220" i="24"/>
  <c r="F221" i="24"/>
  <c r="F222" i="24"/>
  <c r="F223" i="24"/>
  <c r="F224" i="24"/>
  <c r="F225" i="24"/>
  <c r="F226" i="24"/>
  <c r="F227" i="24"/>
  <c r="F228" i="24"/>
  <c r="F229" i="24"/>
  <c r="F230" i="24"/>
  <c r="F231" i="24"/>
  <c r="F232" i="24"/>
  <c r="I234" i="24"/>
  <c r="I14" i="24" s="1"/>
  <c r="H133" i="18" s="1"/>
  <c r="I436" i="24"/>
  <c r="I20" i="24" s="1"/>
  <c r="H146" i="35" s="1"/>
  <c r="I298" i="31"/>
  <c r="J298" i="31" s="1"/>
  <c r="K298" i="31" s="1"/>
  <c r="L298" i="31" s="1"/>
  <c r="M298" i="31" s="1"/>
  <c r="I290" i="31"/>
  <c r="J290" i="31" s="1"/>
  <c r="K290" i="31" s="1"/>
  <c r="L290" i="31" s="1"/>
  <c r="M290" i="31" s="1"/>
  <c r="I282" i="31"/>
  <c r="J282" i="31" s="1"/>
  <c r="K282" i="31" s="1"/>
  <c r="L282" i="31" s="1"/>
  <c r="M282" i="31" s="1"/>
  <c r="I274" i="31"/>
  <c r="J274" i="31" s="1"/>
  <c r="K274" i="31" s="1"/>
  <c r="L274" i="31" s="1"/>
  <c r="M274" i="31" s="1"/>
  <c r="I266" i="31"/>
  <c r="J266" i="31" s="1"/>
  <c r="K266" i="31" s="1"/>
  <c r="L266" i="31" s="1"/>
  <c r="M266" i="31" s="1"/>
  <c r="I258" i="31"/>
  <c r="J258" i="31" s="1"/>
  <c r="K258" i="31" s="1"/>
  <c r="L258" i="31" s="1"/>
  <c r="M258" i="31" s="1"/>
  <c r="I250" i="31"/>
  <c r="J250" i="31" s="1"/>
  <c r="K250" i="31" s="1"/>
  <c r="L250" i="31" s="1"/>
  <c r="M250" i="31" s="1"/>
  <c r="I242" i="31"/>
  <c r="J242" i="31" s="1"/>
  <c r="K242" i="31" s="1"/>
  <c r="L242" i="31" s="1"/>
  <c r="M242" i="31" s="1"/>
  <c r="I234" i="31"/>
  <c r="J234" i="31" s="1"/>
  <c r="K234" i="31" s="1"/>
  <c r="L234" i="31" s="1"/>
  <c r="M234" i="31" s="1"/>
  <c r="I226" i="31"/>
  <c r="J226" i="31" s="1"/>
  <c r="K226" i="31" s="1"/>
  <c r="L226" i="31" s="1"/>
  <c r="M226" i="31" s="1"/>
  <c r="I218" i="31"/>
  <c r="J218" i="31" s="1"/>
  <c r="K218" i="31" s="1"/>
  <c r="L218" i="31" s="1"/>
  <c r="M218" i="31" s="1"/>
  <c r="I210" i="31"/>
  <c r="J210" i="31" s="1"/>
  <c r="K210" i="31" s="1"/>
  <c r="L210" i="31" s="1"/>
  <c r="M210" i="31" s="1"/>
  <c r="I202" i="31"/>
  <c r="J202" i="31" s="1"/>
  <c r="K202" i="31" s="1"/>
  <c r="L202" i="31" s="1"/>
  <c r="M202" i="31" s="1"/>
  <c r="I194" i="31"/>
  <c r="J194" i="31" s="1"/>
  <c r="K194" i="31" s="1"/>
  <c r="L194" i="31" s="1"/>
  <c r="M194" i="31" s="1"/>
  <c r="I186" i="31"/>
  <c r="J186" i="31" s="1"/>
  <c r="K186" i="31" s="1"/>
  <c r="L186" i="31" s="1"/>
  <c r="M186" i="31" s="1"/>
  <c r="I170" i="31"/>
  <c r="J170" i="31" s="1"/>
  <c r="K170" i="31" s="1"/>
  <c r="L170" i="31" s="1"/>
  <c r="M170" i="31" s="1"/>
  <c r="I162" i="31"/>
  <c r="J162" i="31" s="1"/>
  <c r="K162" i="31" s="1"/>
  <c r="L162" i="31" s="1"/>
  <c r="M162" i="31" s="1"/>
  <c r="I154" i="31"/>
  <c r="J154" i="31" s="1"/>
  <c r="K154" i="31" s="1"/>
  <c r="L154" i="31" s="1"/>
  <c r="M154" i="31" s="1"/>
  <c r="I138" i="31"/>
  <c r="J138" i="31" s="1"/>
  <c r="K138" i="31" s="1"/>
  <c r="L138" i="31" s="1"/>
  <c r="M138" i="31" s="1"/>
  <c r="I130" i="31"/>
  <c r="J130" i="31" s="1"/>
  <c r="K130" i="31" s="1"/>
  <c r="L130" i="31" s="1"/>
  <c r="M130" i="31" s="1"/>
  <c r="I122" i="31"/>
  <c r="J122" i="31" s="1"/>
  <c r="K122" i="31" s="1"/>
  <c r="L122" i="31" s="1"/>
  <c r="M122" i="31" s="1"/>
  <c r="I114" i="31"/>
  <c r="J114" i="31" s="1"/>
  <c r="K114" i="31" s="1"/>
  <c r="L114" i="31" s="1"/>
  <c r="M114" i="31" s="1"/>
  <c r="I106" i="31"/>
  <c r="J106" i="31" s="1"/>
  <c r="K106" i="31" s="1"/>
  <c r="L106" i="31" s="1"/>
  <c r="M106" i="31" s="1"/>
  <c r="I97" i="31"/>
  <c r="J97" i="31" s="1"/>
  <c r="K97" i="31" s="1"/>
  <c r="L97" i="31" s="1"/>
  <c r="M97" i="31" s="1"/>
  <c r="I89" i="31"/>
  <c r="J89" i="31" s="1"/>
  <c r="K89" i="31" s="1"/>
  <c r="L89" i="31" s="1"/>
  <c r="M89" i="31" s="1"/>
  <c r="I81" i="31"/>
  <c r="J81" i="31" s="1"/>
  <c r="K81" i="31" s="1"/>
  <c r="L81" i="31" s="1"/>
  <c r="M81" i="31" s="1"/>
  <c r="I73" i="31"/>
  <c r="J73" i="31" s="1"/>
  <c r="K73" i="31" s="1"/>
  <c r="L73" i="31" s="1"/>
  <c r="M73" i="31" s="1"/>
  <c r="I65" i="31"/>
  <c r="J65" i="31" s="1"/>
  <c r="K65" i="31" s="1"/>
  <c r="L65" i="31" s="1"/>
  <c r="M65" i="31" s="1"/>
  <c r="J57" i="31"/>
  <c r="K57" i="31" s="1"/>
  <c r="L57" i="31" s="1"/>
  <c r="M57" i="31" s="1"/>
  <c r="H33" i="31"/>
  <c r="H32" i="31"/>
  <c r="H30" i="31"/>
  <c r="H29" i="31"/>
  <c r="H27" i="31"/>
  <c r="H26" i="31"/>
  <c r="C64" i="22"/>
  <c r="C87" i="22"/>
  <c r="C105" i="22"/>
  <c r="G23" i="1"/>
  <c r="G24" i="1"/>
  <c r="G25" i="1"/>
  <c r="G26" i="1"/>
  <c r="G27" i="1"/>
  <c r="G28" i="1"/>
  <c r="G29" i="1"/>
  <c r="G30" i="1"/>
  <c r="I30" i="1" s="1"/>
  <c r="G31" i="1"/>
  <c r="G32" i="1"/>
  <c r="I32" i="1" s="1"/>
  <c r="J32" i="1" s="1"/>
  <c r="G33" i="1"/>
  <c r="G34" i="1"/>
  <c r="I34" i="1" s="1"/>
  <c r="G35" i="1"/>
  <c r="H22" i="31"/>
  <c r="F36" i="1"/>
  <c r="H198" i="18"/>
  <c r="I76" i="35"/>
  <c r="J76" i="35" s="1"/>
  <c r="K76" i="35" s="1"/>
  <c r="L76" i="35" s="1"/>
  <c r="M76" i="35" s="1"/>
  <c r="N76" i="35" s="1"/>
  <c r="O76" i="35" s="1"/>
  <c r="I87" i="18"/>
  <c r="J87" i="18" s="1"/>
  <c r="K87" i="18" s="1"/>
  <c r="K198" i="18" s="1"/>
  <c r="I37" i="18"/>
  <c r="J37" i="18" s="1"/>
  <c r="K37" i="18" s="1"/>
  <c r="L37" i="18" s="1"/>
  <c r="M37" i="18" s="1"/>
  <c r="N37" i="18" s="1"/>
  <c r="O37" i="18" s="1"/>
  <c r="I38" i="18"/>
  <c r="J38" i="18" s="1"/>
  <c r="K38" i="18" s="1"/>
  <c r="L38" i="18" s="1"/>
  <c r="M38" i="18" s="1"/>
  <c r="N38" i="18" s="1"/>
  <c r="O38" i="18" s="1"/>
  <c r="I39" i="18"/>
  <c r="I40" i="18"/>
  <c r="J40" i="18" s="1"/>
  <c r="K40" i="18" s="1"/>
  <c r="L40" i="18" s="1"/>
  <c r="M40" i="18" s="1"/>
  <c r="N40" i="18" s="1"/>
  <c r="O40" i="18" s="1"/>
  <c r="J39" i="18"/>
  <c r="K39" i="18" s="1"/>
  <c r="L39" i="18" s="1"/>
  <c r="M39" i="18" s="1"/>
  <c r="N39" i="18" s="1"/>
  <c r="O39" i="18" s="1"/>
  <c r="H41" i="18"/>
  <c r="D164" i="35"/>
  <c r="D165" i="35"/>
  <c r="D166" i="35"/>
  <c r="D167" i="35"/>
  <c r="D168" i="35"/>
  <c r="D169" i="35"/>
  <c r="D170" i="35"/>
  <c r="D171" i="35"/>
  <c r="D172" i="35"/>
  <c r="D193" i="48"/>
  <c r="D173" i="48"/>
  <c r="D153" i="48"/>
  <c r="D133" i="48"/>
  <c r="D113" i="48"/>
  <c r="I204" i="48"/>
  <c r="J204" i="48" s="1"/>
  <c r="K204" i="48" s="1"/>
  <c r="I205" i="48"/>
  <c r="I206" i="48"/>
  <c r="J206" i="48" s="1"/>
  <c r="K206" i="48" s="1"/>
  <c r="L206" i="48" s="1"/>
  <c r="M206" i="48" s="1"/>
  <c r="N206" i="48" s="1"/>
  <c r="I207" i="48"/>
  <c r="J207" i="48" s="1"/>
  <c r="K207" i="48" s="1"/>
  <c r="L207" i="48" s="1"/>
  <c r="M207" i="48" s="1"/>
  <c r="N207" i="48" s="1"/>
  <c r="I208" i="48"/>
  <c r="J208" i="48" s="1"/>
  <c r="K208" i="48" s="1"/>
  <c r="L208" i="48" s="1"/>
  <c r="M208" i="48" s="1"/>
  <c r="N208" i="48" s="1"/>
  <c r="H172" i="35"/>
  <c r="I184" i="48"/>
  <c r="J184" i="48" s="1"/>
  <c r="K184" i="48" s="1"/>
  <c r="L184" i="48" s="1"/>
  <c r="I186" i="48"/>
  <c r="I187" i="48"/>
  <c r="J187" i="48" s="1"/>
  <c r="K187" i="48" s="1"/>
  <c r="L187" i="48" s="1"/>
  <c r="M187" i="48" s="1"/>
  <c r="N187" i="48" s="1"/>
  <c r="I188" i="48"/>
  <c r="J188" i="48" s="1"/>
  <c r="K188" i="48" s="1"/>
  <c r="L188" i="48" s="1"/>
  <c r="M188" i="48" s="1"/>
  <c r="N188" i="48" s="1"/>
  <c r="I164" i="48"/>
  <c r="J164" i="48" s="1"/>
  <c r="K164" i="48" s="1"/>
  <c r="L164" i="48" s="1"/>
  <c r="I165" i="48"/>
  <c r="I166" i="48"/>
  <c r="J166" i="48" s="1"/>
  <c r="I167" i="48"/>
  <c r="J167" i="48" s="1"/>
  <c r="K167" i="48" s="1"/>
  <c r="L167" i="48" s="1"/>
  <c r="M167" i="48" s="1"/>
  <c r="N167" i="48" s="1"/>
  <c r="I168" i="48"/>
  <c r="J168" i="48" s="1"/>
  <c r="K168" i="48" s="1"/>
  <c r="L168" i="48" s="1"/>
  <c r="M168" i="48" s="1"/>
  <c r="N168" i="48" s="1"/>
  <c r="H170" i="35"/>
  <c r="I144" i="48"/>
  <c r="J144" i="48" s="1"/>
  <c r="K144" i="48" s="1"/>
  <c r="I145" i="48"/>
  <c r="J145" i="48" s="1"/>
  <c r="I146" i="48"/>
  <c r="J146" i="48" s="1"/>
  <c r="K146" i="48" s="1"/>
  <c r="L146" i="48" s="1"/>
  <c r="M146" i="48" s="1"/>
  <c r="N146" i="48" s="1"/>
  <c r="I147" i="48"/>
  <c r="J147" i="48" s="1"/>
  <c r="K147" i="48" s="1"/>
  <c r="L147" i="48" s="1"/>
  <c r="M147" i="48" s="1"/>
  <c r="N147" i="48" s="1"/>
  <c r="I148" i="48"/>
  <c r="J148" i="48" s="1"/>
  <c r="K148" i="48" s="1"/>
  <c r="L148" i="48" s="1"/>
  <c r="M148" i="48" s="1"/>
  <c r="N148" i="48" s="1"/>
  <c r="H169" i="35"/>
  <c r="I125" i="48"/>
  <c r="J125" i="48" s="1"/>
  <c r="K125" i="48" s="1"/>
  <c r="L125" i="48" s="1"/>
  <c r="M125" i="48" s="1"/>
  <c r="N125" i="48" s="1"/>
  <c r="I126" i="48"/>
  <c r="J126" i="48" s="1"/>
  <c r="K126" i="48" s="1"/>
  <c r="L126" i="48" s="1"/>
  <c r="M126" i="48" s="1"/>
  <c r="N126" i="48" s="1"/>
  <c r="I127" i="48"/>
  <c r="I128" i="48"/>
  <c r="J128" i="48" s="1"/>
  <c r="K128" i="48" s="1"/>
  <c r="L128" i="48" s="1"/>
  <c r="M128" i="48" s="1"/>
  <c r="N128" i="48" s="1"/>
  <c r="H168" i="35"/>
  <c r="I13" i="48"/>
  <c r="I14" i="48"/>
  <c r="J14" i="48" s="1"/>
  <c r="K14" i="48" s="1"/>
  <c r="I16" i="48"/>
  <c r="J16" i="48" s="1"/>
  <c r="K16" i="48" s="1"/>
  <c r="L16" i="48" s="1"/>
  <c r="M16" i="48" s="1"/>
  <c r="N16" i="48" s="1"/>
  <c r="I32" i="48"/>
  <c r="J32" i="48" s="1"/>
  <c r="K32" i="48" s="1"/>
  <c r="L32" i="48" s="1"/>
  <c r="I33" i="48"/>
  <c r="I34" i="48"/>
  <c r="J34" i="48" s="1"/>
  <c r="K34" i="48" s="1"/>
  <c r="L34" i="48" s="1"/>
  <c r="M34" i="48" s="1"/>
  <c r="N34" i="48" s="1"/>
  <c r="I35" i="48"/>
  <c r="J35" i="48" s="1"/>
  <c r="K35" i="48" s="1"/>
  <c r="L35" i="48" s="1"/>
  <c r="M35" i="48" s="1"/>
  <c r="N35" i="48" s="1"/>
  <c r="I36" i="48"/>
  <c r="J36" i="48" s="1"/>
  <c r="K36" i="48" s="1"/>
  <c r="I52" i="48"/>
  <c r="J52" i="48" s="1"/>
  <c r="I53" i="48"/>
  <c r="J53" i="48" s="1"/>
  <c r="K53" i="48" s="1"/>
  <c r="L53" i="48" s="1"/>
  <c r="M53" i="48" s="1"/>
  <c r="N53" i="48" s="1"/>
  <c r="I54" i="48"/>
  <c r="J54" i="48" s="1"/>
  <c r="K54" i="48" s="1"/>
  <c r="L54" i="48" s="1"/>
  <c r="M54" i="48" s="1"/>
  <c r="N54" i="48" s="1"/>
  <c r="I55" i="48"/>
  <c r="J55" i="48" s="1"/>
  <c r="K55" i="48" s="1"/>
  <c r="L55" i="48" s="1"/>
  <c r="M55" i="48" s="1"/>
  <c r="N55" i="48" s="1"/>
  <c r="I56" i="48"/>
  <c r="J56" i="48" s="1"/>
  <c r="K56" i="48" s="1"/>
  <c r="L56" i="48" s="1"/>
  <c r="M56" i="48" s="1"/>
  <c r="N56" i="48" s="1"/>
  <c r="I73" i="48"/>
  <c r="J73" i="48" s="1"/>
  <c r="K73" i="48" s="1"/>
  <c r="L73" i="48" s="1"/>
  <c r="M73" i="48" s="1"/>
  <c r="N73" i="48" s="1"/>
  <c r="I74" i="48"/>
  <c r="J74" i="48" s="1"/>
  <c r="K74" i="48" s="1"/>
  <c r="L74" i="48" s="1"/>
  <c r="M74" i="48" s="1"/>
  <c r="N74" i="48" s="1"/>
  <c r="I75" i="48"/>
  <c r="J75" i="48" s="1"/>
  <c r="K75" i="48" s="1"/>
  <c r="L75" i="48" s="1"/>
  <c r="M75" i="48" s="1"/>
  <c r="N75" i="48" s="1"/>
  <c r="I76" i="48"/>
  <c r="J76" i="48" s="1"/>
  <c r="K76" i="48" s="1"/>
  <c r="L76" i="48" s="1"/>
  <c r="M76" i="48" s="1"/>
  <c r="N76" i="48" s="1"/>
  <c r="I93" i="48"/>
  <c r="J93" i="48" s="1"/>
  <c r="K93" i="48" s="1"/>
  <c r="L93" i="48" s="1"/>
  <c r="M93" i="48" s="1"/>
  <c r="N93" i="48" s="1"/>
  <c r="I94" i="48"/>
  <c r="I95" i="48"/>
  <c r="J95" i="48" s="1"/>
  <c r="K95" i="48" s="1"/>
  <c r="L95" i="48" s="1"/>
  <c r="M95" i="48" s="1"/>
  <c r="N95" i="48" s="1"/>
  <c r="I96" i="48"/>
  <c r="J96" i="48" s="1"/>
  <c r="K96" i="48" s="1"/>
  <c r="L96" i="48" s="1"/>
  <c r="M96" i="48" s="1"/>
  <c r="N96" i="48" s="1"/>
  <c r="I116" i="48"/>
  <c r="J116" i="48" s="1"/>
  <c r="I117" i="48"/>
  <c r="J117" i="48" s="1"/>
  <c r="K117" i="48" s="1"/>
  <c r="L117" i="48" s="1"/>
  <c r="M117" i="48" s="1"/>
  <c r="N117" i="48" s="1"/>
  <c r="I118" i="48"/>
  <c r="J118" i="48" s="1"/>
  <c r="K118" i="48" s="1"/>
  <c r="L118" i="48" s="1"/>
  <c r="M118" i="48" s="1"/>
  <c r="N118" i="48" s="1"/>
  <c r="I119" i="48"/>
  <c r="J119" i="48" s="1"/>
  <c r="K119" i="48" s="1"/>
  <c r="L119" i="48" s="1"/>
  <c r="M119" i="48" s="1"/>
  <c r="N119" i="48" s="1"/>
  <c r="I120" i="48"/>
  <c r="J120" i="48" s="1"/>
  <c r="K120" i="48" s="1"/>
  <c r="L120" i="48" s="1"/>
  <c r="M120" i="48" s="1"/>
  <c r="N120" i="48" s="1"/>
  <c r="I136" i="48"/>
  <c r="I138" i="48"/>
  <c r="J138" i="48" s="1"/>
  <c r="K138" i="48" s="1"/>
  <c r="L138" i="48" s="1"/>
  <c r="M138" i="48" s="1"/>
  <c r="N138" i="48" s="1"/>
  <c r="I139" i="48"/>
  <c r="J139" i="48" s="1"/>
  <c r="K139" i="48" s="1"/>
  <c r="L139" i="48" s="1"/>
  <c r="M139" i="48" s="1"/>
  <c r="N139" i="48" s="1"/>
  <c r="I140" i="48"/>
  <c r="J140" i="48" s="1"/>
  <c r="K140" i="48" s="1"/>
  <c r="L140" i="48" s="1"/>
  <c r="M140" i="48" s="1"/>
  <c r="N140" i="48" s="1"/>
  <c r="I157" i="48"/>
  <c r="J157" i="48" s="1"/>
  <c r="K157" i="48" s="1"/>
  <c r="L157" i="48" s="1"/>
  <c r="M157" i="48" s="1"/>
  <c r="N157" i="48" s="1"/>
  <c r="I158" i="48"/>
  <c r="J158" i="48" s="1"/>
  <c r="K158" i="48" s="1"/>
  <c r="L158" i="48" s="1"/>
  <c r="M158" i="48" s="1"/>
  <c r="N158" i="48" s="1"/>
  <c r="I159" i="48"/>
  <c r="J159" i="48" s="1"/>
  <c r="I160" i="48"/>
  <c r="J160" i="48" s="1"/>
  <c r="K160" i="48" s="1"/>
  <c r="L160" i="48" s="1"/>
  <c r="M160" i="48" s="1"/>
  <c r="N160" i="48" s="1"/>
  <c r="I177" i="48"/>
  <c r="I178" i="48"/>
  <c r="J178" i="48" s="1"/>
  <c r="K178" i="48" s="1"/>
  <c r="L178" i="48" s="1"/>
  <c r="M178" i="48" s="1"/>
  <c r="N178" i="48" s="1"/>
  <c r="I179" i="48"/>
  <c r="J179" i="48" s="1"/>
  <c r="K179" i="48" s="1"/>
  <c r="L179" i="48" s="1"/>
  <c r="M179" i="48" s="1"/>
  <c r="N179" i="48" s="1"/>
  <c r="I180" i="48"/>
  <c r="J180" i="48" s="1"/>
  <c r="K180" i="48" s="1"/>
  <c r="L180" i="48" s="1"/>
  <c r="M180" i="48" s="1"/>
  <c r="N180" i="48" s="1"/>
  <c r="I197" i="48"/>
  <c r="I198" i="48"/>
  <c r="J198" i="48" s="1"/>
  <c r="K198" i="48" s="1"/>
  <c r="L198" i="48" s="1"/>
  <c r="M198" i="48" s="1"/>
  <c r="N198" i="48" s="1"/>
  <c r="I199" i="48"/>
  <c r="J199" i="48" s="1"/>
  <c r="K199" i="48" s="1"/>
  <c r="L199" i="48" s="1"/>
  <c r="M199" i="48" s="1"/>
  <c r="N199" i="48" s="1"/>
  <c r="I200" i="48"/>
  <c r="J200" i="48" s="1"/>
  <c r="K200" i="48" s="1"/>
  <c r="L200" i="48" s="1"/>
  <c r="M200" i="48" s="1"/>
  <c r="N200" i="48" s="1"/>
  <c r="I15" i="48"/>
  <c r="J15" i="48" s="1"/>
  <c r="K15" i="48" s="1"/>
  <c r="L15" i="48" s="1"/>
  <c r="M15" i="48" s="1"/>
  <c r="N15" i="48" s="1"/>
  <c r="I137" i="48"/>
  <c r="J137" i="48" s="1"/>
  <c r="H154" i="18"/>
  <c r="H155" i="18"/>
  <c r="H156" i="18"/>
  <c r="H157" i="18"/>
  <c r="H158" i="18"/>
  <c r="H159" i="18"/>
  <c r="H160" i="18"/>
  <c r="H161" i="18"/>
  <c r="H162" i="18"/>
  <c r="I24" i="48"/>
  <c r="J24" i="48" s="1"/>
  <c r="I44" i="48"/>
  <c r="J44" i="48" s="1"/>
  <c r="K44" i="48" s="1"/>
  <c r="L44" i="48" s="1"/>
  <c r="M44" i="48" s="1"/>
  <c r="N44" i="48" s="1"/>
  <c r="I64" i="48"/>
  <c r="J64" i="48" s="1"/>
  <c r="K64" i="48" s="1"/>
  <c r="L64" i="48" s="1"/>
  <c r="M64" i="48" s="1"/>
  <c r="N64" i="48" s="1"/>
  <c r="I84" i="48"/>
  <c r="J84" i="48" s="1"/>
  <c r="K84" i="48" s="1"/>
  <c r="L84" i="48" s="1"/>
  <c r="M84" i="48" s="1"/>
  <c r="N84" i="48" s="1"/>
  <c r="I21" i="48"/>
  <c r="J21" i="48" s="1"/>
  <c r="K21" i="48" s="1"/>
  <c r="L21" i="48" s="1"/>
  <c r="M21" i="48" s="1"/>
  <c r="N21" i="48" s="1"/>
  <c r="I22" i="48"/>
  <c r="J22" i="48" s="1"/>
  <c r="K22" i="48" s="1"/>
  <c r="L22" i="48" s="1"/>
  <c r="M22" i="48" s="1"/>
  <c r="N22" i="48" s="1"/>
  <c r="I23" i="48"/>
  <c r="J23" i="48" s="1"/>
  <c r="K23" i="48" s="1"/>
  <c r="L23" i="48" s="1"/>
  <c r="M23" i="48" s="1"/>
  <c r="N23" i="48" s="1"/>
  <c r="I40" i="48"/>
  <c r="J40" i="48" s="1"/>
  <c r="K40" i="48" s="1"/>
  <c r="L40" i="48" s="1"/>
  <c r="I41" i="48"/>
  <c r="J41" i="48" s="1"/>
  <c r="K41" i="48" s="1"/>
  <c r="L41" i="48" s="1"/>
  <c r="M41" i="48" s="1"/>
  <c r="N41" i="48" s="1"/>
  <c r="J42" i="48"/>
  <c r="K42" i="48" s="1"/>
  <c r="L42" i="48" s="1"/>
  <c r="M42" i="48" s="1"/>
  <c r="N42" i="48" s="1"/>
  <c r="I60" i="48"/>
  <c r="J60" i="48" s="1"/>
  <c r="I61" i="48"/>
  <c r="J61" i="48" s="1"/>
  <c r="K61" i="48" s="1"/>
  <c r="L61" i="48" s="1"/>
  <c r="M61" i="48" s="1"/>
  <c r="N61" i="48" s="1"/>
  <c r="I62" i="48"/>
  <c r="J62" i="48" s="1"/>
  <c r="K62" i="48" s="1"/>
  <c r="L62" i="48" s="1"/>
  <c r="M62" i="48" s="1"/>
  <c r="N62" i="48" s="1"/>
  <c r="I63" i="48"/>
  <c r="J63" i="48" s="1"/>
  <c r="K63" i="48" s="1"/>
  <c r="L63" i="48" s="1"/>
  <c r="M63" i="48" s="1"/>
  <c r="N63" i="48" s="1"/>
  <c r="I80" i="48"/>
  <c r="J80" i="48" s="1"/>
  <c r="K80" i="48" s="1"/>
  <c r="I81" i="48"/>
  <c r="I82" i="48"/>
  <c r="J82" i="48" s="1"/>
  <c r="K82" i="48" s="1"/>
  <c r="L82" i="48" s="1"/>
  <c r="M82" i="48" s="1"/>
  <c r="N82" i="48" s="1"/>
  <c r="I83" i="48"/>
  <c r="J83" i="48" s="1"/>
  <c r="K83" i="48" s="1"/>
  <c r="L83" i="48" s="1"/>
  <c r="M83" i="48" s="1"/>
  <c r="N83" i="48" s="1"/>
  <c r="I102" i="48"/>
  <c r="I103" i="48"/>
  <c r="J103" i="48" s="1"/>
  <c r="K103" i="48" s="1"/>
  <c r="L103" i="48" s="1"/>
  <c r="M103" i="48" s="1"/>
  <c r="N103" i="48" s="1"/>
  <c r="I104" i="48"/>
  <c r="J104" i="48" s="1"/>
  <c r="K104" i="48" s="1"/>
  <c r="L104" i="48" s="1"/>
  <c r="M104" i="48" s="1"/>
  <c r="N104" i="48" s="1"/>
  <c r="I101" i="48"/>
  <c r="J101" i="48" s="1"/>
  <c r="K101" i="48" s="1"/>
  <c r="L101" i="48" s="1"/>
  <c r="M101" i="48" s="1"/>
  <c r="N101" i="48" s="1"/>
  <c r="H167" i="35"/>
  <c r="H166" i="35"/>
  <c r="H165" i="35"/>
  <c r="H164" i="35"/>
  <c r="D89" i="48"/>
  <c r="D69" i="48"/>
  <c r="D49" i="48"/>
  <c r="W148" i="22"/>
  <c r="I116" i="18"/>
  <c r="J116" i="18" s="1"/>
  <c r="K116" i="18" s="1"/>
  <c r="L116" i="18" s="1"/>
  <c r="M116" i="18" s="1"/>
  <c r="N116" i="18" s="1"/>
  <c r="O116" i="18" s="1"/>
  <c r="I117" i="18"/>
  <c r="J117" i="18" s="1"/>
  <c r="K117" i="18" s="1"/>
  <c r="I118" i="18"/>
  <c r="J118" i="18" s="1"/>
  <c r="K118" i="18" s="1"/>
  <c r="L118" i="18" s="1"/>
  <c r="M118" i="18" s="1"/>
  <c r="N118" i="18" s="1"/>
  <c r="O118" i="18" s="1"/>
  <c r="I119" i="18"/>
  <c r="J119" i="18" s="1"/>
  <c r="K119" i="18" s="1"/>
  <c r="L119" i="18" s="1"/>
  <c r="M119" i="18" s="1"/>
  <c r="N119" i="18" s="1"/>
  <c r="O119" i="18" s="1"/>
  <c r="I120" i="18"/>
  <c r="J120" i="18" s="1"/>
  <c r="K120" i="18" s="1"/>
  <c r="L120" i="18" s="1"/>
  <c r="M120" i="18" s="1"/>
  <c r="N120" i="18" s="1"/>
  <c r="O120" i="18" s="1"/>
  <c r="I121" i="18"/>
  <c r="J121" i="18" s="1"/>
  <c r="K121" i="18" s="1"/>
  <c r="L121" i="18" s="1"/>
  <c r="M121" i="18" s="1"/>
  <c r="N121" i="18" s="1"/>
  <c r="O121" i="18" s="1"/>
  <c r="I122" i="18"/>
  <c r="J122" i="18" s="1"/>
  <c r="K122" i="18" s="1"/>
  <c r="L122" i="18" s="1"/>
  <c r="M122" i="18" s="1"/>
  <c r="N122" i="18" s="1"/>
  <c r="O122" i="18" s="1"/>
  <c r="I123" i="18"/>
  <c r="J123" i="18" s="1"/>
  <c r="K123" i="18" s="1"/>
  <c r="L123" i="18" s="1"/>
  <c r="M123" i="18" s="1"/>
  <c r="N123" i="18" s="1"/>
  <c r="O123" i="18" s="1"/>
  <c r="I124" i="18"/>
  <c r="J124" i="18" s="1"/>
  <c r="K124" i="18" s="1"/>
  <c r="L124" i="18" s="1"/>
  <c r="M124" i="18" s="1"/>
  <c r="N124" i="18" s="1"/>
  <c r="O124" i="18" s="1"/>
  <c r="I125" i="18"/>
  <c r="J125" i="18" s="1"/>
  <c r="K125" i="18" s="1"/>
  <c r="L125" i="18" s="1"/>
  <c r="M125" i="18" s="1"/>
  <c r="N125" i="18" s="1"/>
  <c r="O125" i="18" s="1"/>
  <c r="I126" i="18"/>
  <c r="I127" i="18"/>
  <c r="J127" i="18" s="1"/>
  <c r="K127" i="18" s="1"/>
  <c r="L127" i="18" s="1"/>
  <c r="M127" i="18" s="1"/>
  <c r="N127" i="18" s="1"/>
  <c r="O127" i="18" s="1"/>
  <c r="I135" i="18"/>
  <c r="J135" i="18" s="1"/>
  <c r="K135" i="18" s="1"/>
  <c r="L135" i="18" s="1"/>
  <c r="M135" i="18" s="1"/>
  <c r="N135" i="18" s="1"/>
  <c r="O135" i="18" s="1"/>
  <c r="I136" i="18"/>
  <c r="I139" i="18"/>
  <c r="J139" i="18" s="1"/>
  <c r="K139" i="18" s="1"/>
  <c r="L139" i="18" s="1"/>
  <c r="M139" i="18" s="1"/>
  <c r="N139" i="18" s="1"/>
  <c r="O139" i="18" s="1"/>
  <c r="I140" i="18"/>
  <c r="J140" i="18" s="1"/>
  <c r="K140" i="18" s="1"/>
  <c r="L140" i="18" s="1"/>
  <c r="M140" i="18" s="1"/>
  <c r="N140" i="18" s="1"/>
  <c r="O140" i="18" s="1"/>
  <c r="I141" i="18"/>
  <c r="J141" i="18" s="1"/>
  <c r="K141" i="18" s="1"/>
  <c r="L141" i="18" s="1"/>
  <c r="M141" i="18" s="1"/>
  <c r="N141" i="18" s="1"/>
  <c r="O141" i="18" s="1"/>
  <c r="I142" i="18"/>
  <c r="J142" i="18" s="1"/>
  <c r="K142" i="18" s="1"/>
  <c r="L142" i="18" s="1"/>
  <c r="M142" i="18" s="1"/>
  <c r="N142" i="18" s="1"/>
  <c r="O142" i="18" s="1"/>
  <c r="I143" i="18"/>
  <c r="J143" i="18" s="1"/>
  <c r="K143" i="18" s="1"/>
  <c r="L143" i="18" s="1"/>
  <c r="M143" i="18" s="1"/>
  <c r="N143" i="18" s="1"/>
  <c r="O143" i="18" s="1"/>
  <c r="I144" i="18"/>
  <c r="J144" i="18" s="1"/>
  <c r="K144" i="18" s="1"/>
  <c r="L144" i="18" s="1"/>
  <c r="M144" i="18" s="1"/>
  <c r="N144" i="18" s="1"/>
  <c r="O144" i="18" s="1"/>
  <c r="I145" i="18"/>
  <c r="J145" i="18" s="1"/>
  <c r="K145" i="18" s="1"/>
  <c r="L145" i="18" s="1"/>
  <c r="M145" i="18" s="1"/>
  <c r="N145" i="18" s="1"/>
  <c r="O145" i="18" s="1"/>
  <c r="I146" i="18"/>
  <c r="J146" i="18" s="1"/>
  <c r="K146" i="18" s="1"/>
  <c r="L146" i="18" s="1"/>
  <c r="M146" i="18" s="1"/>
  <c r="N146" i="18" s="1"/>
  <c r="O146" i="18" s="1"/>
  <c r="J126" i="18"/>
  <c r="K126" i="18" s="1"/>
  <c r="L126" i="18" s="1"/>
  <c r="M126" i="18" s="1"/>
  <c r="N126" i="18" s="1"/>
  <c r="O126" i="18" s="1"/>
  <c r="F75" i="1"/>
  <c r="H115" i="35"/>
  <c r="H122" i="35"/>
  <c r="I112" i="35"/>
  <c r="J112" i="35" s="1"/>
  <c r="K112" i="35" s="1"/>
  <c r="L112" i="35" s="1"/>
  <c r="M112" i="35" s="1"/>
  <c r="I113" i="35"/>
  <c r="I114" i="35"/>
  <c r="J114" i="35" s="1"/>
  <c r="I119" i="35"/>
  <c r="I120" i="35"/>
  <c r="J120" i="35" s="1"/>
  <c r="K120" i="35" s="1"/>
  <c r="I121" i="35"/>
  <c r="F30" i="37"/>
  <c r="Q8" i="36"/>
  <c r="O33" i="36" s="1"/>
  <c r="F32" i="37"/>
  <c r="H102" i="35" s="1"/>
  <c r="F33" i="37"/>
  <c r="H103" i="35" s="1"/>
  <c r="G30" i="37"/>
  <c r="G32" i="37"/>
  <c r="I102" i="35" s="1"/>
  <c r="G33" i="37"/>
  <c r="I103" i="35" s="1"/>
  <c r="I66" i="35"/>
  <c r="I67" i="35"/>
  <c r="J67" i="35" s="1"/>
  <c r="K67" i="35" s="1"/>
  <c r="L67" i="35" s="1"/>
  <c r="M67" i="35" s="1"/>
  <c r="N67" i="35" s="1"/>
  <c r="O67" i="35" s="1"/>
  <c r="I68" i="35"/>
  <c r="I69" i="35"/>
  <c r="J69" i="35" s="1"/>
  <c r="I70" i="35"/>
  <c r="I71" i="35"/>
  <c r="J71" i="35" s="1"/>
  <c r="K71" i="35" s="1"/>
  <c r="L71" i="35" s="1"/>
  <c r="M71" i="35" s="1"/>
  <c r="N71" i="35" s="1"/>
  <c r="O71" i="35" s="1"/>
  <c r="I77" i="35"/>
  <c r="I78" i="35"/>
  <c r="J78" i="35" s="1"/>
  <c r="K78" i="35" s="1"/>
  <c r="L78" i="35" s="1"/>
  <c r="M78" i="35" s="1"/>
  <c r="N78" i="35" s="1"/>
  <c r="O78" i="35" s="1"/>
  <c r="I79" i="35"/>
  <c r="I80" i="35"/>
  <c r="J80" i="35" s="1"/>
  <c r="K80" i="35" s="1"/>
  <c r="L80" i="35" s="1"/>
  <c r="M80" i="35" s="1"/>
  <c r="N80" i="35" s="1"/>
  <c r="O80" i="35" s="1"/>
  <c r="I81" i="35"/>
  <c r="H48" i="35"/>
  <c r="H55" i="35"/>
  <c r="I45" i="35"/>
  <c r="J45" i="35" s="1"/>
  <c r="K45" i="35" s="1"/>
  <c r="L45" i="35" s="1"/>
  <c r="M45" i="35" s="1"/>
  <c r="I46" i="35"/>
  <c r="J46" i="35" s="1"/>
  <c r="I47" i="35"/>
  <c r="J47" i="35" s="1"/>
  <c r="K47" i="35" s="1"/>
  <c r="L47" i="35" s="1"/>
  <c r="M47" i="35" s="1"/>
  <c r="N47" i="35" s="1"/>
  <c r="O47" i="35" s="1"/>
  <c r="I52" i="35"/>
  <c r="I53" i="35"/>
  <c r="J53" i="35" s="1"/>
  <c r="K53" i="35" s="1"/>
  <c r="L53" i="35" s="1"/>
  <c r="M53" i="35" s="1"/>
  <c r="N53" i="35" s="1"/>
  <c r="O53" i="35" s="1"/>
  <c r="I54" i="35"/>
  <c r="I17" i="35"/>
  <c r="J17" i="35" s="1"/>
  <c r="K17" i="35" s="1"/>
  <c r="L17" i="35" s="1"/>
  <c r="M17" i="35" s="1"/>
  <c r="N17" i="35" s="1"/>
  <c r="O17" i="35" s="1"/>
  <c r="I18" i="35"/>
  <c r="I19" i="35"/>
  <c r="J19" i="35" s="1"/>
  <c r="K19" i="35" s="1"/>
  <c r="L19" i="35" s="1"/>
  <c r="M19" i="35" s="1"/>
  <c r="N19" i="35" s="1"/>
  <c r="O19" i="35" s="1"/>
  <c r="I20" i="35"/>
  <c r="I32" i="35"/>
  <c r="J32" i="35" s="1"/>
  <c r="I33" i="35"/>
  <c r="I34" i="35"/>
  <c r="J34" i="35" s="1"/>
  <c r="K34" i="35" s="1"/>
  <c r="L34" i="35" s="1"/>
  <c r="M34" i="35" s="1"/>
  <c r="N34" i="35" s="1"/>
  <c r="O34" i="35" s="1"/>
  <c r="H24" i="18"/>
  <c r="H58" i="18"/>
  <c r="H67" i="18"/>
  <c r="H191" i="18"/>
  <c r="H184" i="18" s="1"/>
  <c r="H180" i="18"/>
  <c r="H11" i="48"/>
  <c r="I11" i="48"/>
  <c r="J11" i="48"/>
  <c r="K11" i="48"/>
  <c r="I134" i="35"/>
  <c r="J134" i="35" s="1"/>
  <c r="K134" i="35" s="1"/>
  <c r="L134" i="35" s="1"/>
  <c r="M134" i="35" s="1"/>
  <c r="N134" i="35" s="1"/>
  <c r="O134" i="35" s="1"/>
  <c r="I135" i="35"/>
  <c r="J135" i="35" s="1"/>
  <c r="K135" i="35" s="1"/>
  <c r="L135" i="35" s="1"/>
  <c r="M135" i="35" s="1"/>
  <c r="N135" i="35" s="1"/>
  <c r="O135" i="35" s="1"/>
  <c r="I136" i="35"/>
  <c r="J136" i="35" s="1"/>
  <c r="K136" i="35" s="1"/>
  <c r="L136" i="35" s="1"/>
  <c r="M136" i="35" s="1"/>
  <c r="N136" i="35" s="1"/>
  <c r="O136" i="35" s="1"/>
  <c r="I137" i="35"/>
  <c r="J137" i="35" s="1"/>
  <c r="K137" i="35" s="1"/>
  <c r="L137" i="35" s="1"/>
  <c r="M137" i="35" s="1"/>
  <c r="N137" i="35" s="1"/>
  <c r="O137" i="35" s="1"/>
  <c r="I138" i="35"/>
  <c r="J138" i="35" s="1"/>
  <c r="K138" i="35" s="1"/>
  <c r="L138" i="35" s="1"/>
  <c r="M138" i="35" s="1"/>
  <c r="N138" i="35" s="1"/>
  <c r="O138" i="35" s="1"/>
  <c r="I139" i="35"/>
  <c r="J139" i="35" s="1"/>
  <c r="K139" i="35" s="1"/>
  <c r="L139" i="35" s="1"/>
  <c r="M139" i="35" s="1"/>
  <c r="N139" i="35" s="1"/>
  <c r="O139" i="35" s="1"/>
  <c r="I140" i="35"/>
  <c r="J140" i="35" s="1"/>
  <c r="K140" i="35" s="1"/>
  <c r="L140" i="35" s="1"/>
  <c r="M140" i="35" s="1"/>
  <c r="N140" i="35" s="1"/>
  <c r="O140" i="35" s="1"/>
  <c r="I141" i="35"/>
  <c r="J141" i="35" s="1"/>
  <c r="K141" i="35" s="1"/>
  <c r="L141" i="35" s="1"/>
  <c r="M141" i="35" s="1"/>
  <c r="N141" i="35" s="1"/>
  <c r="O141" i="35" s="1"/>
  <c r="I148" i="35"/>
  <c r="J148" i="35" s="1"/>
  <c r="K148" i="35" s="1"/>
  <c r="L148" i="35" s="1"/>
  <c r="M148" i="35" s="1"/>
  <c r="N148" i="35" s="1"/>
  <c r="O148" i="35" s="1"/>
  <c r="I150" i="35"/>
  <c r="J150" i="35" s="1"/>
  <c r="K150" i="35" s="1"/>
  <c r="L150" i="35" s="1"/>
  <c r="M150" i="35" s="1"/>
  <c r="N150" i="35" s="1"/>
  <c r="O150" i="35" s="1"/>
  <c r="I151" i="35"/>
  <c r="J151" i="35" s="1"/>
  <c r="K151" i="35" s="1"/>
  <c r="L151" i="35" s="1"/>
  <c r="M151" i="35" s="1"/>
  <c r="N151" i="35" s="1"/>
  <c r="O151" i="35" s="1"/>
  <c r="I152" i="35"/>
  <c r="J152" i="35" s="1"/>
  <c r="K152" i="35" s="1"/>
  <c r="L152" i="35" s="1"/>
  <c r="M152" i="35" s="1"/>
  <c r="N152" i="35" s="1"/>
  <c r="O152" i="35" s="1"/>
  <c r="I153" i="35"/>
  <c r="J153" i="35" s="1"/>
  <c r="K153" i="35" s="1"/>
  <c r="L153" i="35" s="1"/>
  <c r="M153" i="35" s="1"/>
  <c r="N153" i="35" s="1"/>
  <c r="O153" i="35" s="1"/>
  <c r="I154" i="35"/>
  <c r="J154" i="35" s="1"/>
  <c r="K154" i="35" s="1"/>
  <c r="L154" i="35" s="1"/>
  <c r="M154" i="35" s="1"/>
  <c r="N154" i="35" s="1"/>
  <c r="O154" i="35" s="1"/>
  <c r="I158" i="35"/>
  <c r="J158" i="35" s="1"/>
  <c r="K158" i="35" s="1"/>
  <c r="L158" i="35" s="1"/>
  <c r="M158" i="35" s="1"/>
  <c r="N158" i="35" s="1"/>
  <c r="O158" i="35" s="1"/>
  <c r="C5" i="48"/>
  <c r="J21" i="34"/>
  <c r="I21" i="34"/>
  <c r="H21" i="34"/>
  <c r="G21" i="34"/>
  <c r="F21" i="34"/>
  <c r="I28" i="1"/>
  <c r="J28" i="1" s="1"/>
  <c r="D97" i="34"/>
  <c r="D189" i="34" s="1"/>
  <c r="D93" i="34"/>
  <c r="D184" i="34" s="1"/>
  <c r="D89" i="34"/>
  <c r="D179" i="34" s="1"/>
  <c r="D85" i="34"/>
  <c r="D174" i="34" s="1"/>
  <c r="D81" i="34"/>
  <c r="D169" i="34" s="1"/>
  <c r="D77" i="34"/>
  <c r="D164" i="34" s="1"/>
  <c r="D73" i="34"/>
  <c r="D159" i="34" s="1"/>
  <c r="D69" i="34"/>
  <c r="D154" i="34" s="1"/>
  <c r="D65" i="34"/>
  <c r="D149" i="34" s="1"/>
  <c r="G63" i="1"/>
  <c r="I63" i="1" s="1"/>
  <c r="J63" i="1" s="1"/>
  <c r="K63" i="1" s="1"/>
  <c r="L63" i="1" s="1"/>
  <c r="M63" i="1" s="1"/>
  <c r="G64" i="1"/>
  <c r="G65" i="1"/>
  <c r="I65" i="1" s="1"/>
  <c r="J65" i="1" s="1"/>
  <c r="K65" i="1" s="1"/>
  <c r="L65" i="1" s="1"/>
  <c r="M65" i="1" s="1"/>
  <c r="G66" i="1"/>
  <c r="I66" i="1" s="1"/>
  <c r="J66" i="1" s="1"/>
  <c r="K66" i="1" s="1"/>
  <c r="L66" i="1" s="1"/>
  <c r="M66" i="1" s="1"/>
  <c r="G67" i="1"/>
  <c r="G68" i="1"/>
  <c r="G69" i="1"/>
  <c r="I69" i="1" s="1"/>
  <c r="J69" i="1" s="1"/>
  <c r="G70" i="1"/>
  <c r="G71" i="1"/>
  <c r="G72" i="1"/>
  <c r="G73" i="1"/>
  <c r="I73" i="1" s="1"/>
  <c r="J73" i="1" s="1"/>
  <c r="K73" i="1" s="1"/>
  <c r="L73" i="1" s="1"/>
  <c r="M73" i="1" s="1"/>
  <c r="G74" i="1"/>
  <c r="I74" i="1" s="1"/>
  <c r="J74" i="1" s="1"/>
  <c r="K74" i="1" s="1"/>
  <c r="L74" i="1" s="1"/>
  <c r="M74" i="1" s="1"/>
  <c r="I64" i="1"/>
  <c r="J64" i="1" s="1"/>
  <c r="K64" i="1" s="1"/>
  <c r="L64" i="1" s="1"/>
  <c r="M64" i="1" s="1"/>
  <c r="I67" i="1"/>
  <c r="J67" i="1" s="1"/>
  <c r="K67" i="1" s="1"/>
  <c r="L67" i="1" s="1"/>
  <c r="M67" i="1" s="1"/>
  <c r="I68" i="1"/>
  <c r="J68" i="1" s="1"/>
  <c r="K68" i="1" s="1"/>
  <c r="L68" i="1" s="1"/>
  <c r="M68" i="1" s="1"/>
  <c r="I70" i="1"/>
  <c r="J70" i="1" s="1"/>
  <c r="K70" i="1" s="1"/>
  <c r="L70" i="1" s="1"/>
  <c r="M70" i="1" s="1"/>
  <c r="I71" i="1"/>
  <c r="J71" i="1" s="1"/>
  <c r="K71" i="1" s="1"/>
  <c r="L71" i="1" s="1"/>
  <c r="M71" i="1" s="1"/>
  <c r="I72" i="1"/>
  <c r="J72" i="1" s="1"/>
  <c r="K72" i="1" s="1"/>
  <c r="L72" i="1" s="1"/>
  <c r="M72" i="1" s="1"/>
  <c r="G62" i="1"/>
  <c r="I62" i="1" s="1"/>
  <c r="J62" i="1" s="1"/>
  <c r="K62" i="1" s="1"/>
  <c r="L62" i="1" s="1"/>
  <c r="M62" i="1" s="1"/>
  <c r="D86" i="1"/>
  <c r="D87" i="1"/>
  <c r="D88" i="1"/>
  <c r="D89" i="1"/>
  <c r="D90" i="1"/>
  <c r="D91" i="1"/>
  <c r="D92" i="1"/>
  <c r="D93" i="1"/>
  <c r="D94" i="1"/>
  <c r="D66" i="1"/>
  <c r="D67" i="1"/>
  <c r="D68" i="1"/>
  <c r="D69" i="1"/>
  <c r="D70" i="1"/>
  <c r="D71" i="1"/>
  <c r="D72" i="1"/>
  <c r="D73" i="1"/>
  <c r="D74" i="1"/>
  <c r="D48" i="1"/>
  <c r="D49" i="1"/>
  <c r="D50" i="1"/>
  <c r="D51" i="1"/>
  <c r="D52" i="1"/>
  <c r="D53" i="1"/>
  <c r="D54" i="1"/>
  <c r="D55" i="1"/>
  <c r="D56" i="1"/>
  <c r="I70" i="31"/>
  <c r="J70" i="31" s="1"/>
  <c r="K70" i="31" s="1"/>
  <c r="L70" i="31" s="1"/>
  <c r="M70" i="31" s="1"/>
  <c r="I75" i="31"/>
  <c r="J75" i="31" s="1"/>
  <c r="I78" i="31"/>
  <c r="J78" i="31" s="1"/>
  <c r="K78" i="31" s="1"/>
  <c r="L78" i="31" s="1"/>
  <c r="M78" i="31" s="1"/>
  <c r="I83" i="31"/>
  <c r="I86" i="31"/>
  <c r="J86" i="31" s="1"/>
  <c r="K86" i="31" s="1"/>
  <c r="L86" i="31" s="1"/>
  <c r="M86" i="31" s="1"/>
  <c r="I91" i="31"/>
  <c r="J91" i="31" s="1"/>
  <c r="K91" i="31" s="1"/>
  <c r="L91" i="31" s="1"/>
  <c r="M91" i="31" s="1"/>
  <c r="N91" i="31" s="1"/>
  <c r="O91" i="31" s="1"/>
  <c r="I111" i="31"/>
  <c r="J111" i="31" s="1"/>
  <c r="K111" i="31" s="1"/>
  <c r="L111" i="31" s="1"/>
  <c r="M111" i="31" s="1"/>
  <c r="I116" i="31"/>
  <c r="I119" i="31"/>
  <c r="J119" i="31" s="1"/>
  <c r="K119" i="31" s="1"/>
  <c r="L119" i="31" s="1"/>
  <c r="M119" i="31" s="1"/>
  <c r="N119" i="31" s="1"/>
  <c r="O119" i="31" s="1"/>
  <c r="I124" i="31"/>
  <c r="J124" i="31" s="1"/>
  <c r="K124" i="31" s="1"/>
  <c r="L124" i="31" s="1"/>
  <c r="I127" i="31"/>
  <c r="J127" i="31" s="1"/>
  <c r="K127" i="31" s="1"/>
  <c r="L127" i="31" s="1"/>
  <c r="M127" i="31" s="1"/>
  <c r="N127" i="31" s="1"/>
  <c r="O127" i="31" s="1"/>
  <c r="I132" i="31"/>
  <c r="I135" i="31"/>
  <c r="J135" i="31" s="1"/>
  <c r="K135" i="31" s="1"/>
  <c r="L135" i="31" s="1"/>
  <c r="M135" i="31" s="1"/>
  <c r="N135" i="31" s="1"/>
  <c r="O135" i="31" s="1"/>
  <c r="I148" i="31"/>
  <c r="I151" i="31"/>
  <c r="J151" i="31" s="1"/>
  <c r="K151" i="31" s="1"/>
  <c r="L151" i="31" s="1"/>
  <c r="M151" i="31" s="1"/>
  <c r="N151" i="31" s="1"/>
  <c r="O151" i="31" s="1"/>
  <c r="I156" i="31"/>
  <c r="I159" i="31"/>
  <c r="J159" i="31" s="1"/>
  <c r="K159" i="31" s="1"/>
  <c r="L159" i="31" s="1"/>
  <c r="M159" i="31" s="1"/>
  <c r="N159" i="31" s="1"/>
  <c r="O159" i="31" s="1"/>
  <c r="I164" i="31"/>
  <c r="I167" i="31"/>
  <c r="J167" i="31" s="1"/>
  <c r="K167" i="31" s="1"/>
  <c r="L167" i="31" s="1"/>
  <c r="M167" i="31" s="1"/>
  <c r="N167" i="31" s="1"/>
  <c r="O167" i="31" s="1"/>
  <c r="I180" i="31"/>
  <c r="J180" i="31" s="1"/>
  <c r="I183" i="31"/>
  <c r="J183" i="31" s="1"/>
  <c r="K183" i="31" s="1"/>
  <c r="L183" i="31" s="1"/>
  <c r="M183" i="31" s="1"/>
  <c r="N183" i="31" s="1"/>
  <c r="O183" i="31" s="1"/>
  <c r="I188" i="31"/>
  <c r="I191" i="31"/>
  <c r="J191" i="31" s="1"/>
  <c r="K191" i="31" s="1"/>
  <c r="L191" i="31" s="1"/>
  <c r="M191" i="31" s="1"/>
  <c r="N191" i="31" s="1"/>
  <c r="O191" i="31" s="1"/>
  <c r="I60" i="31"/>
  <c r="J60" i="31" s="1"/>
  <c r="K60" i="31" s="1"/>
  <c r="L60" i="31" s="1"/>
  <c r="M60" i="31" s="1"/>
  <c r="N60" i="31" s="1"/>
  <c r="O60" i="31" s="1"/>
  <c r="I63" i="31"/>
  <c r="J63" i="31" s="1"/>
  <c r="K63" i="31" s="1"/>
  <c r="L63" i="31" s="1"/>
  <c r="M63" i="31" s="1"/>
  <c r="N63" i="31" s="1"/>
  <c r="O63" i="31" s="1"/>
  <c r="I68" i="31"/>
  <c r="J68" i="31" s="1"/>
  <c r="K68" i="31" s="1"/>
  <c r="L68" i="31" s="1"/>
  <c r="M68" i="31" s="1"/>
  <c r="N68" i="31" s="1"/>
  <c r="O68" i="31" s="1"/>
  <c r="I71" i="31"/>
  <c r="J71" i="31" s="1"/>
  <c r="K71" i="31" s="1"/>
  <c r="L71" i="31" s="1"/>
  <c r="M71" i="31" s="1"/>
  <c r="N71" i="31" s="1"/>
  <c r="O71" i="31" s="1"/>
  <c r="I76" i="31"/>
  <c r="I79" i="31"/>
  <c r="J79" i="31" s="1"/>
  <c r="K79" i="31" s="1"/>
  <c r="L79" i="31" s="1"/>
  <c r="M79" i="31" s="1"/>
  <c r="N79" i="31" s="1"/>
  <c r="O79" i="31" s="1"/>
  <c r="I84" i="31"/>
  <c r="J84" i="31" s="1"/>
  <c r="I87" i="31"/>
  <c r="J87" i="31" s="1"/>
  <c r="K87" i="31" s="1"/>
  <c r="L87" i="31" s="1"/>
  <c r="M87" i="31" s="1"/>
  <c r="N87" i="31" s="1"/>
  <c r="O87" i="31" s="1"/>
  <c r="I92" i="31"/>
  <c r="I95" i="31"/>
  <c r="J95" i="31" s="1"/>
  <c r="K95" i="31" s="1"/>
  <c r="L95" i="31" s="1"/>
  <c r="M95" i="31" s="1"/>
  <c r="N95" i="31" s="1"/>
  <c r="O95" i="31" s="1"/>
  <c r="I101" i="31"/>
  <c r="J101" i="31" s="1"/>
  <c r="K101" i="31" s="1"/>
  <c r="L101" i="31" s="1"/>
  <c r="M101" i="31" s="1"/>
  <c r="N101" i="31" s="1"/>
  <c r="O101" i="31" s="1"/>
  <c r="I104" i="31"/>
  <c r="J104" i="31" s="1"/>
  <c r="K104" i="31" s="1"/>
  <c r="L104" i="31" s="1"/>
  <c r="M104" i="31" s="1"/>
  <c r="N104" i="31" s="1"/>
  <c r="O104" i="31" s="1"/>
  <c r="I109" i="31"/>
  <c r="I112" i="31"/>
  <c r="J112" i="31" s="1"/>
  <c r="K112" i="31" s="1"/>
  <c r="L112" i="31" s="1"/>
  <c r="M112" i="31" s="1"/>
  <c r="N112" i="31" s="1"/>
  <c r="O112" i="31" s="1"/>
  <c r="I117" i="31"/>
  <c r="J117" i="31" s="1"/>
  <c r="I120" i="31"/>
  <c r="J120" i="31" s="1"/>
  <c r="K120" i="31" s="1"/>
  <c r="L120" i="31" s="1"/>
  <c r="M120" i="31" s="1"/>
  <c r="N120" i="31" s="1"/>
  <c r="O120" i="31" s="1"/>
  <c r="I125" i="31"/>
  <c r="I128" i="31"/>
  <c r="J128" i="31" s="1"/>
  <c r="K128" i="31" s="1"/>
  <c r="L128" i="31" s="1"/>
  <c r="M128" i="31" s="1"/>
  <c r="N128" i="31" s="1"/>
  <c r="O128" i="31" s="1"/>
  <c r="I133" i="31"/>
  <c r="J133" i="31" s="1"/>
  <c r="K133" i="31" s="1"/>
  <c r="L133" i="31" s="1"/>
  <c r="M133" i="31" s="1"/>
  <c r="N133" i="31" s="1"/>
  <c r="O133" i="31" s="1"/>
  <c r="I136" i="31"/>
  <c r="J136" i="31" s="1"/>
  <c r="K136" i="31" s="1"/>
  <c r="L136" i="31" s="1"/>
  <c r="M136" i="31" s="1"/>
  <c r="N136" i="31" s="1"/>
  <c r="O136" i="31" s="1"/>
  <c r="I149" i="31"/>
  <c r="J149" i="31" s="1"/>
  <c r="I152" i="31"/>
  <c r="J152" i="31" s="1"/>
  <c r="K152" i="31" s="1"/>
  <c r="L152" i="31" s="1"/>
  <c r="M152" i="31" s="1"/>
  <c r="N152" i="31" s="1"/>
  <c r="O152" i="31" s="1"/>
  <c r="I157" i="31"/>
  <c r="I160" i="31"/>
  <c r="J160" i="31" s="1"/>
  <c r="K160" i="31" s="1"/>
  <c r="L160" i="31" s="1"/>
  <c r="M160" i="31" s="1"/>
  <c r="N160" i="31" s="1"/>
  <c r="O160" i="31" s="1"/>
  <c r="I165" i="31"/>
  <c r="J165" i="31" s="1"/>
  <c r="K165" i="31" s="1"/>
  <c r="L165" i="31" s="1"/>
  <c r="M165" i="31" s="1"/>
  <c r="N165" i="31" s="1"/>
  <c r="O165" i="31" s="1"/>
  <c r="I168" i="31"/>
  <c r="J168" i="31" s="1"/>
  <c r="K168" i="31" s="1"/>
  <c r="L168" i="31" s="1"/>
  <c r="M168" i="31" s="1"/>
  <c r="N168" i="31" s="1"/>
  <c r="O168" i="31" s="1"/>
  <c r="I181" i="31"/>
  <c r="I184" i="31"/>
  <c r="J184" i="31" s="1"/>
  <c r="K184" i="31" s="1"/>
  <c r="L184" i="31" s="1"/>
  <c r="M184" i="31" s="1"/>
  <c r="N184" i="31" s="1"/>
  <c r="O184" i="31" s="1"/>
  <c r="I189" i="31"/>
  <c r="J189" i="31" s="1"/>
  <c r="I192" i="31"/>
  <c r="J192" i="31" s="1"/>
  <c r="K192" i="31" s="1"/>
  <c r="L192" i="31" s="1"/>
  <c r="M192" i="31" s="1"/>
  <c r="N192" i="31" s="1"/>
  <c r="O192" i="31" s="1"/>
  <c r="I61" i="31"/>
  <c r="I64" i="31"/>
  <c r="I69" i="31"/>
  <c r="J69" i="31" s="1"/>
  <c r="K69" i="31" s="1"/>
  <c r="L69" i="31" s="1"/>
  <c r="M69" i="31" s="1"/>
  <c r="I72" i="31"/>
  <c r="J72" i="31" s="1"/>
  <c r="K72" i="31" s="1"/>
  <c r="L72" i="31" s="1"/>
  <c r="M72" i="31" s="1"/>
  <c r="I77" i="31"/>
  <c r="J77" i="31" s="1"/>
  <c r="I80" i="31"/>
  <c r="J80" i="31" s="1"/>
  <c r="K80" i="31" s="1"/>
  <c r="L80" i="31" s="1"/>
  <c r="M80" i="31" s="1"/>
  <c r="I85" i="31"/>
  <c r="J85" i="31" s="1"/>
  <c r="K85" i="31" s="1"/>
  <c r="L85" i="31" s="1"/>
  <c r="M85" i="31" s="1"/>
  <c r="I88" i="31"/>
  <c r="I93" i="31"/>
  <c r="I96" i="31"/>
  <c r="I102" i="31"/>
  <c r="J102" i="31" s="1"/>
  <c r="K102" i="31" s="1"/>
  <c r="L102" i="31" s="1"/>
  <c r="M102" i="31" s="1"/>
  <c r="N102" i="31" s="1"/>
  <c r="O102" i="31" s="1"/>
  <c r="I105" i="31"/>
  <c r="J105" i="31" s="1"/>
  <c r="I110" i="31"/>
  <c r="J110" i="31" s="1"/>
  <c r="I118" i="31"/>
  <c r="I121" i="31"/>
  <c r="J121" i="31" s="1"/>
  <c r="K121" i="31" s="1"/>
  <c r="L121" i="31" s="1"/>
  <c r="M121" i="31" s="1"/>
  <c r="N121" i="31" s="1"/>
  <c r="O121" i="31" s="1"/>
  <c r="I126" i="31"/>
  <c r="I129" i="31"/>
  <c r="I134" i="31"/>
  <c r="I137" i="31"/>
  <c r="J137" i="31" s="1"/>
  <c r="K137" i="31" s="1"/>
  <c r="L137" i="31" s="1"/>
  <c r="M137" i="31" s="1"/>
  <c r="N137" i="31" s="1"/>
  <c r="O137" i="31" s="1"/>
  <c r="I150" i="31"/>
  <c r="I153" i="31"/>
  <c r="J153" i="31" s="1"/>
  <c r="K153" i="31" s="1"/>
  <c r="L153" i="31" s="1"/>
  <c r="M153" i="31" s="1"/>
  <c r="N153" i="31" s="1"/>
  <c r="O153" i="31" s="1"/>
  <c r="I158" i="31"/>
  <c r="I161" i="31"/>
  <c r="J161" i="31" s="1"/>
  <c r="I166" i="31"/>
  <c r="I169" i="31"/>
  <c r="J169" i="31" s="1"/>
  <c r="K169" i="31" s="1"/>
  <c r="L169" i="31" s="1"/>
  <c r="M169" i="31" s="1"/>
  <c r="N169" i="31" s="1"/>
  <c r="O169" i="31" s="1"/>
  <c r="I182" i="31"/>
  <c r="I185" i="31"/>
  <c r="I190" i="31"/>
  <c r="I193" i="31"/>
  <c r="J193" i="31" s="1"/>
  <c r="K193" i="31" s="1"/>
  <c r="L193" i="31" s="1"/>
  <c r="M193" i="31" s="1"/>
  <c r="N193" i="31" s="1"/>
  <c r="O193" i="31" s="1"/>
  <c r="I8" i="24"/>
  <c r="I39" i="24" s="1"/>
  <c r="I140" i="24" s="1"/>
  <c r="J8" i="24"/>
  <c r="J39" i="24" s="1"/>
  <c r="J140" i="24" s="1"/>
  <c r="K8" i="24"/>
  <c r="K39" i="24" s="1"/>
  <c r="K140" i="24" s="1"/>
  <c r="L8" i="24"/>
  <c r="L39" i="24" s="1"/>
  <c r="L140" i="24" s="1"/>
  <c r="M8" i="24"/>
  <c r="M39" i="24" s="1"/>
  <c r="M140" i="24" s="1"/>
  <c r="I292" i="31"/>
  <c r="I295" i="31"/>
  <c r="J295" i="31" s="1"/>
  <c r="K295" i="31" s="1"/>
  <c r="L295" i="31" s="1"/>
  <c r="M295" i="31" s="1"/>
  <c r="N295" i="31" s="1"/>
  <c r="O295" i="31" s="1"/>
  <c r="I293" i="31"/>
  <c r="J293" i="31" s="1"/>
  <c r="K293" i="31" s="1"/>
  <c r="L293" i="31" s="1"/>
  <c r="M293" i="31" s="1"/>
  <c r="N293" i="31" s="1"/>
  <c r="O293" i="31" s="1"/>
  <c r="I296" i="31"/>
  <c r="J296" i="31" s="1"/>
  <c r="K296" i="31" s="1"/>
  <c r="L296" i="31" s="1"/>
  <c r="M296" i="31" s="1"/>
  <c r="N296" i="31" s="1"/>
  <c r="O296" i="31" s="1"/>
  <c r="I294" i="31"/>
  <c r="I297" i="31"/>
  <c r="J297" i="31" s="1"/>
  <c r="K297" i="31" s="1"/>
  <c r="I284" i="31"/>
  <c r="J284" i="31" s="1"/>
  <c r="K284" i="31" s="1"/>
  <c r="L284" i="31" s="1"/>
  <c r="M284" i="31" s="1"/>
  <c r="N284" i="31" s="1"/>
  <c r="O284" i="31" s="1"/>
  <c r="I287" i="31"/>
  <c r="J287" i="31" s="1"/>
  <c r="K287" i="31" s="1"/>
  <c r="L287" i="31" s="1"/>
  <c r="M287" i="31" s="1"/>
  <c r="N287" i="31" s="1"/>
  <c r="O287" i="31" s="1"/>
  <c r="I285" i="31"/>
  <c r="J285" i="31" s="1"/>
  <c r="K285" i="31" s="1"/>
  <c r="L285" i="31" s="1"/>
  <c r="M285" i="31" s="1"/>
  <c r="N285" i="31" s="1"/>
  <c r="O285" i="31" s="1"/>
  <c r="I288" i="31"/>
  <c r="J288" i="31" s="1"/>
  <c r="K288" i="31" s="1"/>
  <c r="I286" i="31"/>
  <c r="I289" i="31"/>
  <c r="J289" i="31" s="1"/>
  <c r="K289" i="31" s="1"/>
  <c r="L289" i="31" s="1"/>
  <c r="M289" i="31" s="1"/>
  <c r="N289" i="31" s="1"/>
  <c r="O289" i="31" s="1"/>
  <c r="I276" i="31"/>
  <c r="J276" i="31" s="1"/>
  <c r="K276" i="31" s="1"/>
  <c r="L276" i="31" s="1"/>
  <c r="M276" i="31" s="1"/>
  <c r="N276" i="31" s="1"/>
  <c r="O276" i="31" s="1"/>
  <c r="I279" i="31"/>
  <c r="J279" i="31" s="1"/>
  <c r="K279" i="31" s="1"/>
  <c r="L279" i="31" s="1"/>
  <c r="I277" i="31"/>
  <c r="J277" i="31" s="1"/>
  <c r="K277" i="31" s="1"/>
  <c r="L277" i="31" s="1"/>
  <c r="M277" i="31" s="1"/>
  <c r="N277" i="31" s="1"/>
  <c r="O277" i="31" s="1"/>
  <c r="I280" i="31"/>
  <c r="J280" i="31" s="1"/>
  <c r="K280" i="31" s="1"/>
  <c r="L280" i="31" s="1"/>
  <c r="M280" i="31" s="1"/>
  <c r="N280" i="31" s="1"/>
  <c r="O280" i="31" s="1"/>
  <c r="I278" i="31"/>
  <c r="J278" i="31" s="1"/>
  <c r="K278" i="31" s="1"/>
  <c r="L278" i="31" s="1"/>
  <c r="M278" i="31" s="1"/>
  <c r="N278" i="31" s="1"/>
  <c r="O278" i="31" s="1"/>
  <c r="I281" i="31"/>
  <c r="J281" i="31" s="1"/>
  <c r="K281" i="31" s="1"/>
  <c r="L281" i="31" s="1"/>
  <c r="M281" i="31" s="1"/>
  <c r="N281" i="31" s="1"/>
  <c r="O281" i="31" s="1"/>
  <c r="I268" i="31"/>
  <c r="J268" i="31" s="1"/>
  <c r="K268" i="31" s="1"/>
  <c r="I271" i="31"/>
  <c r="J271" i="31" s="1"/>
  <c r="K271" i="31" s="1"/>
  <c r="L271" i="31" s="1"/>
  <c r="M271" i="31" s="1"/>
  <c r="I269" i="31"/>
  <c r="J269" i="31" s="1"/>
  <c r="K269" i="31" s="1"/>
  <c r="L269" i="31" s="1"/>
  <c r="M269" i="31" s="1"/>
  <c r="I272" i="31"/>
  <c r="J272" i="31" s="1"/>
  <c r="K272" i="31" s="1"/>
  <c r="L272" i="31" s="1"/>
  <c r="M272" i="31" s="1"/>
  <c r="I270" i="31"/>
  <c r="I273" i="31"/>
  <c r="J273" i="31" s="1"/>
  <c r="K273" i="31" s="1"/>
  <c r="L273" i="31" s="1"/>
  <c r="M273" i="31" s="1"/>
  <c r="I260" i="31"/>
  <c r="I263" i="31"/>
  <c r="J263" i="31" s="1"/>
  <c r="K263" i="31" s="1"/>
  <c r="L263" i="31" s="1"/>
  <c r="M263" i="31" s="1"/>
  <c r="N263" i="31" s="1"/>
  <c r="O263" i="31" s="1"/>
  <c r="I261" i="31"/>
  <c r="J261" i="31" s="1"/>
  <c r="I264" i="31"/>
  <c r="J264" i="31" s="1"/>
  <c r="K264" i="31" s="1"/>
  <c r="L264" i="31" s="1"/>
  <c r="M264" i="31" s="1"/>
  <c r="N264" i="31" s="1"/>
  <c r="O264" i="31" s="1"/>
  <c r="I262" i="31"/>
  <c r="J262" i="31" s="1"/>
  <c r="K262" i="31" s="1"/>
  <c r="L262" i="31" s="1"/>
  <c r="M262" i="31" s="1"/>
  <c r="N262" i="31" s="1"/>
  <c r="O262" i="31" s="1"/>
  <c r="I265" i="31"/>
  <c r="J265" i="31" s="1"/>
  <c r="K265" i="31" s="1"/>
  <c r="L265" i="31" s="1"/>
  <c r="M265" i="31" s="1"/>
  <c r="N265" i="31" s="1"/>
  <c r="O265" i="31" s="1"/>
  <c r="I252" i="31"/>
  <c r="J252" i="31" s="1"/>
  <c r="K252" i="31" s="1"/>
  <c r="L252" i="31" s="1"/>
  <c r="M252" i="31" s="1"/>
  <c r="N252" i="31" s="1"/>
  <c r="O252" i="31" s="1"/>
  <c r="I255" i="31"/>
  <c r="J255" i="31" s="1"/>
  <c r="K255" i="31" s="1"/>
  <c r="L255" i="31" s="1"/>
  <c r="M255" i="31" s="1"/>
  <c r="N255" i="31" s="1"/>
  <c r="O255" i="31" s="1"/>
  <c r="I253" i="31"/>
  <c r="J253" i="31" s="1"/>
  <c r="K253" i="31" s="1"/>
  <c r="L253" i="31" s="1"/>
  <c r="M253" i="31" s="1"/>
  <c r="N253" i="31" s="1"/>
  <c r="O253" i="31" s="1"/>
  <c r="I256" i="31"/>
  <c r="J256" i="31" s="1"/>
  <c r="K256" i="31" s="1"/>
  <c r="L256" i="31" s="1"/>
  <c r="M256" i="31" s="1"/>
  <c r="N256" i="31" s="1"/>
  <c r="O256" i="31" s="1"/>
  <c r="I254" i="31"/>
  <c r="J254" i="31" s="1"/>
  <c r="K254" i="31" s="1"/>
  <c r="L254" i="31" s="1"/>
  <c r="M254" i="31" s="1"/>
  <c r="N254" i="31" s="1"/>
  <c r="O254" i="31" s="1"/>
  <c r="I257" i="31"/>
  <c r="J257" i="31" s="1"/>
  <c r="K257" i="31" s="1"/>
  <c r="L257" i="31" s="1"/>
  <c r="M257" i="31" s="1"/>
  <c r="N257" i="31" s="1"/>
  <c r="O257" i="31" s="1"/>
  <c r="I244" i="31"/>
  <c r="J244" i="31" s="1"/>
  <c r="K244" i="31" s="1"/>
  <c r="L244" i="31" s="1"/>
  <c r="M244" i="31" s="1"/>
  <c r="N244" i="31" s="1"/>
  <c r="O244" i="31" s="1"/>
  <c r="I247" i="31"/>
  <c r="J247" i="31" s="1"/>
  <c r="I245" i="31"/>
  <c r="J245" i="31" s="1"/>
  <c r="K245" i="31" s="1"/>
  <c r="L245" i="31" s="1"/>
  <c r="M245" i="31" s="1"/>
  <c r="N245" i="31" s="1"/>
  <c r="O245" i="31" s="1"/>
  <c r="I248" i="31"/>
  <c r="J248" i="31" s="1"/>
  <c r="K248" i="31" s="1"/>
  <c r="L248" i="31" s="1"/>
  <c r="M248" i="31" s="1"/>
  <c r="N248" i="31" s="1"/>
  <c r="O248" i="31" s="1"/>
  <c r="I246" i="31"/>
  <c r="J246" i="31" s="1"/>
  <c r="K246" i="31" s="1"/>
  <c r="L246" i="31" s="1"/>
  <c r="M246" i="31" s="1"/>
  <c r="N246" i="31" s="1"/>
  <c r="O246" i="31" s="1"/>
  <c r="I249" i="31"/>
  <c r="J249" i="31" s="1"/>
  <c r="K249" i="31" s="1"/>
  <c r="L249" i="31" s="1"/>
  <c r="M249" i="31" s="1"/>
  <c r="N249" i="31" s="1"/>
  <c r="O249" i="31" s="1"/>
  <c r="I236" i="31"/>
  <c r="J236" i="31" s="1"/>
  <c r="K236" i="31" s="1"/>
  <c r="L236" i="31" s="1"/>
  <c r="M236" i="31" s="1"/>
  <c r="N236" i="31" s="1"/>
  <c r="O236" i="31" s="1"/>
  <c r="I239" i="31"/>
  <c r="J239" i="31" s="1"/>
  <c r="K239" i="31" s="1"/>
  <c r="L239" i="31" s="1"/>
  <c r="M239" i="31" s="1"/>
  <c r="N239" i="31" s="1"/>
  <c r="O239" i="31" s="1"/>
  <c r="I237" i="31"/>
  <c r="I240" i="31"/>
  <c r="J240" i="31" s="1"/>
  <c r="K240" i="31" s="1"/>
  <c r="L240" i="31" s="1"/>
  <c r="M240" i="31" s="1"/>
  <c r="N240" i="31" s="1"/>
  <c r="O240" i="31" s="1"/>
  <c r="I238" i="31"/>
  <c r="J238" i="31" s="1"/>
  <c r="K238" i="31" s="1"/>
  <c r="L238" i="31" s="1"/>
  <c r="M238" i="31" s="1"/>
  <c r="N238" i="31" s="1"/>
  <c r="O238" i="31" s="1"/>
  <c r="I241" i="31"/>
  <c r="J241" i="31" s="1"/>
  <c r="K241" i="31" s="1"/>
  <c r="L241" i="31" s="1"/>
  <c r="M241" i="31" s="1"/>
  <c r="N241" i="31" s="1"/>
  <c r="O241" i="31" s="1"/>
  <c r="I228" i="31"/>
  <c r="J228" i="31" s="1"/>
  <c r="K228" i="31" s="1"/>
  <c r="L228" i="31" s="1"/>
  <c r="M228" i="31" s="1"/>
  <c r="N228" i="31" s="1"/>
  <c r="O228" i="31" s="1"/>
  <c r="I231" i="31"/>
  <c r="J231" i="31" s="1"/>
  <c r="K231" i="31" s="1"/>
  <c r="L231" i="31" s="1"/>
  <c r="M231" i="31" s="1"/>
  <c r="N231" i="31" s="1"/>
  <c r="O231" i="31" s="1"/>
  <c r="I229" i="31"/>
  <c r="I232" i="31"/>
  <c r="J232" i="31" s="1"/>
  <c r="K232" i="31" s="1"/>
  <c r="L232" i="31" s="1"/>
  <c r="M232" i="31" s="1"/>
  <c r="N232" i="31" s="1"/>
  <c r="O232" i="31" s="1"/>
  <c r="I230" i="31"/>
  <c r="I233" i="31"/>
  <c r="J233" i="31" s="1"/>
  <c r="K233" i="31" s="1"/>
  <c r="L233" i="31" s="1"/>
  <c r="M233" i="31" s="1"/>
  <c r="N233" i="31" s="1"/>
  <c r="O233" i="31" s="1"/>
  <c r="I220" i="31"/>
  <c r="I223" i="31"/>
  <c r="J223" i="31" s="1"/>
  <c r="K223" i="31" s="1"/>
  <c r="L223" i="31" s="1"/>
  <c r="M223" i="31" s="1"/>
  <c r="N223" i="31" s="1"/>
  <c r="O223" i="31" s="1"/>
  <c r="I221" i="31"/>
  <c r="J221" i="31" s="1"/>
  <c r="K221" i="31" s="1"/>
  <c r="L221" i="31" s="1"/>
  <c r="M221" i="31" s="1"/>
  <c r="N221" i="31" s="1"/>
  <c r="O221" i="31" s="1"/>
  <c r="I224" i="31"/>
  <c r="J224" i="31" s="1"/>
  <c r="K224" i="31" s="1"/>
  <c r="L224" i="31" s="1"/>
  <c r="M224" i="31" s="1"/>
  <c r="N224" i="31" s="1"/>
  <c r="O224" i="31" s="1"/>
  <c r="I222" i="31"/>
  <c r="J222" i="31" s="1"/>
  <c r="K222" i="31" s="1"/>
  <c r="L222" i="31" s="1"/>
  <c r="M222" i="31" s="1"/>
  <c r="N222" i="31" s="1"/>
  <c r="O222" i="31" s="1"/>
  <c r="I225" i="31"/>
  <c r="J225" i="31" s="1"/>
  <c r="K225" i="31" s="1"/>
  <c r="L225" i="31" s="1"/>
  <c r="M225" i="31" s="1"/>
  <c r="N225" i="31" s="1"/>
  <c r="O225" i="31" s="1"/>
  <c r="I212" i="31"/>
  <c r="J212" i="31" s="1"/>
  <c r="K212" i="31" s="1"/>
  <c r="L212" i="31" s="1"/>
  <c r="M212" i="31" s="1"/>
  <c r="N212" i="31" s="1"/>
  <c r="O212" i="31" s="1"/>
  <c r="I215" i="31"/>
  <c r="J215" i="31" s="1"/>
  <c r="K215" i="31" s="1"/>
  <c r="I213" i="31"/>
  <c r="J213" i="31" s="1"/>
  <c r="K213" i="31" s="1"/>
  <c r="L213" i="31" s="1"/>
  <c r="M213" i="31" s="1"/>
  <c r="N213" i="31" s="1"/>
  <c r="O213" i="31" s="1"/>
  <c r="I216" i="31"/>
  <c r="J216" i="31" s="1"/>
  <c r="K216" i="31" s="1"/>
  <c r="L216" i="31" s="1"/>
  <c r="M216" i="31" s="1"/>
  <c r="N216" i="31" s="1"/>
  <c r="O216" i="31" s="1"/>
  <c r="I214" i="31"/>
  <c r="I217" i="31"/>
  <c r="J217" i="31" s="1"/>
  <c r="K217" i="31" s="1"/>
  <c r="L217" i="31" s="1"/>
  <c r="M217" i="31" s="1"/>
  <c r="N217" i="31" s="1"/>
  <c r="O217" i="31" s="1"/>
  <c r="I204" i="31"/>
  <c r="I207" i="31"/>
  <c r="J207" i="31" s="1"/>
  <c r="K207" i="31" s="1"/>
  <c r="L207" i="31" s="1"/>
  <c r="M207" i="31" s="1"/>
  <c r="N207" i="31" s="1"/>
  <c r="O207" i="31" s="1"/>
  <c r="I205" i="31"/>
  <c r="J205" i="31" s="1"/>
  <c r="K205" i="31" s="1"/>
  <c r="L205" i="31" s="1"/>
  <c r="M205" i="31" s="1"/>
  <c r="N205" i="31" s="1"/>
  <c r="O205" i="31" s="1"/>
  <c r="I208" i="31"/>
  <c r="J208" i="31" s="1"/>
  <c r="K208" i="31" s="1"/>
  <c r="L208" i="31" s="1"/>
  <c r="M208" i="31" s="1"/>
  <c r="N208" i="31" s="1"/>
  <c r="O208" i="31" s="1"/>
  <c r="I206" i="31"/>
  <c r="J206" i="31" s="1"/>
  <c r="K206" i="31" s="1"/>
  <c r="L206" i="31" s="1"/>
  <c r="M206" i="31" s="1"/>
  <c r="N206" i="31" s="1"/>
  <c r="O206" i="31" s="1"/>
  <c r="I209" i="31"/>
  <c r="J209" i="31" s="1"/>
  <c r="K209" i="31" s="1"/>
  <c r="L209" i="31" s="1"/>
  <c r="M209" i="31" s="1"/>
  <c r="N209" i="31" s="1"/>
  <c r="O209" i="31" s="1"/>
  <c r="I196" i="31"/>
  <c r="I199" i="31"/>
  <c r="J199" i="31" s="1"/>
  <c r="K199" i="31" s="1"/>
  <c r="L199" i="31" s="1"/>
  <c r="M199" i="31" s="1"/>
  <c r="N199" i="31" s="1"/>
  <c r="O199" i="31" s="1"/>
  <c r="I197" i="31"/>
  <c r="I200" i="31"/>
  <c r="J200" i="31" s="1"/>
  <c r="K200" i="31" s="1"/>
  <c r="L200" i="31" s="1"/>
  <c r="M200" i="31" s="1"/>
  <c r="N200" i="31" s="1"/>
  <c r="O200" i="31" s="1"/>
  <c r="I198" i="31"/>
  <c r="I201" i="31"/>
  <c r="J201" i="31" s="1"/>
  <c r="K201" i="31" s="1"/>
  <c r="I108" i="31"/>
  <c r="I113" i="31"/>
  <c r="J113" i="31" s="1"/>
  <c r="K113" i="31" s="1"/>
  <c r="L113" i="31" s="1"/>
  <c r="M113" i="31" s="1"/>
  <c r="I100" i="31"/>
  <c r="J100" i="31" s="1"/>
  <c r="K100" i="31" s="1"/>
  <c r="L100" i="31" s="1"/>
  <c r="M100" i="31" s="1"/>
  <c r="I103" i="31"/>
  <c r="J103" i="31" s="1"/>
  <c r="K103" i="31" s="1"/>
  <c r="L103" i="31" s="1"/>
  <c r="M103" i="31" s="1"/>
  <c r="I94" i="31"/>
  <c r="I67" i="31"/>
  <c r="J67" i="31" s="1"/>
  <c r="K67" i="31" s="1"/>
  <c r="L67" i="31" s="1"/>
  <c r="M67" i="31" s="1"/>
  <c r="I59" i="31"/>
  <c r="J59" i="31" s="1"/>
  <c r="K59" i="31" s="1"/>
  <c r="L59" i="31" s="1"/>
  <c r="M59" i="31" s="1"/>
  <c r="I62" i="31"/>
  <c r="J62" i="31" s="1"/>
  <c r="K62" i="31" s="1"/>
  <c r="L62" i="31" s="1"/>
  <c r="M62" i="31" s="1"/>
  <c r="D227" i="24"/>
  <c r="D221" i="24"/>
  <c r="D215" i="24"/>
  <c r="D209" i="24"/>
  <c r="D203" i="24"/>
  <c r="D197" i="24"/>
  <c r="D191" i="24"/>
  <c r="D185" i="24"/>
  <c r="D179" i="24"/>
  <c r="D173" i="24"/>
  <c r="D167" i="24"/>
  <c r="D369" i="24" s="1"/>
  <c r="D161" i="24"/>
  <c r="D155" i="24"/>
  <c r="D149" i="24"/>
  <c r="D143" i="24"/>
  <c r="D345" i="24" s="1"/>
  <c r="G247" i="24"/>
  <c r="G248" i="24"/>
  <c r="G249" i="24"/>
  <c r="G250" i="24"/>
  <c r="G251" i="24"/>
  <c r="G252" i="24"/>
  <c r="G253" i="24"/>
  <c r="G254" i="24"/>
  <c r="G255" i="24"/>
  <c r="G256" i="24"/>
  <c r="G257" i="24"/>
  <c r="G258" i="24"/>
  <c r="G259" i="24"/>
  <c r="G260" i="24"/>
  <c r="G261" i="24"/>
  <c r="G262" i="24"/>
  <c r="G263" i="24"/>
  <c r="G264" i="24"/>
  <c r="G265" i="24"/>
  <c r="G266" i="24"/>
  <c r="G267" i="24"/>
  <c r="G268" i="24"/>
  <c r="G269" i="24"/>
  <c r="G270" i="24"/>
  <c r="G271" i="24"/>
  <c r="G272" i="24"/>
  <c r="G273" i="24"/>
  <c r="G274" i="24"/>
  <c r="G275" i="24"/>
  <c r="G276" i="24"/>
  <c r="G277" i="24"/>
  <c r="G278" i="24"/>
  <c r="G279" i="24"/>
  <c r="G280" i="24"/>
  <c r="G281" i="24"/>
  <c r="G282" i="24"/>
  <c r="G283" i="24"/>
  <c r="G284" i="24"/>
  <c r="G285" i="24"/>
  <c r="G286" i="24"/>
  <c r="G287" i="24"/>
  <c r="G288" i="24"/>
  <c r="G289" i="24"/>
  <c r="G290" i="24"/>
  <c r="G291" i="24"/>
  <c r="G292" i="24"/>
  <c r="G293" i="24"/>
  <c r="G294" i="24"/>
  <c r="G295" i="24"/>
  <c r="G296" i="24"/>
  <c r="G297" i="24"/>
  <c r="G298" i="24"/>
  <c r="G299" i="24"/>
  <c r="G300" i="24"/>
  <c r="G301" i="24"/>
  <c r="G302" i="24"/>
  <c r="G303" i="24"/>
  <c r="G304" i="24"/>
  <c r="G305" i="24"/>
  <c r="G306" i="24"/>
  <c r="G307" i="24"/>
  <c r="G308" i="24"/>
  <c r="G309" i="24"/>
  <c r="G310" i="24"/>
  <c r="G311" i="24"/>
  <c r="G312" i="24"/>
  <c r="G313" i="24"/>
  <c r="G314" i="24"/>
  <c r="G315" i="24"/>
  <c r="G316" i="24"/>
  <c r="G317" i="24"/>
  <c r="G318" i="24"/>
  <c r="G319" i="24"/>
  <c r="G320" i="24"/>
  <c r="G321" i="24"/>
  <c r="G322" i="24"/>
  <c r="G323" i="24"/>
  <c r="G324" i="24"/>
  <c r="G325" i="24"/>
  <c r="G326" i="24"/>
  <c r="G327" i="24"/>
  <c r="G328" i="24"/>
  <c r="G329" i="24"/>
  <c r="G330" i="24"/>
  <c r="G331" i="24"/>
  <c r="G332" i="24"/>
  <c r="G333" i="24"/>
  <c r="G334" i="24"/>
  <c r="G335" i="24"/>
  <c r="G345" i="24"/>
  <c r="G346" i="24"/>
  <c r="G347" i="24"/>
  <c r="G348" i="24"/>
  <c r="G349" i="24"/>
  <c r="G350" i="24"/>
  <c r="G351" i="24"/>
  <c r="G352" i="24"/>
  <c r="G353" i="24"/>
  <c r="G354" i="24"/>
  <c r="G355" i="24"/>
  <c r="G356" i="24"/>
  <c r="G357" i="24"/>
  <c r="G358" i="24"/>
  <c r="G359" i="24"/>
  <c r="G360" i="24"/>
  <c r="G361" i="24"/>
  <c r="G362" i="24"/>
  <c r="G363" i="24"/>
  <c r="G364" i="24"/>
  <c r="G365" i="24"/>
  <c r="G366" i="24"/>
  <c r="G367" i="24"/>
  <c r="G368" i="24"/>
  <c r="G369" i="24"/>
  <c r="G370" i="24"/>
  <c r="G371" i="24"/>
  <c r="G372" i="24"/>
  <c r="G373" i="24"/>
  <c r="G374" i="24"/>
  <c r="G375" i="24"/>
  <c r="G376" i="24"/>
  <c r="G377" i="24"/>
  <c r="G378" i="24"/>
  <c r="G379" i="24"/>
  <c r="G380" i="24"/>
  <c r="G381" i="24"/>
  <c r="G382" i="24"/>
  <c r="G383" i="24"/>
  <c r="G384" i="24"/>
  <c r="G385" i="24"/>
  <c r="G386" i="24"/>
  <c r="G387" i="24"/>
  <c r="G388" i="24"/>
  <c r="G389" i="24"/>
  <c r="G390" i="24"/>
  <c r="G391" i="24"/>
  <c r="G392" i="24"/>
  <c r="G393" i="24"/>
  <c r="G394" i="24"/>
  <c r="G395" i="24"/>
  <c r="G396" i="24"/>
  <c r="G397" i="24"/>
  <c r="G398" i="24"/>
  <c r="G399" i="24"/>
  <c r="G400" i="24"/>
  <c r="G401" i="24"/>
  <c r="G402" i="24"/>
  <c r="G403" i="24"/>
  <c r="G404" i="24"/>
  <c r="G405" i="24"/>
  <c r="G406" i="24"/>
  <c r="G407" i="24"/>
  <c r="G408" i="24"/>
  <c r="G409" i="24"/>
  <c r="G410" i="24"/>
  <c r="G411" i="24"/>
  <c r="G412" i="24"/>
  <c r="G413" i="24"/>
  <c r="G414" i="24"/>
  <c r="G415" i="24"/>
  <c r="G416" i="24"/>
  <c r="G417" i="24"/>
  <c r="G418" i="24"/>
  <c r="G419" i="24"/>
  <c r="G420" i="24"/>
  <c r="G421" i="24"/>
  <c r="G422" i="24"/>
  <c r="G423" i="24"/>
  <c r="G424" i="24"/>
  <c r="G425" i="24"/>
  <c r="G426" i="24"/>
  <c r="G427" i="24"/>
  <c r="G428" i="24"/>
  <c r="G429" i="24"/>
  <c r="G430" i="24"/>
  <c r="G431" i="24"/>
  <c r="G432" i="24"/>
  <c r="G433" i="24"/>
  <c r="G434" i="24"/>
  <c r="G246" i="24"/>
  <c r="C135" i="22"/>
  <c r="C133" i="22"/>
  <c r="J33" i="35"/>
  <c r="K33" i="35" s="1"/>
  <c r="L33" i="35" s="1"/>
  <c r="M33" i="35" s="1"/>
  <c r="N33" i="35" s="1"/>
  <c r="O33" i="35" s="1"/>
  <c r="J20" i="35"/>
  <c r="K20" i="35" s="1"/>
  <c r="L20" i="35" s="1"/>
  <c r="M20" i="35" s="1"/>
  <c r="N20" i="35" s="1"/>
  <c r="O20" i="35" s="1"/>
  <c r="J121" i="35"/>
  <c r="K121" i="35" s="1"/>
  <c r="L121" i="35" s="1"/>
  <c r="M121" i="35" s="1"/>
  <c r="N121" i="35" s="1"/>
  <c r="O121" i="35" s="1"/>
  <c r="J119" i="35"/>
  <c r="J122" i="35" s="1"/>
  <c r="J113" i="35"/>
  <c r="K113" i="35" s="1"/>
  <c r="J54" i="35"/>
  <c r="K54" i="35" s="1"/>
  <c r="L54" i="35" s="1"/>
  <c r="M54" i="35" s="1"/>
  <c r="N54" i="35" s="1"/>
  <c r="O54" i="35" s="1"/>
  <c r="J52" i="35"/>
  <c r="K52" i="35" s="1"/>
  <c r="J18" i="35"/>
  <c r="I55" i="18"/>
  <c r="J55" i="18" s="1"/>
  <c r="K55" i="18" s="1"/>
  <c r="L55" i="18" s="1"/>
  <c r="M55" i="18" s="1"/>
  <c r="N55" i="18" s="1"/>
  <c r="O55" i="18" s="1"/>
  <c r="I64" i="18"/>
  <c r="J64" i="18" s="1"/>
  <c r="K64" i="18" s="1"/>
  <c r="L64" i="18" s="1"/>
  <c r="M64" i="18" s="1"/>
  <c r="N64" i="18" s="1"/>
  <c r="O64" i="18" s="1"/>
  <c r="G22" i="1"/>
  <c r="G61" i="1"/>
  <c r="I61" i="1" s="1"/>
  <c r="I60" i="1"/>
  <c r="C5" i="1"/>
  <c r="J77" i="35"/>
  <c r="K77" i="35" s="1"/>
  <c r="L77" i="35" s="1"/>
  <c r="M77" i="35" s="1"/>
  <c r="N77" i="35" s="1"/>
  <c r="O77" i="35" s="1"/>
  <c r="J79" i="35"/>
  <c r="K79" i="35" s="1"/>
  <c r="L79" i="35" s="1"/>
  <c r="M79" i="35" s="1"/>
  <c r="N79" i="35" s="1"/>
  <c r="O79" i="35" s="1"/>
  <c r="J81" i="35"/>
  <c r="K81" i="35" s="1"/>
  <c r="L81" i="35" s="1"/>
  <c r="M81" i="35" s="1"/>
  <c r="N81" i="35" s="1"/>
  <c r="O81" i="35" s="1"/>
  <c r="J70" i="35"/>
  <c r="K70" i="35" s="1"/>
  <c r="L70" i="35" s="1"/>
  <c r="M70" i="35" s="1"/>
  <c r="N70" i="35" s="1"/>
  <c r="O70" i="35" s="1"/>
  <c r="J68" i="35"/>
  <c r="K68" i="35" s="1"/>
  <c r="L68" i="35" s="1"/>
  <c r="M68" i="35" s="1"/>
  <c r="N68" i="35" s="1"/>
  <c r="O68" i="35" s="1"/>
  <c r="J66" i="35"/>
  <c r="C5" i="37"/>
  <c r="C5" i="24"/>
  <c r="I241" i="24"/>
  <c r="I342" i="24" s="1"/>
  <c r="F114" i="34"/>
  <c r="I91" i="18"/>
  <c r="J91" i="18" s="1"/>
  <c r="K91" i="18" s="1"/>
  <c r="L91" i="18" s="1"/>
  <c r="M91" i="18" s="1"/>
  <c r="N91" i="18" s="1"/>
  <c r="O91" i="18" s="1"/>
  <c r="I90" i="18"/>
  <c r="J90" i="18" s="1"/>
  <c r="K90" i="18" s="1"/>
  <c r="L90" i="18" s="1"/>
  <c r="M90" i="18" s="1"/>
  <c r="N90" i="18" s="1"/>
  <c r="O90" i="18" s="1"/>
  <c r="I89" i="18"/>
  <c r="J89" i="18" s="1"/>
  <c r="K89" i="18" s="1"/>
  <c r="L89" i="18" s="1"/>
  <c r="M89" i="18" s="1"/>
  <c r="N89" i="18" s="1"/>
  <c r="O89" i="18" s="1"/>
  <c r="I88" i="18"/>
  <c r="J88" i="18" s="1"/>
  <c r="K88" i="18" s="1"/>
  <c r="L88" i="18" s="1"/>
  <c r="M88" i="18" s="1"/>
  <c r="N88" i="18" s="1"/>
  <c r="O88" i="18" s="1"/>
  <c r="I66" i="18"/>
  <c r="J66" i="18" s="1"/>
  <c r="K66" i="18" s="1"/>
  <c r="L66" i="18" s="1"/>
  <c r="M66" i="18" s="1"/>
  <c r="N66" i="18" s="1"/>
  <c r="O66" i="18" s="1"/>
  <c r="I65" i="18"/>
  <c r="J65" i="18" s="1"/>
  <c r="K65" i="18" s="1"/>
  <c r="L65" i="18" s="1"/>
  <c r="M65" i="18" s="1"/>
  <c r="N65" i="18" s="1"/>
  <c r="O65" i="18" s="1"/>
  <c r="I63" i="18"/>
  <c r="J63" i="18" s="1"/>
  <c r="K63" i="18" s="1"/>
  <c r="L63" i="18" s="1"/>
  <c r="M63" i="18" s="1"/>
  <c r="N63" i="18" s="1"/>
  <c r="O63" i="18" s="1"/>
  <c r="I62" i="18"/>
  <c r="J62" i="18" s="1"/>
  <c r="C5" i="31"/>
  <c r="K18" i="35"/>
  <c r="L18" i="35" s="1"/>
  <c r="M18" i="35" s="1"/>
  <c r="N18" i="35" s="1"/>
  <c r="O18" i="35" s="1"/>
  <c r="J16" i="18"/>
  <c r="I26" i="24"/>
  <c r="J26" i="24"/>
  <c r="K26" i="24"/>
  <c r="L26" i="24"/>
  <c r="M26" i="24"/>
  <c r="AB145" i="43"/>
  <c r="AC145" i="43" s="1"/>
  <c r="AD145" i="43" s="1"/>
  <c r="R145" i="43"/>
  <c r="S145" i="43" s="1"/>
  <c r="T145" i="43" s="1"/>
  <c r="AB144" i="43"/>
  <c r="AC144" i="43" s="1"/>
  <c r="AD144" i="43" s="1"/>
  <c r="H144" i="43"/>
  <c r="R144" i="43"/>
  <c r="S144" i="43" s="1"/>
  <c r="T144" i="43" s="1"/>
  <c r="AB143" i="43"/>
  <c r="AC143" i="43" s="1"/>
  <c r="AD143" i="43" s="1"/>
  <c r="H143" i="43"/>
  <c r="I143" i="43" s="1"/>
  <c r="J143" i="43" s="1"/>
  <c r="R143" i="43"/>
  <c r="S143" i="43" s="1"/>
  <c r="T143" i="43" s="1"/>
  <c r="AB142" i="43"/>
  <c r="AC142" i="43" s="1"/>
  <c r="AD142" i="43" s="1"/>
  <c r="R142" i="43"/>
  <c r="S142" i="43" s="1"/>
  <c r="T142" i="43" s="1"/>
  <c r="AB141" i="43"/>
  <c r="AC141" i="43" s="1"/>
  <c r="R141" i="43"/>
  <c r="S141" i="43" s="1"/>
  <c r="T141" i="43" s="1"/>
  <c r="AB140" i="43"/>
  <c r="G96" i="1"/>
  <c r="H96" i="1" s="1"/>
  <c r="I96" i="1" s="1"/>
  <c r="J96" i="1" s="1"/>
  <c r="K96" i="1" s="1"/>
  <c r="L96" i="1" s="1"/>
  <c r="M96" i="1" s="1"/>
  <c r="G37" i="40"/>
  <c r="H37" i="40"/>
  <c r="I37" i="40"/>
  <c r="F37" i="40"/>
  <c r="D128" i="24"/>
  <c r="D122" i="24"/>
  <c r="D324" i="24" s="1"/>
  <c r="D116" i="24"/>
  <c r="D110" i="24"/>
  <c r="D312" i="24" s="1"/>
  <c r="D104" i="24"/>
  <c r="D98" i="24"/>
  <c r="D300" i="24" s="1"/>
  <c r="D92" i="24"/>
  <c r="D86" i="24"/>
  <c r="D288" i="24" s="1"/>
  <c r="D80" i="24"/>
  <c r="D74" i="24"/>
  <c r="D276" i="24" s="1"/>
  <c r="D68" i="24"/>
  <c r="D62" i="24"/>
  <c r="D56" i="24"/>
  <c r="D50" i="24"/>
  <c r="D44" i="24"/>
  <c r="G10" i="43"/>
  <c r="H10" i="43"/>
  <c r="I10" i="43"/>
  <c r="J10" i="43"/>
  <c r="L10" i="43"/>
  <c r="M10" i="43"/>
  <c r="N10" i="43"/>
  <c r="O10" i="43"/>
  <c r="Q10" i="43"/>
  <c r="R10" i="43"/>
  <c r="S10" i="43"/>
  <c r="T10" i="43"/>
  <c r="R13" i="43"/>
  <c r="S13" i="43" s="1"/>
  <c r="AB13" i="43"/>
  <c r="AC13" i="43" s="1"/>
  <c r="AD13" i="43" s="1"/>
  <c r="R14" i="43"/>
  <c r="S14" i="43" s="1"/>
  <c r="T14" i="43" s="1"/>
  <c r="AB14" i="43"/>
  <c r="AC14" i="43" s="1"/>
  <c r="AD14" i="43" s="1"/>
  <c r="R15" i="43"/>
  <c r="S15" i="43" s="1"/>
  <c r="T15" i="43" s="1"/>
  <c r="AB15" i="43"/>
  <c r="AC15" i="43" s="1"/>
  <c r="AD15" i="43" s="1"/>
  <c r="R16" i="43"/>
  <c r="S16" i="43" s="1"/>
  <c r="T16" i="43" s="1"/>
  <c r="AB16" i="43"/>
  <c r="AC16" i="43" s="1"/>
  <c r="AD16" i="43" s="1"/>
  <c r="R17" i="43"/>
  <c r="S17" i="43" s="1"/>
  <c r="T17" i="43" s="1"/>
  <c r="AB17" i="43"/>
  <c r="AC17" i="43" s="1"/>
  <c r="AD17" i="43" s="1"/>
  <c r="R18" i="43"/>
  <c r="S18" i="43" s="1"/>
  <c r="T18" i="43" s="1"/>
  <c r="AB18" i="43"/>
  <c r="AC18" i="43" s="1"/>
  <c r="AD18" i="43" s="1"/>
  <c r="R19" i="43"/>
  <c r="S19" i="43" s="1"/>
  <c r="T19" i="43" s="1"/>
  <c r="AB19" i="43"/>
  <c r="AC19" i="43" s="1"/>
  <c r="AD19" i="43" s="1"/>
  <c r="R20" i="43"/>
  <c r="S20" i="43" s="1"/>
  <c r="T20" i="43" s="1"/>
  <c r="AB20" i="43"/>
  <c r="AC20" i="43" s="1"/>
  <c r="AD20" i="43" s="1"/>
  <c r="R21" i="43"/>
  <c r="S21" i="43" s="1"/>
  <c r="T21" i="43" s="1"/>
  <c r="AB21" i="43"/>
  <c r="AC21" i="43" s="1"/>
  <c r="AD21" i="43" s="1"/>
  <c r="R22" i="43"/>
  <c r="S22" i="43" s="1"/>
  <c r="T22" i="43" s="1"/>
  <c r="AB22" i="43"/>
  <c r="AC22" i="43" s="1"/>
  <c r="AD22" i="43" s="1"/>
  <c r="R23" i="43"/>
  <c r="S23" i="43" s="1"/>
  <c r="T23" i="43" s="1"/>
  <c r="AB23" i="43"/>
  <c r="AC23" i="43" s="1"/>
  <c r="AD23" i="43" s="1"/>
  <c r="R24" i="43"/>
  <c r="S24" i="43" s="1"/>
  <c r="T24" i="43" s="1"/>
  <c r="AB24" i="43"/>
  <c r="AC24" i="43" s="1"/>
  <c r="AD24" i="43" s="1"/>
  <c r="R25" i="43"/>
  <c r="S25" i="43" s="1"/>
  <c r="T25" i="43" s="1"/>
  <c r="AB25" i="43"/>
  <c r="AC25" i="43" s="1"/>
  <c r="AD25" i="43" s="1"/>
  <c r="R26" i="43"/>
  <c r="S26" i="43" s="1"/>
  <c r="T26" i="43" s="1"/>
  <c r="AB26" i="43"/>
  <c r="AC26" i="43" s="1"/>
  <c r="AD26" i="43" s="1"/>
  <c r="R27" i="43"/>
  <c r="S27" i="43" s="1"/>
  <c r="T27" i="43" s="1"/>
  <c r="AB27" i="43"/>
  <c r="AC27" i="43" s="1"/>
  <c r="AD27" i="43" s="1"/>
  <c r="R28" i="43"/>
  <c r="S28" i="43" s="1"/>
  <c r="T28" i="43" s="1"/>
  <c r="AB28" i="43"/>
  <c r="AC28" i="43" s="1"/>
  <c r="AD28" i="43" s="1"/>
  <c r="R29" i="43"/>
  <c r="S29" i="43" s="1"/>
  <c r="T29" i="43" s="1"/>
  <c r="AB29" i="43"/>
  <c r="AC29" i="43" s="1"/>
  <c r="AD29" i="43" s="1"/>
  <c r="R30" i="43"/>
  <c r="S30" i="43" s="1"/>
  <c r="T30" i="43" s="1"/>
  <c r="AB30" i="43"/>
  <c r="AC30" i="43" s="1"/>
  <c r="AD30" i="43" s="1"/>
  <c r="R31" i="43"/>
  <c r="S31" i="43" s="1"/>
  <c r="T31" i="43" s="1"/>
  <c r="AB31" i="43"/>
  <c r="AC31" i="43" s="1"/>
  <c r="AD31" i="43" s="1"/>
  <c r="R32" i="43"/>
  <c r="S32" i="43" s="1"/>
  <c r="T32" i="43" s="1"/>
  <c r="AB32" i="43"/>
  <c r="AC32" i="43" s="1"/>
  <c r="AD32" i="43" s="1"/>
  <c r="R33" i="43"/>
  <c r="S33" i="43" s="1"/>
  <c r="T33" i="43" s="1"/>
  <c r="AB33" i="43"/>
  <c r="AC33" i="43" s="1"/>
  <c r="AD33" i="43" s="1"/>
  <c r="R34" i="43"/>
  <c r="S34" i="43" s="1"/>
  <c r="T34" i="43" s="1"/>
  <c r="AB34" i="43"/>
  <c r="AC34" i="43" s="1"/>
  <c r="AD34" i="43" s="1"/>
  <c r="R35" i="43"/>
  <c r="S35" i="43" s="1"/>
  <c r="T35" i="43" s="1"/>
  <c r="AB35" i="43"/>
  <c r="AC35" i="43" s="1"/>
  <c r="AD35" i="43" s="1"/>
  <c r="R36" i="43"/>
  <c r="S36" i="43" s="1"/>
  <c r="T36" i="43" s="1"/>
  <c r="AB36" i="43"/>
  <c r="AC36" i="43" s="1"/>
  <c r="AD36" i="43" s="1"/>
  <c r="R37" i="43"/>
  <c r="S37" i="43" s="1"/>
  <c r="T37" i="43" s="1"/>
  <c r="AB37" i="43"/>
  <c r="AC37" i="43" s="1"/>
  <c r="AD37" i="43" s="1"/>
  <c r="R38" i="43"/>
  <c r="S38" i="43" s="1"/>
  <c r="T38" i="43" s="1"/>
  <c r="AB38" i="43"/>
  <c r="AC38" i="43" s="1"/>
  <c r="AD38" i="43" s="1"/>
  <c r="R39" i="43"/>
  <c r="S39" i="43" s="1"/>
  <c r="T39" i="43" s="1"/>
  <c r="AB39" i="43"/>
  <c r="AC39" i="43" s="1"/>
  <c r="AD39" i="43" s="1"/>
  <c r="R40" i="43"/>
  <c r="S40" i="43" s="1"/>
  <c r="T40" i="43" s="1"/>
  <c r="AB40" i="43"/>
  <c r="AC40" i="43" s="1"/>
  <c r="AD40" i="43" s="1"/>
  <c r="R41" i="43"/>
  <c r="S41" i="43" s="1"/>
  <c r="T41" i="43" s="1"/>
  <c r="AB41" i="43"/>
  <c r="AC41" i="43" s="1"/>
  <c r="AD41" i="43" s="1"/>
  <c r="R42" i="43"/>
  <c r="S42" i="43" s="1"/>
  <c r="T42" i="43" s="1"/>
  <c r="AB42" i="43"/>
  <c r="AC42" i="43" s="1"/>
  <c r="AD42" i="43" s="1"/>
  <c r="R43" i="43"/>
  <c r="S43" i="43" s="1"/>
  <c r="T43" i="43" s="1"/>
  <c r="AB43" i="43"/>
  <c r="AC43" i="43" s="1"/>
  <c r="AD43" i="43" s="1"/>
  <c r="R44" i="43"/>
  <c r="S44" i="43" s="1"/>
  <c r="T44" i="43" s="1"/>
  <c r="AB44" i="43"/>
  <c r="AC44" i="43" s="1"/>
  <c r="AD44" i="43" s="1"/>
  <c r="R45" i="43"/>
  <c r="S45" i="43" s="1"/>
  <c r="T45" i="43" s="1"/>
  <c r="AB45" i="43"/>
  <c r="AC45" i="43" s="1"/>
  <c r="AD45" i="43" s="1"/>
  <c r="R46" i="43"/>
  <c r="S46" i="43" s="1"/>
  <c r="T46" i="43" s="1"/>
  <c r="AB46" i="43"/>
  <c r="AC46" i="43" s="1"/>
  <c r="AD46" i="43" s="1"/>
  <c r="R47" i="43"/>
  <c r="S47" i="43" s="1"/>
  <c r="T47" i="43" s="1"/>
  <c r="AB47" i="43"/>
  <c r="AC47" i="43" s="1"/>
  <c r="AD47" i="43" s="1"/>
  <c r="R48" i="43"/>
  <c r="S48" i="43" s="1"/>
  <c r="T48" i="43" s="1"/>
  <c r="AB48" i="43"/>
  <c r="AC48" i="43" s="1"/>
  <c r="AD48" i="43" s="1"/>
  <c r="R49" i="43"/>
  <c r="S49" i="43" s="1"/>
  <c r="T49" i="43" s="1"/>
  <c r="AB49" i="43"/>
  <c r="AC49" i="43" s="1"/>
  <c r="AD49" i="43" s="1"/>
  <c r="R50" i="43"/>
  <c r="S50" i="43" s="1"/>
  <c r="T50" i="43" s="1"/>
  <c r="AB50" i="43"/>
  <c r="AC50" i="43" s="1"/>
  <c r="AD50" i="43" s="1"/>
  <c r="R51" i="43"/>
  <c r="S51" i="43" s="1"/>
  <c r="T51" i="43" s="1"/>
  <c r="AB51" i="43"/>
  <c r="AC51" i="43" s="1"/>
  <c r="AD51" i="43" s="1"/>
  <c r="R52" i="43"/>
  <c r="S52" i="43" s="1"/>
  <c r="T52" i="43" s="1"/>
  <c r="AB52" i="43"/>
  <c r="AC52" i="43" s="1"/>
  <c r="AD52" i="43" s="1"/>
  <c r="R53" i="43"/>
  <c r="S53" i="43" s="1"/>
  <c r="T53" i="43" s="1"/>
  <c r="AB53" i="43"/>
  <c r="AC53" i="43" s="1"/>
  <c r="AD53" i="43" s="1"/>
  <c r="R54" i="43"/>
  <c r="S54" i="43" s="1"/>
  <c r="T54" i="43" s="1"/>
  <c r="AB54" i="43"/>
  <c r="AC54" i="43" s="1"/>
  <c r="AD54" i="43" s="1"/>
  <c r="R55" i="43"/>
  <c r="S55" i="43" s="1"/>
  <c r="T55" i="43" s="1"/>
  <c r="AB55" i="43"/>
  <c r="AC55" i="43" s="1"/>
  <c r="AD55" i="43" s="1"/>
  <c r="R56" i="43"/>
  <c r="S56" i="43" s="1"/>
  <c r="T56" i="43" s="1"/>
  <c r="AB56" i="43"/>
  <c r="AC56" i="43" s="1"/>
  <c r="AD56" i="43" s="1"/>
  <c r="R57" i="43"/>
  <c r="S57" i="43" s="1"/>
  <c r="T57" i="43" s="1"/>
  <c r="AB57" i="43"/>
  <c r="AC57" i="43" s="1"/>
  <c r="AD57" i="43" s="1"/>
  <c r="R58" i="43"/>
  <c r="S58" i="43" s="1"/>
  <c r="T58" i="43" s="1"/>
  <c r="AB58" i="43"/>
  <c r="AC58" i="43" s="1"/>
  <c r="AD58" i="43" s="1"/>
  <c r="R59" i="43"/>
  <c r="S59" i="43" s="1"/>
  <c r="T59" i="43" s="1"/>
  <c r="AB59" i="43"/>
  <c r="AC59" i="43" s="1"/>
  <c r="AD59" i="43" s="1"/>
  <c r="R60" i="43"/>
  <c r="S60" i="43" s="1"/>
  <c r="T60" i="43" s="1"/>
  <c r="AB60" i="43"/>
  <c r="AC60" i="43" s="1"/>
  <c r="AD60" i="43" s="1"/>
  <c r="R61" i="43"/>
  <c r="S61" i="43" s="1"/>
  <c r="T61" i="43" s="1"/>
  <c r="AB61" i="43"/>
  <c r="AC61" i="43" s="1"/>
  <c r="AD61" i="43" s="1"/>
  <c r="R62" i="43"/>
  <c r="S62" i="43" s="1"/>
  <c r="T62" i="43" s="1"/>
  <c r="AB62" i="43"/>
  <c r="AC62" i="43" s="1"/>
  <c r="AD62" i="43" s="1"/>
  <c r="R63" i="43"/>
  <c r="S63" i="43" s="1"/>
  <c r="T63" i="43" s="1"/>
  <c r="AB63" i="43"/>
  <c r="AC63" i="43" s="1"/>
  <c r="AD63" i="43" s="1"/>
  <c r="R64" i="43"/>
  <c r="S64" i="43" s="1"/>
  <c r="T64" i="43" s="1"/>
  <c r="AB64" i="43"/>
  <c r="AC64" i="43" s="1"/>
  <c r="AD64" i="43" s="1"/>
  <c r="R65" i="43"/>
  <c r="S65" i="43" s="1"/>
  <c r="T65" i="43" s="1"/>
  <c r="AB65" i="43"/>
  <c r="AC65" i="43" s="1"/>
  <c r="AD65" i="43" s="1"/>
  <c r="R66" i="43"/>
  <c r="S66" i="43" s="1"/>
  <c r="T66" i="43" s="1"/>
  <c r="AB66" i="43"/>
  <c r="AC66" i="43" s="1"/>
  <c r="AD66" i="43" s="1"/>
  <c r="R67" i="43"/>
  <c r="S67" i="43" s="1"/>
  <c r="T67" i="43" s="1"/>
  <c r="AB67" i="43"/>
  <c r="AC67" i="43" s="1"/>
  <c r="AD67" i="43" s="1"/>
  <c r="R68" i="43"/>
  <c r="S68" i="43" s="1"/>
  <c r="T68" i="43" s="1"/>
  <c r="AB68" i="43"/>
  <c r="AC68" i="43" s="1"/>
  <c r="AD68" i="43" s="1"/>
  <c r="R69" i="43"/>
  <c r="S69" i="43" s="1"/>
  <c r="T69" i="43" s="1"/>
  <c r="AB69" i="43"/>
  <c r="AC69" i="43" s="1"/>
  <c r="AD69" i="43" s="1"/>
  <c r="R70" i="43"/>
  <c r="S70" i="43" s="1"/>
  <c r="T70" i="43" s="1"/>
  <c r="AB70" i="43"/>
  <c r="AC70" i="43" s="1"/>
  <c r="AD70" i="43" s="1"/>
  <c r="R71" i="43"/>
  <c r="S71" i="43" s="1"/>
  <c r="T71" i="43" s="1"/>
  <c r="AB71" i="43"/>
  <c r="AC71" i="43" s="1"/>
  <c r="AD71" i="43" s="1"/>
  <c r="R72" i="43"/>
  <c r="S72" i="43" s="1"/>
  <c r="T72" i="43" s="1"/>
  <c r="AB72" i="43"/>
  <c r="AC72" i="43" s="1"/>
  <c r="AD72" i="43" s="1"/>
  <c r="R73" i="43"/>
  <c r="S73" i="43" s="1"/>
  <c r="T73" i="43" s="1"/>
  <c r="AB73" i="43"/>
  <c r="AC73" i="43" s="1"/>
  <c r="AD73" i="43" s="1"/>
  <c r="R74" i="43"/>
  <c r="S74" i="43" s="1"/>
  <c r="T74" i="43" s="1"/>
  <c r="AB74" i="43"/>
  <c r="AC74" i="43" s="1"/>
  <c r="AD74" i="43" s="1"/>
  <c r="R75" i="43"/>
  <c r="S75" i="43" s="1"/>
  <c r="T75" i="43" s="1"/>
  <c r="AB75" i="43"/>
  <c r="AC75" i="43" s="1"/>
  <c r="AD75" i="43" s="1"/>
  <c r="R76" i="43"/>
  <c r="S76" i="43" s="1"/>
  <c r="T76" i="43" s="1"/>
  <c r="AB76" i="43"/>
  <c r="AC76" i="43" s="1"/>
  <c r="AD76" i="43" s="1"/>
  <c r="R77" i="43"/>
  <c r="S77" i="43" s="1"/>
  <c r="T77" i="43" s="1"/>
  <c r="AB77" i="43"/>
  <c r="AC77" i="43" s="1"/>
  <c r="AD77" i="43" s="1"/>
  <c r="R78" i="43"/>
  <c r="S78" i="43" s="1"/>
  <c r="T78" i="43" s="1"/>
  <c r="AB78" i="43"/>
  <c r="AC78" i="43" s="1"/>
  <c r="AD78" i="43" s="1"/>
  <c r="R79" i="43"/>
  <c r="S79" i="43" s="1"/>
  <c r="T79" i="43" s="1"/>
  <c r="AB79" i="43"/>
  <c r="AC79" i="43" s="1"/>
  <c r="AD79" i="43" s="1"/>
  <c r="R80" i="43"/>
  <c r="S80" i="43" s="1"/>
  <c r="T80" i="43" s="1"/>
  <c r="AB80" i="43"/>
  <c r="AC80" i="43" s="1"/>
  <c r="AD80" i="43" s="1"/>
  <c r="R81" i="43"/>
  <c r="S81" i="43" s="1"/>
  <c r="T81" i="43" s="1"/>
  <c r="AB81" i="43"/>
  <c r="AC81" i="43" s="1"/>
  <c r="AD81" i="43" s="1"/>
  <c r="R82" i="43"/>
  <c r="S82" i="43" s="1"/>
  <c r="T82" i="43" s="1"/>
  <c r="AB82" i="43"/>
  <c r="AC82" i="43" s="1"/>
  <c r="AD82" i="43" s="1"/>
  <c r="R83" i="43"/>
  <c r="S83" i="43" s="1"/>
  <c r="T83" i="43" s="1"/>
  <c r="AB83" i="43"/>
  <c r="AC83" i="43" s="1"/>
  <c r="AD83" i="43" s="1"/>
  <c r="R84" i="43"/>
  <c r="S84" i="43" s="1"/>
  <c r="T84" i="43" s="1"/>
  <c r="AB84" i="43"/>
  <c r="AC84" i="43" s="1"/>
  <c r="AD84" i="43" s="1"/>
  <c r="R85" i="43"/>
  <c r="S85" i="43" s="1"/>
  <c r="T85" i="43" s="1"/>
  <c r="AB85" i="43"/>
  <c r="AC85" i="43" s="1"/>
  <c r="AD85" i="43" s="1"/>
  <c r="R86" i="43"/>
  <c r="S86" i="43" s="1"/>
  <c r="T86" i="43" s="1"/>
  <c r="AB86" i="43"/>
  <c r="AC86" i="43" s="1"/>
  <c r="AD86" i="43" s="1"/>
  <c r="R87" i="43"/>
  <c r="S87" i="43" s="1"/>
  <c r="T87" i="43" s="1"/>
  <c r="AB87" i="43"/>
  <c r="AC87" i="43" s="1"/>
  <c r="AD87" i="43" s="1"/>
  <c r="R88" i="43"/>
  <c r="S88" i="43" s="1"/>
  <c r="T88" i="43" s="1"/>
  <c r="AB88" i="43"/>
  <c r="AC88" i="43" s="1"/>
  <c r="AD88" i="43" s="1"/>
  <c r="R89" i="43"/>
  <c r="S89" i="43" s="1"/>
  <c r="T89" i="43" s="1"/>
  <c r="AB89" i="43"/>
  <c r="AC89" i="43" s="1"/>
  <c r="AD89" i="43" s="1"/>
  <c r="R90" i="43"/>
  <c r="S90" i="43" s="1"/>
  <c r="T90" i="43" s="1"/>
  <c r="AB90" i="43"/>
  <c r="AC90" i="43" s="1"/>
  <c r="AD90" i="43" s="1"/>
  <c r="R91" i="43"/>
  <c r="S91" i="43" s="1"/>
  <c r="T91" i="43" s="1"/>
  <c r="AB91" i="43"/>
  <c r="AC91" i="43" s="1"/>
  <c r="AD91" i="43" s="1"/>
  <c r="R92" i="43"/>
  <c r="S92" i="43" s="1"/>
  <c r="T92" i="43" s="1"/>
  <c r="AB92" i="43"/>
  <c r="AC92" i="43" s="1"/>
  <c r="AD92" i="43" s="1"/>
  <c r="R93" i="43"/>
  <c r="S93" i="43" s="1"/>
  <c r="T93" i="43" s="1"/>
  <c r="AB93" i="43"/>
  <c r="AC93" i="43" s="1"/>
  <c r="AD93" i="43" s="1"/>
  <c r="R94" i="43"/>
  <c r="S94" i="43" s="1"/>
  <c r="T94" i="43" s="1"/>
  <c r="AB94" i="43"/>
  <c r="AC94" i="43" s="1"/>
  <c r="AD94" i="43" s="1"/>
  <c r="R95" i="43"/>
  <c r="S95" i="43" s="1"/>
  <c r="T95" i="43" s="1"/>
  <c r="AB95" i="43"/>
  <c r="AC95" i="43" s="1"/>
  <c r="AD95" i="43" s="1"/>
  <c r="R96" i="43"/>
  <c r="S96" i="43" s="1"/>
  <c r="T96" i="43" s="1"/>
  <c r="AB96" i="43"/>
  <c r="AC96" i="43" s="1"/>
  <c r="AD96" i="43" s="1"/>
  <c r="R97" i="43"/>
  <c r="S97" i="43" s="1"/>
  <c r="T97" i="43" s="1"/>
  <c r="AB97" i="43"/>
  <c r="AC97" i="43" s="1"/>
  <c r="AD97" i="43" s="1"/>
  <c r="R98" i="43"/>
  <c r="S98" i="43" s="1"/>
  <c r="T98" i="43" s="1"/>
  <c r="AB98" i="43"/>
  <c r="AC98" i="43" s="1"/>
  <c r="AD98" i="43" s="1"/>
  <c r="R99" i="43"/>
  <c r="S99" i="43" s="1"/>
  <c r="T99" i="43" s="1"/>
  <c r="AB99" i="43"/>
  <c r="AC99" i="43" s="1"/>
  <c r="AD99" i="43" s="1"/>
  <c r="R100" i="43"/>
  <c r="S100" i="43" s="1"/>
  <c r="T100" i="43" s="1"/>
  <c r="AB100" i="43"/>
  <c r="AC100" i="43" s="1"/>
  <c r="AD100" i="43" s="1"/>
  <c r="R101" i="43"/>
  <c r="S101" i="43" s="1"/>
  <c r="T101" i="43" s="1"/>
  <c r="AB101" i="43"/>
  <c r="AC101" i="43" s="1"/>
  <c r="AD101" i="43" s="1"/>
  <c r="R102" i="43"/>
  <c r="S102" i="43" s="1"/>
  <c r="T102" i="43" s="1"/>
  <c r="AB102" i="43"/>
  <c r="AC102" i="43" s="1"/>
  <c r="AD102" i="43" s="1"/>
  <c r="R103" i="43"/>
  <c r="S103" i="43" s="1"/>
  <c r="T103" i="43" s="1"/>
  <c r="AB103" i="43"/>
  <c r="AC103" i="43" s="1"/>
  <c r="AD103" i="43" s="1"/>
  <c r="R104" i="43"/>
  <c r="S104" i="43" s="1"/>
  <c r="T104" i="43" s="1"/>
  <c r="AB104" i="43"/>
  <c r="AC104" i="43" s="1"/>
  <c r="AD104" i="43" s="1"/>
  <c r="R105" i="43"/>
  <c r="S105" i="43" s="1"/>
  <c r="T105" i="43" s="1"/>
  <c r="AB105" i="43"/>
  <c r="AC105" i="43" s="1"/>
  <c r="AD105" i="43" s="1"/>
  <c r="R106" i="43"/>
  <c r="S106" i="43" s="1"/>
  <c r="T106" i="43" s="1"/>
  <c r="AB106" i="43"/>
  <c r="AC106" i="43" s="1"/>
  <c r="AD106" i="43" s="1"/>
  <c r="R107" i="43"/>
  <c r="S107" i="43" s="1"/>
  <c r="T107" i="43" s="1"/>
  <c r="AB107" i="43"/>
  <c r="AC107" i="43" s="1"/>
  <c r="AD107" i="43" s="1"/>
  <c r="R108" i="43"/>
  <c r="S108" i="43" s="1"/>
  <c r="T108" i="43" s="1"/>
  <c r="AB108" i="43"/>
  <c r="AC108" i="43" s="1"/>
  <c r="AD108" i="43" s="1"/>
  <c r="R109" i="43"/>
  <c r="S109" i="43" s="1"/>
  <c r="T109" i="43" s="1"/>
  <c r="AB109" i="43"/>
  <c r="AC109" i="43" s="1"/>
  <c r="AD109" i="43" s="1"/>
  <c r="R110" i="43"/>
  <c r="S110" i="43" s="1"/>
  <c r="T110" i="43" s="1"/>
  <c r="AB110" i="43"/>
  <c r="AC110" i="43" s="1"/>
  <c r="AD110" i="43" s="1"/>
  <c r="R111" i="43"/>
  <c r="S111" i="43" s="1"/>
  <c r="T111" i="43" s="1"/>
  <c r="AB111" i="43"/>
  <c r="AC111" i="43" s="1"/>
  <c r="AD111" i="43" s="1"/>
  <c r="R112" i="43"/>
  <c r="S112" i="43" s="1"/>
  <c r="T112" i="43" s="1"/>
  <c r="AB112" i="43"/>
  <c r="AC112" i="43" s="1"/>
  <c r="AD112" i="43" s="1"/>
  <c r="R113" i="43"/>
  <c r="S113" i="43" s="1"/>
  <c r="T113" i="43" s="1"/>
  <c r="AB113" i="43"/>
  <c r="AC113" i="43" s="1"/>
  <c r="AD113" i="43" s="1"/>
  <c r="R114" i="43"/>
  <c r="S114" i="43" s="1"/>
  <c r="T114" i="43" s="1"/>
  <c r="AB114" i="43"/>
  <c r="AC114" i="43" s="1"/>
  <c r="AD114" i="43" s="1"/>
  <c r="R115" i="43"/>
  <c r="S115" i="43" s="1"/>
  <c r="T115" i="43" s="1"/>
  <c r="AB115" i="43"/>
  <c r="AC115" i="43" s="1"/>
  <c r="AD115" i="43" s="1"/>
  <c r="R116" i="43"/>
  <c r="S116" i="43" s="1"/>
  <c r="T116" i="43" s="1"/>
  <c r="AB116" i="43"/>
  <c r="AC116" i="43" s="1"/>
  <c r="AD116" i="43" s="1"/>
  <c r="R117" i="43"/>
  <c r="S117" i="43" s="1"/>
  <c r="T117" i="43" s="1"/>
  <c r="AB117" i="43"/>
  <c r="AC117" i="43" s="1"/>
  <c r="AD117" i="43" s="1"/>
  <c r="R118" i="43"/>
  <c r="AB118" i="43"/>
  <c r="AC118" i="43" s="1"/>
  <c r="AD118" i="43" s="1"/>
  <c r="R119" i="43"/>
  <c r="S119" i="43" s="1"/>
  <c r="T119" i="43" s="1"/>
  <c r="AB119" i="43"/>
  <c r="AC119" i="43" s="1"/>
  <c r="AD119" i="43" s="1"/>
  <c r="R120" i="43"/>
  <c r="S120" i="43" s="1"/>
  <c r="T120" i="43" s="1"/>
  <c r="AB120" i="43"/>
  <c r="AC120" i="43" s="1"/>
  <c r="AD120" i="43" s="1"/>
  <c r="R121" i="43"/>
  <c r="S121" i="43" s="1"/>
  <c r="T121" i="43" s="1"/>
  <c r="AB121" i="43"/>
  <c r="AC121" i="43" s="1"/>
  <c r="AD121" i="43" s="1"/>
  <c r="R122" i="43"/>
  <c r="S122" i="43" s="1"/>
  <c r="T122" i="43" s="1"/>
  <c r="AB122" i="43"/>
  <c r="AC122" i="43" s="1"/>
  <c r="AD122" i="43" s="1"/>
  <c r="R123" i="43"/>
  <c r="S123" i="43" s="1"/>
  <c r="T123" i="43" s="1"/>
  <c r="AB123" i="43"/>
  <c r="AC123" i="43" s="1"/>
  <c r="AD123" i="43" s="1"/>
  <c r="R124" i="43"/>
  <c r="S124" i="43" s="1"/>
  <c r="T124" i="43" s="1"/>
  <c r="AB124" i="43"/>
  <c r="AC124" i="43" s="1"/>
  <c r="AD124" i="43" s="1"/>
  <c r="R125" i="43"/>
  <c r="S125" i="43" s="1"/>
  <c r="T125" i="43" s="1"/>
  <c r="AB125" i="43"/>
  <c r="AC125" i="43" s="1"/>
  <c r="AD125" i="43" s="1"/>
  <c r="R126" i="43"/>
  <c r="S126" i="43" s="1"/>
  <c r="T126" i="43" s="1"/>
  <c r="AB126" i="43"/>
  <c r="AC126" i="43" s="1"/>
  <c r="AD126" i="43" s="1"/>
  <c r="R127" i="43"/>
  <c r="S127" i="43" s="1"/>
  <c r="T127" i="43" s="1"/>
  <c r="AB127" i="43"/>
  <c r="AC127" i="43" s="1"/>
  <c r="AD127" i="43" s="1"/>
  <c r="R128" i="43"/>
  <c r="S128" i="43" s="1"/>
  <c r="T128" i="43" s="1"/>
  <c r="AB128" i="43"/>
  <c r="AC128" i="43" s="1"/>
  <c r="AD128" i="43" s="1"/>
  <c r="R129" i="43"/>
  <c r="S129" i="43" s="1"/>
  <c r="T129" i="43" s="1"/>
  <c r="AB129" i="43"/>
  <c r="AC129" i="43" s="1"/>
  <c r="AD129" i="43" s="1"/>
  <c r="R130" i="43"/>
  <c r="S130" i="43" s="1"/>
  <c r="T130" i="43" s="1"/>
  <c r="AB130" i="43"/>
  <c r="AC130" i="43" s="1"/>
  <c r="AD130" i="43" s="1"/>
  <c r="R131" i="43"/>
  <c r="S131" i="43" s="1"/>
  <c r="T131" i="43" s="1"/>
  <c r="AB131" i="43"/>
  <c r="AC131" i="43" s="1"/>
  <c r="AD131" i="43" s="1"/>
  <c r="R132" i="43"/>
  <c r="S132" i="43" s="1"/>
  <c r="T132" i="43" s="1"/>
  <c r="AB132" i="43"/>
  <c r="AC132" i="43" s="1"/>
  <c r="AD132" i="43" s="1"/>
  <c r="R133" i="43"/>
  <c r="S133" i="43" s="1"/>
  <c r="T133" i="43" s="1"/>
  <c r="AB133" i="43"/>
  <c r="AC133" i="43" s="1"/>
  <c r="AD133" i="43" s="1"/>
  <c r="R134" i="43"/>
  <c r="S134" i="43" s="1"/>
  <c r="T134" i="43" s="1"/>
  <c r="AB134" i="43"/>
  <c r="AC134" i="43" s="1"/>
  <c r="AD134" i="43" s="1"/>
  <c r="R135" i="43"/>
  <c r="S135" i="43" s="1"/>
  <c r="T135" i="43" s="1"/>
  <c r="AB135" i="43"/>
  <c r="AC135" i="43" s="1"/>
  <c r="AD135" i="43" s="1"/>
  <c r="R136" i="43"/>
  <c r="S136" i="43" s="1"/>
  <c r="T136" i="43" s="1"/>
  <c r="AB136" i="43"/>
  <c r="AC136" i="43" s="1"/>
  <c r="AD136" i="43" s="1"/>
  <c r="R137" i="43"/>
  <c r="S137" i="43" s="1"/>
  <c r="T137" i="43" s="1"/>
  <c r="AB137" i="43"/>
  <c r="AC137" i="43" s="1"/>
  <c r="AD137" i="43" s="1"/>
  <c r="AA138" i="43"/>
  <c r="AA157" i="43" s="1"/>
  <c r="H78" i="1"/>
  <c r="I78" i="1" s="1"/>
  <c r="J78" i="1" s="1"/>
  <c r="K78" i="1" s="1"/>
  <c r="L78" i="1" s="1"/>
  <c r="M78" i="1" s="1"/>
  <c r="H30" i="37"/>
  <c r="H32" i="37"/>
  <c r="J102" i="35" s="1"/>
  <c r="H33" i="37"/>
  <c r="J103" i="35" s="1"/>
  <c r="I30" i="37"/>
  <c r="I32" i="37"/>
  <c r="K102" i="35" s="1"/>
  <c r="I33" i="37"/>
  <c r="K103" i="35" s="1"/>
  <c r="J30" i="37"/>
  <c r="J32" i="37"/>
  <c r="L102" i="35" s="1"/>
  <c r="J33" i="37"/>
  <c r="L103" i="35" s="1"/>
  <c r="K66" i="35"/>
  <c r="L66" i="35" s="1"/>
  <c r="K69" i="35"/>
  <c r="L69" i="35" s="1"/>
  <c r="M69" i="35" s="1"/>
  <c r="N69" i="35" s="1"/>
  <c r="O69" i="35" s="1"/>
  <c r="I13" i="24"/>
  <c r="J24" i="37"/>
  <c r="J23" i="37"/>
  <c r="J21" i="37"/>
  <c r="I24" i="37"/>
  <c r="I23" i="37"/>
  <c r="I21" i="37"/>
  <c r="H24" i="37"/>
  <c r="H23" i="37"/>
  <c r="H21" i="37"/>
  <c r="G24" i="37"/>
  <c r="G23" i="37"/>
  <c r="G21" i="37"/>
  <c r="F24" i="37"/>
  <c r="F23" i="37"/>
  <c r="F21" i="37"/>
  <c r="J13" i="24"/>
  <c r="K13" i="24"/>
  <c r="L13" i="24"/>
  <c r="M13" i="24"/>
  <c r="D61" i="34"/>
  <c r="D144" i="34" s="1"/>
  <c r="D57" i="34"/>
  <c r="D139" i="34" s="1"/>
  <c r="D53" i="34"/>
  <c r="D134" i="34" s="1"/>
  <c r="D84" i="1"/>
  <c r="D85" i="1"/>
  <c r="D64" i="1"/>
  <c r="D65" i="1"/>
  <c r="D46" i="1"/>
  <c r="D47" i="1"/>
  <c r="C5" i="40"/>
  <c r="E49" i="13"/>
  <c r="AI18" i="13"/>
  <c r="AI19" i="13"/>
  <c r="U19" i="13"/>
  <c r="AI20" i="13"/>
  <c r="U20" i="13"/>
  <c r="AI21" i="13"/>
  <c r="U21" i="13"/>
  <c r="AI22" i="13"/>
  <c r="U22" i="13"/>
  <c r="AI23" i="13"/>
  <c r="U23" i="13"/>
  <c r="AI24" i="13"/>
  <c r="U24" i="13"/>
  <c r="AI25" i="13"/>
  <c r="U25" i="13"/>
  <c r="AI26" i="13"/>
  <c r="U26" i="13"/>
  <c r="AI27" i="13"/>
  <c r="U27" i="13"/>
  <c r="AI28" i="13"/>
  <c r="AI29" i="13"/>
  <c r="AI30" i="13"/>
  <c r="AI31" i="13"/>
  <c r="AI32" i="13"/>
  <c r="AI34" i="13"/>
  <c r="I19" i="18"/>
  <c r="I20" i="18"/>
  <c r="J20" i="18" s="1"/>
  <c r="K20" i="18" s="1"/>
  <c r="I21" i="18"/>
  <c r="J21" i="18" s="1"/>
  <c r="K21" i="18" s="1"/>
  <c r="L21" i="18" s="1"/>
  <c r="M21" i="18" s="1"/>
  <c r="N21" i="18" s="1"/>
  <c r="O21" i="18" s="1"/>
  <c r="I22" i="18"/>
  <c r="J22" i="18" s="1"/>
  <c r="K22" i="18" s="1"/>
  <c r="L22" i="18" s="1"/>
  <c r="M22" i="18" s="1"/>
  <c r="N22" i="18" s="1"/>
  <c r="O22" i="18" s="1"/>
  <c r="I23" i="18"/>
  <c r="J23" i="18" s="1"/>
  <c r="K23" i="18" s="1"/>
  <c r="L23" i="18" s="1"/>
  <c r="M23" i="18" s="1"/>
  <c r="N23" i="18" s="1"/>
  <c r="O23" i="18" s="1"/>
  <c r="I53" i="18"/>
  <c r="J53" i="18" s="1"/>
  <c r="I54" i="18"/>
  <c r="J54" i="18" s="1"/>
  <c r="K54" i="18" s="1"/>
  <c r="I56" i="18"/>
  <c r="J56" i="18" s="1"/>
  <c r="K56" i="18" s="1"/>
  <c r="L56" i="18" s="1"/>
  <c r="M56" i="18" s="1"/>
  <c r="N56" i="18" s="1"/>
  <c r="O56" i="18" s="1"/>
  <c r="I57" i="18"/>
  <c r="J57" i="18" s="1"/>
  <c r="K57" i="18" s="1"/>
  <c r="L57" i="18" s="1"/>
  <c r="M57" i="18" s="1"/>
  <c r="N57" i="18" s="1"/>
  <c r="O57" i="18" s="1"/>
  <c r="I78" i="18"/>
  <c r="J78" i="18" s="1"/>
  <c r="I79" i="18"/>
  <c r="J79" i="18" s="1"/>
  <c r="K79" i="18" s="1"/>
  <c r="L79" i="18" s="1"/>
  <c r="M79" i="18" s="1"/>
  <c r="N79" i="18" s="1"/>
  <c r="O79" i="18" s="1"/>
  <c r="I80" i="18"/>
  <c r="J80" i="18" s="1"/>
  <c r="K80" i="18" s="1"/>
  <c r="L80" i="18" s="1"/>
  <c r="M80" i="18" s="1"/>
  <c r="N80" i="18" s="1"/>
  <c r="O80" i="18" s="1"/>
  <c r="I81" i="18"/>
  <c r="J81" i="18" s="1"/>
  <c r="K81" i="18" s="1"/>
  <c r="L81" i="18" s="1"/>
  <c r="M81" i="18" s="1"/>
  <c r="N81" i="18" s="1"/>
  <c r="O81" i="18" s="1"/>
  <c r="I82" i="18"/>
  <c r="J82" i="18" s="1"/>
  <c r="K82" i="18" s="1"/>
  <c r="L82" i="18" s="1"/>
  <c r="M82" i="18" s="1"/>
  <c r="N82" i="18" s="1"/>
  <c r="O82" i="18" s="1"/>
  <c r="AH16" i="13"/>
  <c r="AH17" i="13"/>
  <c r="AH18" i="13"/>
  <c r="AH19" i="13"/>
  <c r="AH20" i="13"/>
  <c r="AH21" i="13"/>
  <c r="AH22" i="13"/>
  <c r="AH23" i="13"/>
  <c r="AH24" i="13"/>
  <c r="AH25" i="13"/>
  <c r="AH26" i="13"/>
  <c r="AH27" i="13"/>
  <c r="AH28" i="13"/>
  <c r="AH29" i="13"/>
  <c r="AH30" i="13"/>
  <c r="AH31" i="13"/>
  <c r="AH32" i="13"/>
  <c r="AH33" i="13"/>
  <c r="AH34" i="13"/>
  <c r="AH35" i="13"/>
  <c r="E52" i="13"/>
  <c r="AI52" i="13" s="1"/>
  <c r="E55" i="13"/>
  <c r="AI55" i="13" s="1"/>
  <c r="E56" i="13"/>
  <c r="AI56" i="13" s="1"/>
  <c r="K57" i="13"/>
  <c r="U57" i="13" s="1"/>
  <c r="E59" i="13"/>
  <c r="E60" i="13"/>
  <c r="E61" i="13"/>
  <c r="AI61" i="13" s="1"/>
  <c r="E63" i="13"/>
  <c r="AI63" i="13" s="1"/>
  <c r="K64" i="13"/>
  <c r="U64" i="13" s="1"/>
  <c r="K104" i="1"/>
  <c r="J19" i="18"/>
  <c r="K19" i="18" s="1"/>
  <c r="L19" i="18" s="1"/>
  <c r="M19" i="18" s="1"/>
  <c r="G51" i="13"/>
  <c r="AH51" i="13" s="1"/>
  <c r="G53" i="13"/>
  <c r="AH53" i="13" s="1"/>
  <c r="G57" i="13"/>
  <c r="AH57" i="13" s="1"/>
  <c r="G59" i="13"/>
  <c r="AH59" i="13" s="1"/>
  <c r="G61" i="13"/>
  <c r="AH61" i="13" s="1"/>
  <c r="G67" i="13"/>
  <c r="AH67" i="13" s="1"/>
  <c r="E95" i="13"/>
  <c r="AI95" i="13" s="1"/>
  <c r="C5" i="39"/>
  <c r="H16" i="39"/>
  <c r="I19" i="39"/>
  <c r="G22" i="40" s="1"/>
  <c r="H20" i="39"/>
  <c r="I20" i="39" s="1"/>
  <c r="H21" i="39"/>
  <c r="I21" i="39" s="1"/>
  <c r="J21" i="39" s="1"/>
  <c r="G23" i="39"/>
  <c r="G42" i="39"/>
  <c r="G46" i="39"/>
  <c r="G55" i="39"/>
  <c r="H33" i="39"/>
  <c r="I33" i="39" s="1"/>
  <c r="J33" i="39" s="1"/>
  <c r="K33" i="39" s="1"/>
  <c r="L33" i="39" s="1"/>
  <c r="H34" i="39"/>
  <c r="I34" i="39" s="1"/>
  <c r="J34" i="39" s="1"/>
  <c r="K34" i="39" s="1"/>
  <c r="L34" i="39" s="1"/>
  <c r="H35" i="39"/>
  <c r="I35" i="39" s="1"/>
  <c r="J35" i="39" s="1"/>
  <c r="K35" i="39" s="1"/>
  <c r="L35" i="39" s="1"/>
  <c r="H38" i="39"/>
  <c r="I38" i="39" s="1"/>
  <c r="H41" i="39"/>
  <c r="I41" i="39" s="1"/>
  <c r="J41" i="39" s="1"/>
  <c r="K41" i="39" s="1"/>
  <c r="L41" i="39" s="1"/>
  <c r="H44" i="39"/>
  <c r="I44" i="39" s="1"/>
  <c r="J44" i="39" s="1"/>
  <c r="H45" i="39"/>
  <c r="H48" i="39"/>
  <c r="H49" i="39"/>
  <c r="I49" i="39" s="1"/>
  <c r="J49" i="39" s="1"/>
  <c r="K49" i="39" s="1"/>
  <c r="L49" i="39" s="1"/>
  <c r="H50" i="39"/>
  <c r="I50" i="39" s="1"/>
  <c r="J50" i="39" s="1"/>
  <c r="K50" i="39" s="1"/>
  <c r="L50" i="39" s="1"/>
  <c r="H52" i="39"/>
  <c r="I52" i="39" s="1"/>
  <c r="H53" i="39"/>
  <c r="H54" i="39"/>
  <c r="I54" i="39" s="1"/>
  <c r="J54" i="39" s="1"/>
  <c r="K54" i="39" s="1"/>
  <c r="L54" i="39" s="1"/>
  <c r="I45" i="39"/>
  <c r="J45" i="39" s="1"/>
  <c r="K45" i="39" s="1"/>
  <c r="L45" i="39" s="1"/>
  <c r="I51" i="39"/>
  <c r="J51" i="39" s="1"/>
  <c r="K51" i="39" s="1"/>
  <c r="L51" i="39" s="1"/>
  <c r="I53" i="39"/>
  <c r="J53" i="39" s="1"/>
  <c r="K53" i="39" s="1"/>
  <c r="L53" i="39" s="1"/>
  <c r="C5" i="38"/>
  <c r="F8" i="38"/>
  <c r="F40" i="38"/>
  <c r="F16" i="37"/>
  <c r="C5" i="36"/>
  <c r="M16" i="36"/>
  <c r="M17" i="36"/>
  <c r="M18" i="36"/>
  <c r="M19" i="36"/>
  <c r="M20" i="36"/>
  <c r="M21" i="36"/>
  <c r="M22" i="36"/>
  <c r="M23" i="36"/>
  <c r="M24" i="36"/>
  <c r="M25" i="36"/>
  <c r="M26" i="36"/>
  <c r="M27" i="36"/>
  <c r="M28" i="36"/>
  <c r="M29" i="36"/>
  <c r="M30" i="36"/>
  <c r="M31" i="36"/>
  <c r="M32" i="36"/>
  <c r="M33" i="36"/>
  <c r="M34" i="36"/>
  <c r="M35" i="36"/>
  <c r="M36" i="36"/>
  <c r="M37" i="36"/>
  <c r="M38" i="36"/>
  <c r="M39" i="36"/>
  <c r="M40" i="36"/>
  <c r="M41" i="36"/>
  <c r="M42" i="36"/>
  <c r="M43" i="36"/>
  <c r="M44" i="36"/>
  <c r="M45" i="36"/>
  <c r="M46" i="36"/>
  <c r="M47" i="36"/>
  <c r="M48" i="36"/>
  <c r="M49" i="36"/>
  <c r="M50" i="36"/>
  <c r="M51" i="36"/>
  <c r="M52" i="36"/>
  <c r="M53" i="36"/>
  <c r="M54" i="36"/>
  <c r="M55" i="36"/>
  <c r="M56" i="36"/>
  <c r="M57" i="36"/>
  <c r="M58" i="36"/>
  <c r="M59" i="36"/>
  <c r="M60" i="36"/>
  <c r="M61" i="36"/>
  <c r="M62" i="36"/>
  <c r="M63" i="36"/>
  <c r="M64" i="36"/>
  <c r="M65" i="36"/>
  <c r="M66" i="36"/>
  <c r="M67" i="36"/>
  <c r="M68" i="36"/>
  <c r="M69" i="36"/>
  <c r="M70" i="36"/>
  <c r="K14" i="36"/>
  <c r="N14" i="36" s="1"/>
  <c r="K15" i="36"/>
  <c r="N15" i="36" s="1"/>
  <c r="K16" i="36"/>
  <c r="N16" i="36"/>
  <c r="K17" i="36"/>
  <c r="N17" i="36" s="1"/>
  <c r="K18" i="36"/>
  <c r="N18" i="36"/>
  <c r="K19" i="36"/>
  <c r="N19" i="36"/>
  <c r="K20" i="36"/>
  <c r="N20" i="36"/>
  <c r="K21" i="36"/>
  <c r="N21" i="36"/>
  <c r="K22" i="36"/>
  <c r="N22" i="36" s="1"/>
  <c r="K23" i="36"/>
  <c r="N23" i="36" s="1"/>
  <c r="K24" i="36"/>
  <c r="N24" i="36" s="1"/>
  <c r="K25" i="36"/>
  <c r="N25" i="36" s="1"/>
  <c r="K26" i="36"/>
  <c r="N26" i="36" s="1"/>
  <c r="K27" i="36"/>
  <c r="N27" i="36" s="1"/>
  <c r="K28" i="36"/>
  <c r="N28" i="36" s="1"/>
  <c r="K29" i="36"/>
  <c r="N29" i="36" s="1"/>
  <c r="K30" i="36"/>
  <c r="N30" i="36" s="1"/>
  <c r="K31" i="36"/>
  <c r="N31" i="36" s="1"/>
  <c r="K32" i="36"/>
  <c r="N32" i="36" s="1"/>
  <c r="K33" i="36"/>
  <c r="N33" i="36" s="1"/>
  <c r="K34" i="36"/>
  <c r="N34" i="36" s="1"/>
  <c r="K35" i="36"/>
  <c r="N35" i="36" s="1"/>
  <c r="K36" i="36"/>
  <c r="N36" i="36" s="1"/>
  <c r="K37" i="36"/>
  <c r="N37" i="36" s="1"/>
  <c r="K38" i="36"/>
  <c r="N38" i="36" s="1"/>
  <c r="K39" i="36"/>
  <c r="N39" i="36" s="1"/>
  <c r="K40" i="36"/>
  <c r="N40" i="36" s="1"/>
  <c r="K41" i="36"/>
  <c r="N41" i="36" s="1"/>
  <c r="K42" i="36"/>
  <c r="N42" i="36" s="1"/>
  <c r="K43" i="36"/>
  <c r="N43" i="36" s="1"/>
  <c r="K44" i="36"/>
  <c r="N44" i="36" s="1"/>
  <c r="K45" i="36"/>
  <c r="N45" i="36" s="1"/>
  <c r="K46" i="36"/>
  <c r="N46" i="36" s="1"/>
  <c r="K47" i="36"/>
  <c r="N47" i="36" s="1"/>
  <c r="K48" i="36"/>
  <c r="N48" i="36" s="1"/>
  <c r="K49" i="36"/>
  <c r="N49" i="36" s="1"/>
  <c r="K50" i="36"/>
  <c r="N50" i="36" s="1"/>
  <c r="K51" i="36"/>
  <c r="N51" i="36" s="1"/>
  <c r="K52" i="36"/>
  <c r="N52" i="36" s="1"/>
  <c r="K53" i="36"/>
  <c r="N53" i="36" s="1"/>
  <c r="K54" i="36"/>
  <c r="N54" i="36" s="1"/>
  <c r="K55" i="36"/>
  <c r="N55" i="36" s="1"/>
  <c r="K56" i="36"/>
  <c r="N56" i="36" s="1"/>
  <c r="K57" i="36"/>
  <c r="N57" i="36" s="1"/>
  <c r="K58" i="36"/>
  <c r="N58" i="36" s="1"/>
  <c r="K59" i="36"/>
  <c r="N59" i="36" s="1"/>
  <c r="K60" i="36"/>
  <c r="N60" i="36" s="1"/>
  <c r="K61" i="36"/>
  <c r="N61" i="36" s="1"/>
  <c r="K62" i="36"/>
  <c r="N62" i="36" s="1"/>
  <c r="K63" i="36"/>
  <c r="N63" i="36" s="1"/>
  <c r="K64" i="36"/>
  <c r="N64" i="36" s="1"/>
  <c r="K65" i="36"/>
  <c r="N65" i="36" s="1"/>
  <c r="K66" i="36"/>
  <c r="N66" i="36" s="1"/>
  <c r="K67" i="36"/>
  <c r="N67" i="36" s="1"/>
  <c r="K68" i="36"/>
  <c r="N68" i="36" s="1"/>
  <c r="K69" i="36"/>
  <c r="N69" i="36" s="1"/>
  <c r="K70" i="36"/>
  <c r="N70" i="36" s="1"/>
  <c r="L14" i="36"/>
  <c r="L15" i="36"/>
  <c r="L16" i="36"/>
  <c r="L17" i="36"/>
  <c r="L18" i="36"/>
  <c r="L19" i="36"/>
  <c r="L20" i="36"/>
  <c r="L21" i="36"/>
  <c r="L22" i="36"/>
  <c r="L23" i="36"/>
  <c r="L24" i="36"/>
  <c r="L25" i="36"/>
  <c r="L26" i="36"/>
  <c r="L27" i="36"/>
  <c r="L28" i="36"/>
  <c r="L29" i="36"/>
  <c r="L30" i="36"/>
  <c r="L31" i="36"/>
  <c r="L32" i="36"/>
  <c r="L33" i="36"/>
  <c r="L34" i="36"/>
  <c r="L35" i="36"/>
  <c r="L36" i="36"/>
  <c r="L37" i="36"/>
  <c r="L38" i="36"/>
  <c r="L39" i="36"/>
  <c r="L40" i="36"/>
  <c r="L41" i="36"/>
  <c r="L42" i="36"/>
  <c r="L43" i="36"/>
  <c r="L44" i="36"/>
  <c r="L45" i="36"/>
  <c r="L46" i="36"/>
  <c r="L47" i="36"/>
  <c r="L48" i="36"/>
  <c r="L49" i="36"/>
  <c r="L50" i="36"/>
  <c r="L51" i="36"/>
  <c r="L52" i="36"/>
  <c r="L53" i="36"/>
  <c r="L54" i="36"/>
  <c r="L55" i="36"/>
  <c r="L56" i="36"/>
  <c r="L57" i="36"/>
  <c r="L58" i="36"/>
  <c r="L59" i="36"/>
  <c r="L60" i="36"/>
  <c r="L61" i="36"/>
  <c r="L62" i="36"/>
  <c r="L63" i="36"/>
  <c r="L64" i="36"/>
  <c r="L65" i="36"/>
  <c r="L66" i="36"/>
  <c r="L67" i="36"/>
  <c r="L68" i="36"/>
  <c r="L69" i="36"/>
  <c r="L70" i="36"/>
  <c r="C5" i="35"/>
  <c r="H8" i="35"/>
  <c r="H95" i="35" s="1"/>
  <c r="I8" i="35"/>
  <c r="I95" i="35" s="1"/>
  <c r="H195" i="35"/>
  <c r="I195" i="35"/>
  <c r="J195" i="35"/>
  <c r="K195" i="35"/>
  <c r="L195" i="35"/>
  <c r="C5" i="34"/>
  <c r="D41" i="34"/>
  <c r="D119" i="34" s="1"/>
  <c r="D45" i="34"/>
  <c r="D124" i="34" s="1"/>
  <c r="D49" i="34"/>
  <c r="D129" i="34" s="1"/>
  <c r="H16" i="31"/>
  <c r="I16" i="31"/>
  <c r="J16" i="31"/>
  <c r="K16" i="31"/>
  <c r="L16" i="31"/>
  <c r="H17" i="31"/>
  <c r="G136" i="43"/>
  <c r="V137" i="29"/>
  <c r="G14" i="43"/>
  <c r="G138" i="29"/>
  <c r="G16" i="43"/>
  <c r="G18" i="43"/>
  <c r="G20" i="43"/>
  <c r="G22" i="43"/>
  <c r="H22" i="29"/>
  <c r="H22" i="43" s="1"/>
  <c r="G24" i="43"/>
  <c r="G26" i="43"/>
  <c r="G28" i="43"/>
  <c r="G30" i="43"/>
  <c r="G32" i="43"/>
  <c r="G34" i="43"/>
  <c r="G36" i="43"/>
  <c r="G38" i="43"/>
  <c r="G40" i="43"/>
  <c r="G42" i="43"/>
  <c r="G44" i="43"/>
  <c r="G46" i="43"/>
  <c r="G48" i="43"/>
  <c r="G50" i="43"/>
  <c r="G52" i="43"/>
  <c r="G53" i="43"/>
  <c r="G54" i="43"/>
  <c r="G56" i="43"/>
  <c r="G58" i="43"/>
  <c r="G61" i="43"/>
  <c r="G62" i="43"/>
  <c r="G63" i="43"/>
  <c r="G64" i="43"/>
  <c r="G65" i="43"/>
  <c r="G66" i="43"/>
  <c r="G67" i="43"/>
  <c r="G68" i="43"/>
  <c r="G69" i="43"/>
  <c r="G70" i="43"/>
  <c r="G78" i="43"/>
  <c r="G83" i="43"/>
  <c r="G85" i="43"/>
  <c r="G87" i="43"/>
  <c r="G91" i="43"/>
  <c r="G93" i="43"/>
  <c r="G99" i="43"/>
  <c r="G102" i="43"/>
  <c r="H102" i="29"/>
  <c r="G104" i="43"/>
  <c r="G105" i="43"/>
  <c r="G106" i="43"/>
  <c r="G108" i="43"/>
  <c r="G111" i="43"/>
  <c r="G114" i="43"/>
  <c r="G115" i="43"/>
  <c r="G116" i="43"/>
  <c r="G117" i="43"/>
  <c r="G119" i="43"/>
  <c r="G122" i="43"/>
  <c r="G123" i="43"/>
  <c r="G124" i="43"/>
  <c r="G126" i="43"/>
  <c r="G131" i="43"/>
  <c r="R137" i="29"/>
  <c r="S137" i="29" s="1"/>
  <c r="T137" i="29" s="1"/>
  <c r="R136" i="29"/>
  <c r="S136" i="29" s="1"/>
  <c r="T136" i="29" s="1"/>
  <c r="R135" i="29"/>
  <c r="S135" i="29" s="1"/>
  <c r="T135" i="29" s="1"/>
  <c r="R134" i="29"/>
  <c r="S134" i="29" s="1"/>
  <c r="T134" i="29" s="1"/>
  <c r="R133" i="29"/>
  <c r="S133" i="29" s="1"/>
  <c r="T133" i="29" s="1"/>
  <c r="R132" i="29"/>
  <c r="S132" i="29" s="1"/>
  <c r="T132" i="29" s="1"/>
  <c r="R131" i="29"/>
  <c r="S131" i="29" s="1"/>
  <c r="T131" i="29" s="1"/>
  <c r="R130" i="29"/>
  <c r="S130" i="29" s="1"/>
  <c r="T130" i="29" s="1"/>
  <c r="R129" i="29"/>
  <c r="S129" i="29" s="1"/>
  <c r="T129" i="29" s="1"/>
  <c r="R128" i="29"/>
  <c r="S128" i="29" s="1"/>
  <c r="T128" i="29" s="1"/>
  <c r="R127" i="29"/>
  <c r="S127" i="29" s="1"/>
  <c r="T127" i="29" s="1"/>
  <c r="R126" i="29"/>
  <c r="S126" i="29" s="1"/>
  <c r="T126" i="29" s="1"/>
  <c r="R125" i="29"/>
  <c r="S125" i="29" s="1"/>
  <c r="T125" i="29" s="1"/>
  <c r="R124" i="29"/>
  <c r="S124" i="29" s="1"/>
  <c r="T124" i="29" s="1"/>
  <c r="R123" i="29"/>
  <c r="S123" i="29" s="1"/>
  <c r="T123" i="29" s="1"/>
  <c r="R122" i="29"/>
  <c r="S122" i="29" s="1"/>
  <c r="T122" i="29" s="1"/>
  <c r="R121" i="29"/>
  <c r="S121" i="29" s="1"/>
  <c r="T121" i="29" s="1"/>
  <c r="R120" i="29"/>
  <c r="S120" i="29" s="1"/>
  <c r="T120" i="29" s="1"/>
  <c r="R119" i="29"/>
  <c r="S119" i="29" s="1"/>
  <c r="T119" i="29" s="1"/>
  <c r="R118" i="29"/>
  <c r="S118" i="29" s="1"/>
  <c r="T118" i="29" s="1"/>
  <c r="R117" i="29"/>
  <c r="S117" i="29" s="1"/>
  <c r="T117" i="29" s="1"/>
  <c r="R116" i="29"/>
  <c r="S116" i="29" s="1"/>
  <c r="T116" i="29" s="1"/>
  <c r="R115" i="29"/>
  <c r="S115" i="29" s="1"/>
  <c r="T115" i="29" s="1"/>
  <c r="R114" i="29"/>
  <c r="S114" i="29" s="1"/>
  <c r="T114" i="29" s="1"/>
  <c r="R113" i="29"/>
  <c r="S113" i="29" s="1"/>
  <c r="T113" i="29" s="1"/>
  <c r="R112" i="29"/>
  <c r="S112" i="29" s="1"/>
  <c r="T112" i="29" s="1"/>
  <c r="R111" i="29"/>
  <c r="S111" i="29" s="1"/>
  <c r="T111" i="29" s="1"/>
  <c r="R110" i="29"/>
  <c r="S110" i="29" s="1"/>
  <c r="T110" i="29" s="1"/>
  <c r="R109" i="29"/>
  <c r="S109" i="29" s="1"/>
  <c r="T109" i="29" s="1"/>
  <c r="R108" i="29"/>
  <c r="S108" i="29" s="1"/>
  <c r="T108" i="29" s="1"/>
  <c r="R107" i="29"/>
  <c r="S107" i="29" s="1"/>
  <c r="T107" i="29" s="1"/>
  <c r="R106" i="29"/>
  <c r="S106" i="29" s="1"/>
  <c r="T106" i="29" s="1"/>
  <c r="R105" i="29"/>
  <c r="S105" i="29" s="1"/>
  <c r="T105" i="29" s="1"/>
  <c r="R104" i="29"/>
  <c r="S104" i="29" s="1"/>
  <c r="T104" i="29" s="1"/>
  <c r="R103" i="29"/>
  <c r="S103" i="29" s="1"/>
  <c r="T103" i="29" s="1"/>
  <c r="R102" i="29"/>
  <c r="S102" i="29" s="1"/>
  <c r="T102" i="29" s="1"/>
  <c r="R101" i="29"/>
  <c r="S101" i="29" s="1"/>
  <c r="T101" i="29" s="1"/>
  <c r="R100" i="29"/>
  <c r="S100" i="29" s="1"/>
  <c r="T100" i="29" s="1"/>
  <c r="R99" i="29"/>
  <c r="S99" i="29" s="1"/>
  <c r="T99" i="29" s="1"/>
  <c r="R98" i="29"/>
  <c r="S98" i="29" s="1"/>
  <c r="T98" i="29" s="1"/>
  <c r="R97" i="29"/>
  <c r="S97" i="29" s="1"/>
  <c r="T97" i="29" s="1"/>
  <c r="R96" i="29"/>
  <c r="S96" i="29" s="1"/>
  <c r="T96" i="29" s="1"/>
  <c r="R95" i="29"/>
  <c r="S95" i="29" s="1"/>
  <c r="T95" i="29" s="1"/>
  <c r="R94" i="29"/>
  <c r="S94" i="29" s="1"/>
  <c r="T94" i="29" s="1"/>
  <c r="R93" i="29"/>
  <c r="S93" i="29" s="1"/>
  <c r="T93" i="29" s="1"/>
  <c r="R92" i="29"/>
  <c r="S92" i="29" s="1"/>
  <c r="T92" i="29" s="1"/>
  <c r="R91" i="29"/>
  <c r="S91" i="29" s="1"/>
  <c r="T91" i="29" s="1"/>
  <c r="R90" i="29"/>
  <c r="S90" i="29" s="1"/>
  <c r="T90" i="29" s="1"/>
  <c r="R89" i="29"/>
  <c r="S89" i="29" s="1"/>
  <c r="T89" i="29" s="1"/>
  <c r="R88" i="29"/>
  <c r="S88" i="29" s="1"/>
  <c r="T88" i="29" s="1"/>
  <c r="R87" i="29"/>
  <c r="S87" i="29" s="1"/>
  <c r="T87" i="29" s="1"/>
  <c r="R86" i="29"/>
  <c r="S86" i="29" s="1"/>
  <c r="T86" i="29" s="1"/>
  <c r="R85" i="29"/>
  <c r="S85" i="29" s="1"/>
  <c r="T85" i="29" s="1"/>
  <c r="R84" i="29"/>
  <c r="S84" i="29" s="1"/>
  <c r="T84" i="29" s="1"/>
  <c r="R83" i="29"/>
  <c r="S83" i="29" s="1"/>
  <c r="T83" i="29" s="1"/>
  <c r="R82" i="29"/>
  <c r="S82" i="29" s="1"/>
  <c r="T82" i="29" s="1"/>
  <c r="R81" i="29"/>
  <c r="S81" i="29" s="1"/>
  <c r="T81" i="29" s="1"/>
  <c r="R80" i="29"/>
  <c r="S80" i="29" s="1"/>
  <c r="T80" i="29" s="1"/>
  <c r="R79" i="29"/>
  <c r="S79" i="29" s="1"/>
  <c r="T79" i="29" s="1"/>
  <c r="R78" i="29"/>
  <c r="S78" i="29" s="1"/>
  <c r="T78" i="29" s="1"/>
  <c r="R77" i="29"/>
  <c r="S77" i="29" s="1"/>
  <c r="T77" i="29" s="1"/>
  <c r="R76" i="29"/>
  <c r="S76" i="29" s="1"/>
  <c r="T76" i="29" s="1"/>
  <c r="R75" i="29"/>
  <c r="S75" i="29" s="1"/>
  <c r="T75" i="29" s="1"/>
  <c r="R74" i="29"/>
  <c r="S74" i="29" s="1"/>
  <c r="T74" i="29" s="1"/>
  <c r="R73" i="29"/>
  <c r="S73" i="29" s="1"/>
  <c r="T73" i="29" s="1"/>
  <c r="R72" i="29"/>
  <c r="S72" i="29" s="1"/>
  <c r="T72" i="29" s="1"/>
  <c r="R71" i="29"/>
  <c r="S71" i="29" s="1"/>
  <c r="T71" i="29" s="1"/>
  <c r="R70" i="29"/>
  <c r="S70" i="29" s="1"/>
  <c r="T70" i="29" s="1"/>
  <c r="R69" i="29"/>
  <c r="S69" i="29" s="1"/>
  <c r="T69" i="29" s="1"/>
  <c r="R68" i="29"/>
  <c r="S68" i="29" s="1"/>
  <c r="T68" i="29" s="1"/>
  <c r="R67" i="29"/>
  <c r="S67" i="29" s="1"/>
  <c r="T67" i="29" s="1"/>
  <c r="R66" i="29"/>
  <c r="S66" i="29" s="1"/>
  <c r="T66" i="29" s="1"/>
  <c r="R65" i="29"/>
  <c r="S65" i="29" s="1"/>
  <c r="T65" i="29" s="1"/>
  <c r="R64" i="29"/>
  <c r="S64" i="29" s="1"/>
  <c r="T64" i="29" s="1"/>
  <c r="R63" i="29"/>
  <c r="S63" i="29" s="1"/>
  <c r="T63" i="29" s="1"/>
  <c r="R62" i="29"/>
  <c r="S62" i="29" s="1"/>
  <c r="T62" i="29" s="1"/>
  <c r="R61" i="29"/>
  <c r="S61" i="29" s="1"/>
  <c r="T61" i="29" s="1"/>
  <c r="R60" i="29"/>
  <c r="S60" i="29" s="1"/>
  <c r="T60" i="29" s="1"/>
  <c r="R59" i="29"/>
  <c r="S59" i="29" s="1"/>
  <c r="T59" i="29" s="1"/>
  <c r="R58" i="29"/>
  <c r="S58" i="29" s="1"/>
  <c r="T58" i="29" s="1"/>
  <c r="R57" i="29"/>
  <c r="S57" i="29" s="1"/>
  <c r="T57" i="29" s="1"/>
  <c r="R56" i="29"/>
  <c r="S56" i="29" s="1"/>
  <c r="T56" i="29" s="1"/>
  <c r="R55" i="29"/>
  <c r="S55" i="29" s="1"/>
  <c r="T55" i="29" s="1"/>
  <c r="R54" i="29"/>
  <c r="S54" i="29" s="1"/>
  <c r="T54" i="29" s="1"/>
  <c r="R53" i="29"/>
  <c r="S53" i="29" s="1"/>
  <c r="T53" i="29" s="1"/>
  <c r="AB53" i="29"/>
  <c r="AC53" i="29" s="1"/>
  <c r="AD53" i="29" s="1"/>
  <c r="AB54" i="29"/>
  <c r="AC54" i="29" s="1"/>
  <c r="AD54" i="29" s="1"/>
  <c r="AB55" i="29"/>
  <c r="AC55" i="29" s="1"/>
  <c r="AD55" i="29" s="1"/>
  <c r="AB56" i="29"/>
  <c r="AC56" i="29" s="1"/>
  <c r="AD56" i="29" s="1"/>
  <c r="AB57" i="29"/>
  <c r="AC57" i="29" s="1"/>
  <c r="AD57" i="29" s="1"/>
  <c r="AB58" i="29"/>
  <c r="AC58" i="29" s="1"/>
  <c r="AD58" i="29" s="1"/>
  <c r="AB59" i="29"/>
  <c r="AC59" i="29" s="1"/>
  <c r="AD59" i="29" s="1"/>
  <c r="AB60" i="29"/>
  <c r="AC60" i="29" s="1"/>
  <c r="AD60" i="29" s="1"/>
  <c r="AB61" i="29"/>
  <c r="AC61" i="29" s="1"/>
  <c r="AD61" i="29" s="1"/>
  <c r="AB62" i="29"/>
  <c r="AC62" i="29" s="1"/>
  <c r="AD62" i="29" s="1"/>
  <c r="AB63" i="29"/>
  <c r="AC63" i="29" s="1"/>
  <c r="AD63" i="29" s="1"/>
  <c r="AB64" i="29"/>
  <c r="AC64" i="29" s="1"/>
  <c r="AD64" i="29" s="1"/>
  <c r="AB65" i="29"/>
  <c r="AC65" i="29" s="1"/>
  <c r="AD65" i="29" s="1"/>
  <c r="AB66" i="29"/>
  <c r="AC66" i="29" s="1"/>
  <c r="AD66" i="29" s="1"/>
  <c r="AB67" i="29"/>
  <c r="AC67" i="29" s="1"/>
  <c r="AD67" i="29" s="1"/>
  <c r="AB68" i="29"/>
  <c r="AC68" i="29" s="1"/>
  <c r="AD68" i="29" s="1"/>
  <c r="AB69" i="29"/>
  <c r="AC69" i="29" s="1"/>
  <c r="AD69" i="29" s="1"/>
  <c r="AB70" i="29"/>
  <c r="AC70" i="29" s="1"/>
  <c r="AD70" i="29" s="1"/>
  <c r="AB71" i="29"/>
  <c r="AC71" i="29" s="1"/>
  <c r="AD71" i="29" s="1"/>
  <c r="AB72" i="29"/>
  <c r="AC72" i="29" s="1"/>
  <c r="AD72" i="29" s="1"/>
  <c r="AB73" i="29"/>
  <c r="AC73" i="29" s="1"/>
  <c r="AD73" i="29" s="1"/>
  <c r="AB74" i="29"/>
  <c r="AC74" i="29" s="1"/>
  <c r="AD74" i="29" s="1"/>
  <c r="AB75" i="29"/>
  <c r="AC75" i="29" s="1"/>
  <c r="AD75" i="29" s="1"/>
  <c r="AB76" i="29"/>
  <c r="AC76" i="29" s="1"/>
  <c r="AD76" i="29" s="1"/>
  <c r="AB77" i="29"/>
  <c r="AC77" i="29" s="1"/>
  <c r="AD77" i="29" s="1"/>
  <c r="AB78" i="29"/>
  <c r="AC78" i="29" s="1"/>
  <c r="AD78" i="29" s="1"/>
  <c r="AB79" i="29"/>
  <c r="AC79" i="29" s="1"/>
  <c r="AD79" i="29" s="1"/>
  <c r="AB80" i="29"/>
  <c r="AC80" i="29" s="1"/>
  <c r="AD80" i="29" s="1"/>
  <c r="AB81" i="29"/>
  <c r="AC81" i="29" s="1"/>
  <c r="AD81" i="29" s="1"/>
  <c r="AB82" i="29"/>
  <c r="AC82" i="29" s="1"/>
  <c r="AD82" i="29" s="1"/>
  <c r="AB83" i="29"/>
  <c r="AC83" i="29" s="1"/>
  <c r="AD83" i="29" s="1"/>
  <c r="AB84" i="29"/>
  <c r="AC84" i="29" s="1"/>
  <c r="AD84" i="29" s="1"/>
  <c r="AB85" i="29"/>
  <c r="AC85" i="29" s="1"/>
  <c r="AD85" i="29" s="1"/>
  <c r="AB86" i="29"/>
  <c r="AC86" i="29" s="1"/>
  <c r="AD86" i="29" s="1"/>
  <c r="AB87" i="29"/>
  <c r="AC87" i="29" s="1"/>
  <c r="AD87" i="29" s="1"/>
  <c r="AB88" i="29"/>
  <c r="AC88" i="29" s="1"/>
  <c r="AD88" i="29" s="1"/>
  <c r="AB89" i="29"/>
  <c r="AC89" i="29" s="1"/>
  <c r="AD89" i="29" s="1"/>
  <c r="AB90" i="29"/>
  <c r="AC90" i="29" s="1"/>
  <c r="AD90" i="29" s="1"/>
  <c r="AB91" i="29"/>
  <c r="AC91" i="29" s="1"/>
  <c r="AD91" i="29" s="1"/>
  <c r="AB92" i="29"/>
  <c r="AC92" i="29" s="1"/>
  <c r="AD92" i="29" s="1"/>
  <c r="AB93" i="29"/>
  <c r="AC93" i="29" s="1"/>
  <c r="AD93" i="29" s="1"/>
  <c r="AB94" i="29"/>
  <c r="AC94" i="29" s="1"/>
  <c r="AD94" i="29" s="1"/>
  <c r="AB95" i="29"/>
  <c r="AC95" i="29" s="1"/>
  <c r="AD95" i="29" s="1"/>
  <c r="AB96" i="29"/>
  <c r="AC96" i="29" s="1"/>
  <c r="AD96" i="29" s="1"/>
  <c r="AB97" i="29"/>
  <c r="AC97" i="29" s="1"/>
  <c r="AD97" i="29" s="1"/>
  <c r="AB98" i="29"/>
  <c r="AC98" i="29" s="1"/>
  <c r="AD98" i="29" s="1"/>
  <c r="AB99" i="29"/>
  <c r="AC99" i="29" s="1"/>
  <c r="AD99" i="29" s="1"/>
  <c r="AB100" i="29"/>
  <c r="AC100" i="29" s="1"/>
  <c r="AD100" i="29" s="1"/>
  <c r="AB101" i="29"/>
  <c r="AC101" i="29" s="1"/>
  <c r="AD101" i="29" s="1"/>
  <c r="AB102" i="29"/>
  <c r="AC102" i="29" s="1"/>
  <c r="AD102" i="29" s="1"/>
  <c r="AB103" i="29"/>
  <c r="AC103" i="29" s="1"/>
  <c r="AD103" i="29" s="1"/>
  <c r="AB104" i="29"/>
  <c r="AC104" i="29" s="1"/>
  <c r="AD104" i="29" s="1"/>
  <c r="AB105" i="29"/>
  <c r="AC105" i="29" s="1"/>
  <c r="AD105" i="29" s="1"/>
  <c r="AB106" i="29"/>
  <c r="AC106" i="29" s="1"/>
  <c r="AD106" i="29" s="1"/>
  <c r="AB107" i="29"/>
  <c r="AC107" i="29" s="1"/>
  <c r="AD107" i="29" s="1"/>
  <c r="AB108" i="29"/>
  <c r="AC108" i="29" s="1"/>
  <c r="AD108" i="29" s="1"/>
  <c r="AB109" i="29"/>
  <c r="AC109" i="29" s="1"/>
  <c r="AD109" i="29" s="1"/>
  <c r="AB110" i="29"/>
  <c r="AC110" i="29" s="1"/>
  <c r="AD110" i="29" s="1"/>
  <c r="AB111" i="29"/>
  <c r="AC111" i="29" s="1"/>
  <c r="AD111" i="29" s="1"/>
  <c r="AB112" i="29"/>
  <c r="AC112" i="29" s="1"/>
  <c r="AD112" i="29" s="1"/>
  <c r="AB113" i="29"/>
  <c r="AC113" i="29" s="1"/>
  <c r="AD113" i="29" s="1"/>
  <c r="AB114" i="29"/>
  <c r="AC114" i="29" s="1"/>
  <c r="AD114" i="29" s="1"/>
  <c r="AB115" i="29"/>
  <c r="AC115" i="29" s="1"/>
  <c r="AD115" i="29" s="1"/>
  <c r="AB116" i="29"/>
  <c r="AC116" i="29" s="1"/>
  <c r="AD116" i="29" s="1"/>
  <c r="AB117" i="29"/>
  <c r="AC117" i="29" s="1"/>
  <c r="AD117" i="29" s="1"/>
  <c r="AB118" i="29"/>
  <c r="AC118" i="29" s="1"/>
  <c r="AD118" i="29" s="1"/>
  <c r="AB119" i="29"/>
  <c r="AC119" i="29" s="1"/>
  <c r="AD119" i="29" s="1"/>
  <c r="AB120" i="29"/>
  <c r="AC120" i="29" s="1"/>
  <c r="AD120" i="29" s="1"/>
  <c r="AB121" i="29"/>
  <c r="AC121" i="29" s="1"/>
  <c r="AD121" i="29" s="1"/>
  <c r="AB122" i="29"/>
  <c r="AC122" i="29" s="1"/>
  <c r="AD122" i="29" s="1"/>
  <c r="AB123" i="29"/>
  <c r="AC123" i="29" s="1"/>
  <c r="AD123" i="29" s="1"/>
  <c r="AB124" i="29"/>
  <c r="AC124" i="29" s="1"/>
  <c r="AD124" i="29" s="1"/>
  <c r="AB125" i="29"/>
  <c r="AC125" i="29" s="1"/>
  <c r="AD125" i="29" s="1"/>
  <c r="AB126" i="29"/>
  <c r="AC126" i="29" s="1"/>
  <c r="AD126" i="29" s="1"/>
  <c r="AB127" i="29"/>
  <c r="AC127" i="29" s="1"/>
  <c r="AD127" i="29" s="1"/>
  <c r="AB128" i="29"/>
  <c r="AC128" i="29" s="1"/>
  <c r="AD128" i="29" s="1"/>
  <c r="AB129" i="29"/>
  <c r="AC129" i="29" s="1"/>
  <c r="AD129" i="29" s="1"/>
  <c r="AB130" i="29"/>
  <c r="AC130" i="29" s="1"/>
  <c r="AD130" i="29" s="1"/>
  <c r="AB131" i="29"/>
  <c r="AC131" i="29" s="1"/>
  <c r="AD131" i="29" s="1"/>
  <c r="AB132" i="29"/>
  <c r="AC132" i="29" s="1"/>
  <c r="AD132" i="29" s="1"/>
  <c r="AB133" i="29"/>
  <c r="AC133" i="29" s="1"/>
  <c r="AD133" i="29" s="1"/>
  <c r="AB134" i="29"/>
  <c r="AC134" i="29" s="1"/>
  <c r="AD134" i="29" s="1"/>
  <c r="AB135" i="29"/>
  <c r="AC135" i="29" s="1"/>
  <c r="AD135" i="29" s="1"/>
  <c r="AB136" i="29"/>
  <c r="AC136" i="29" s="1"/>
  <c r="AD136" i="29" s="1"/>
  <c r="AB137" i="29"/>
  <c r="AC137" i="29" s="1"/>
  <c r="AD137" i="29" s="1"/>
  <c r="AB14" i="29"/>
  <c r="AC14" i="29" s="1"/>
  <c r="AD14" i="29" s="1"/>
  <c r="AB15" i="29"/>
  <c r="AC15" i="29" s="1"/>
  <c r="AD15" i="29" s="1"/>
  <c r="AB16" i="29"/>
  <c r="AC16" i="29" s="1"/>
  <c r="AD16" i="29" s="1"/>
  <c r="AB17" i="29"/>
  <c r="AC17" i="29" s="1"/>
  <c r="AD17" i="29" s="1"/>
  <c r="AB18" i="29"/>
  <c r="AC18" i="29" s="1"/>
  <c r="AD18" i="29" s="1"/>
  <c r="AB19" i="29"/>
  <c r="AC19" i="29" s="1"/>
  <c r="AD19" i="29" s="1"/>
  <c r="AB20" i="29"/>
  <c r="AC20" i="29" s="1"/>
  <c r="AD20" i="29" s="1"/>
  <c r="AB21" i="29"/>
  <c r="AC21" i="29" s="1"/>
  <c r="AD21" i="29" s="1"/>
  <c r="AB22" i="29"/>
  <c r="AC22" i="29" s="1"/>
  <c r="AD22" i="29" s="1"/>
  <c r="AB23" i="29"/>
  <c r="AC23" i="29" s="1"/>
  <c r="AD23" i="29" s="1"/>
  <c r="AB24" i="29"/>
  <c r="AC24" i="29" s="1"/>
  <c r="AD24" i="29" s="1"/>
  <c r="AB25" i="29"/>
  <c r="AC25" i="29" s="1"/>
  <c r="AD25" i="29" s="1"/>
  <c r="AB26" i="29"/>
  <c r="AC26" i="29" s="1"/>
  <c r="AD26" i="29" s="1"/>
  <c r="AB27" i="29"/>
  <c r="AB28" i="29"/>
  <c r="AC28" i="29" s="1"/>
  <c r="AD28" i="29" s="1"/>
  <c r="AB29" i="29"/>
  <c r="AC29" i="29" s="1"/>
  <c r="AD29" i="29" s="1"/>
  <c r="AB30" i="29"/>
  <c r="AC30" i="29" s="1"/>
  <c r="AD30" i="29" s="1"/>
  <c r="AB31" i="29"/>
  <c r="AC31" i="29" s="1"/>
  <c r="AD31" i="29" s="1"/>
  <c r="AB32" i="29"/>
  <c r="AC32" i="29" s="1"/>
  <c r="AD32" i="29" s="1"/>
  <c r="AB33" i="29"/>
  <c r="AC33" i="29" s="1"/>
  <c r="AD33" i="29" s="1"/>
  <c r="AB34" i="29"/>
  <c r="AC34" i="29" s="1"/>
  <c r="AD34" i="29" s="1"/>
  <c r="AB35" i="29"/>
  <c r="AC35" i="29" s="1"/>
  <c r="AD35" i="29" s="1"/>
  <c r="AB36" i="29"/>
  <c r="AC36" i="29" s="1"/>
  <c r="AD36" i="29" s="1"/>
  <c r="AB37" i="29"/>
  <c r="AC37" i="29" s="1"/>
  <c r="AD37" i="29" s="1"/>
  <c r="AB38" i="29"/>
  <c r="AC38" i="29" s="1"/>
  <c r="AD38" i="29" s="1"/>
  <c r="AB39" i="29"/>
  <c r="AC39" i="29" s="1"/>
  <c r="AD39" i="29" s="1"/>
  <c r="AB40" i="29"/>
  <c r="AC40" i="29" s="1"/>
  <c r="AD40" i="29" s="1"/>
  <c r="AB41" i="29"/>
  <c r="AC41" i="29" s="1"/>
  <c r="AD41" i="29" s="1"/>
  <c r="AB42" i="29"/>
  <c r="AC42" i="29" s="1"/>
  <c r="AD42" i="29" s="1"/>
  <c r="AB43" i="29"/>
  <c r="AC43" i="29" s="1"/>
  <c r="AD43" i="29" s="1"/>
  <c r="AB44" i="29"/>
  <c r="AC44" i="29" s="1"/>
  <c r="AD44" i="29" s="1"/>
  <c r="AB45" i="29"/>
  <c r="AC45" i="29" s="1"/>
  <c r="AD45" i="29" s="1"/>
  <c r="AB46" i="29"/>
  <c r="AC46" i="29" s="1"/>
  <c r="AD46" i="29" s="1"/>
  <c r="AB47" i="29"/>
  <c r="AC47" i="29" s="1"/>
  <c r="AD47" i="29" s="1"/>
  <c r="AB48" i="29"/>
  <c r="AC48" i="29" s="1"/>
  <c r="AD48" i="29" s="1"/>
  <c r="AB49" i="29"/>
  <c r="AC49" i="29" s="1"/>
  <c r="AD49" i="29" s="1"/>
  <c r="AB50" i="29"/>
  <c r="AC50" i="29" s="1"/>
  <c r="AD50" i="29" s="1"/>
  <c r="AB51" i="29"/>
  <c r="AC51" i="29" s="1"/>
  <c r="AD51" i="29" s="1"/>
  <c r="AB52" i="29"/>
  <c r="AC52" i="29" s="1"/>
  <c r="AD52" i="29" s="1"/>
  <c r="AB13" i="29"/>
  <c r="T10" i="29"/>
  <c r="O10" i="29"/>
  <c r="J10" i="29"/>
  <c r="S10" i="29"/>
  <c r="N10" i="29"/>
  <c r="I10" i="29"/>
  <c r="R10" i="29"/>
  <c r="M10" i="29"/>
  <c r="H10" i="29"/>
  <c r="Q10" i="29"/>
  <c r="L10" i="29"/>
  <c r="G10" i="29"/>
  <c r="AC27" i="29"/>
  <c r="AD27" i="29" s="1"/>
  <c r="AA138" i="29"/>
  <c r="R13" i="29"/>
  <c r="R14" i="29"/>
  <c r="S14" i="29" s="1"/>
  <c r="T14" i="29" s="1"/>
  <c r="R15" i="29"/>
  <c r="S15" i="29" s="1"/>
  <c r="T15" i="29" s="1"/>
  <c r="R16" i="29"/>
  <c r="S16" i="29" s="1"/>
  <c r="T16" i="29" s="1"/>
  <c r="R17" i="29"/>
  <c r="S17" i="29" s="1"/>
  <c r="T17" i="29" s="1"/>
  <c r="R18" i="29"/>
  <c r="S18" i="29" s="1"/>
  <c r="T18" i="29" s="1"/>
  <c r="R19" i="29"/>
  <c r="S19" i="29" s="1"/>
  <c r="T19" i="29" s="1"/>
  <c r="R20" i="29"/>
  <c r="S20" i="29" s="1"/>
  <c r="T20" i="29" s="1"/>
  <c r="R21" i="29"/>
  <c r="S21" i="29" s="1"/>
  <c r="T21" i="29" s="1"/>
  <c r="R22" i="29"/>
  <c r="S22" i="29" s="1"/>
  <c r="T22" i="29" s="1"/>
  <c r="R23" i="29"/>
  <c r="S23" i="29" s="1"/>
  <c r="T23" i="29" s="1"/>
  <c r="R24" i="29"/>
  <c r="S24" i="29" s="1"/>
  <c r="T24" i="29" s="1"/>
  <c r="R25" i="29"/>
  <c r="S25" i="29" s="1"/>
  <c r="T25" i="29" s="1"/>
  <c r="R26" i="29"/>
  <c r="S26" i="29" s="1"/>
  <c r="T26" i="29" s="1"/>
  <c r="R27" i="29"/>
  <c r="S27" i="29" s="1"/>
  <c r="T27" i="29" s="1"/>
  <c r="R28" i="29"/>
  <c r="S28" i="29" s="1"/>
  <c r="T28" i="29" s="1"/>
  <c r="R29" i="29"/>
  <c r="S29" i="29" s="1"/>
  <c r="T29" i="29" s="1"/>
  <c r="R30" i="29"/>
  <c r="S30" i="29" s="1"/>
  <c r="T30" i="29" s="1"/>
  <c r="R31" i="29"/>
  <c r="S31" i="29" s="1"/>
  <c r="T31" i="29" s="1"/>
  <c r="R32" i="29"/>
  <c r="S32" i="29" s="1"/>
  <c r="T32" i="29" s="1"/>
  <c r="R33" i="29"/>
  <c r="S33" i="29" s="1"/>
  <c r="T33" i="29" s="1"/>
  <c r="R34" i="29"/>
  <c r="S34" i="29" s="1"/>
  <c r="T34" i="29" s="1"/>
  <c r="R35" i="29"/>
  <c r="S35" i="29" s="1"/>
  <c r="T35" i="29" s="1"/>
  <c r="R36" i="29"/>
  <c r="S36" i="29" s="1"/>
  <c r="T36" i="29" s="1"/>
  <c r="R37" i="29"/>
  <c r="S37" i="29" s="1"/>
  <c r="T37" i="29" s="1"/>
  <c r="R38" i="29"/>
  <c r="S38" i="29" s="1"/>
  <c r="T38" i="29" s="1"/>
  <c r="R39" i="29"/>
  <c r="S39" i="29" s="1"/>
  <c r="T39" i="29" s="1"/>
  <c r="R40" i="29"/>
  <c r="S40" i="29" s="1"/>
  <c r="T40" i="29" s="1"/>
  <c r="R41" i="29"/>
  <c r="S41" i="29" s="1"/>
  <c r="T41" i="29" s="1"/>
  <c r="R42" i="29"/>
  <c r="S42" i="29" s="1"/>
  <c r="T42" i="29" s="1"/>
  <c r="R43" i="29"/>
  <c r="S43" i="29" s="1"/>
  <c r="T43" i="29" s="1"/>
  <c r="R44" i="29"/>
  <c r="S44" i="29" s="1"/>
  <c r="T44" i="29" s="1"/>
  <c r="R45" i="29"/>
  <c r="S45" i="29" s="1"/>
  <c r="T45" i="29" s="1"/>
  <c r="R46" i="29"/>
  <c r="S46" i="29" s="1"/>
  <c r="T46" i="29" s="1"/>
  <c r="R47" i="29"/>
  <c r="S47" i="29" s="1"/>
  <c r="T47" i="29" s="1"/>
  <c r="R48" i="29"/>
  <c r="S48" i="29" s="1"/>
  <c r="T48" i="29" s="1"/>
  <c r="R49" i="29"/>
  <c r="S49" i="29" s="1"/>
  <c r="T49" i="29" s="1"/>
  <c r="R50" i="29"/>
  <c r="S50" i="29" s="1"/>
  <c r="T50" i="29" s="1"/>
  <c r="R51" i="29"/>
  <c r="S51" i="29" s="1"/>
  <c r="T51" i="29" s="1"/>
  <c r="R52" i="29"/>
  <c r="S52" i="29" s="1"/>
  <c r="T52" i="29" s="1"/>
  <c r="C162" i="22"/>
  <c r="B162" i="22" s="1"/>
  <c r="F41" i="28"/>
  <c r="F43" i="28" s="1"/>
  <c r="F31" i="28"/>
  <c r="F33" i="28" s="1"/>
  <c r="J41" i="28"/>
  <c r="J43" i="28" s="1"/>
  <c r="J31" i="28"/>
  <c r="J33" i="28" s="1"/>
  <c r="H41" i="28"/>
  <c r="H43" i="28" s="1"/>
  <c r="H31" i="28"/>
  <c r="H33" i="28" s="1"/>
  <c r="G31" i="28"/>
  <c r="G33" i="28" s="1"/>
  <c r="G41" i="28"/>
  <c r="G43" i="28" s="1"/>
  <c r="C5" i="28"/>
  <c r="C5" i="13"/>
  <c r="C5" i="18"/>
  <c r="F13" i="1"/>
  <c r="I41" i="28"/>
  <c r="I43" i="28" s="1"/>
  <c r="I45" i="28" s="1"/>
  <c r="I31" i="28"/>
  <c r="I33" i="28" s="1"/>
  <c r="E106" i="13"/>
  <c r="E105" i="13"/>
  <c r="E74" i="13"/>
  <c r="E73" i="13"/>
  <c r="E42" i="13"/>
  <c r="E41" i="13"/>
  <c r="E9" i="13"/>
  <c r="E8" i="13"/>
  <c r="AG35" i="13"/>
  <c r="F68" i="13"/>
  <c r="F100" i="13" s="1"/>
  <c r="F132" i="13" s="1"/>
  <c r="F164" i="13" s="1"/>
  <c r="F196" i="13" s="1"/>
  <c r="F228" i="13" s="1"/>
  <c r="D68" i="13"/>
  <c r="D100" i="13" s="1"/>
  <c r="D132" i="13" s="1"/>
  <c r="D164" i="13" s="1"/>
  <c r="D196" i="13" s="1"/>
  <c r="D228" i="13" s="1"/>
  <c r="AG34" i="13"/>
  <c r="F67" i="13"/>
  <c r="F99" i="13" s="1"/>
  <c r="F131" i="13" s="1"/>
  <c r="F163" i="13" s="1"/>
  <c r="F195" i="13" s="1"/>
  <c r="F227" i="13" s="1"/>
  <c r="D67" i="13"/>
  <c r="D99" i="13" s="1"/>
  <c r="D131" i="13" s="1"/>
  <c r="D163" i="13" s="1"/>
  <c r="D195" i="13" s="1"/>
  <c r="D227" i="13" s="1"/>
  <c r="AG33" i="13"/>
  <c r="F66" i="13"/>
  <c r="F98" i="13" s="1"/>
  <c r="F130" i="13" s="1"/>
  <c r="F162" i="13" s="1"/>
  <c r="F194" i="13" s="1"/>
  <c r="F226" i="13" s="1"/>
  <c r="D66" i="13"/>
  <c r="D98" i="13" s="1"/>
  <c r="D130" i="13" s="1"/>
  <c r="D162" i="13" s="1"/>
  <c r="D194" i="13" s="1"/>
  <c r="D226" i="13" s="1"/>
  <c r="AG32" i="13"/>
  <c r="F65" i="13"/>
  <c r="F97" i="13" s="1"/>
  <c r="F129" i="13" s="1"/>
  <c r="F161" i="13" s="1"/>
  <c r="F193" i="13" s="1"/>
  <c r="F225" i="13" s="1"/>
  <c r="D65" i="13"/>
  <c r="D97" i="13" s="1"/>
  <c r="D129" i="13" s="1"/>
  <c r="D161" i="13" s="1"/>
  <c r="D193" i="13" s="1"/>
  <c r="D225" i="13" s="1"/>
  <c r="AG31" i="13"/>
  <c r="F64" i="13"/>
  <c r="F96" i="13" s="1"/>
  <c r="F128" i="13" s="1"/>
  <c r="F160" i="13" s="1"/>
  <c r="F192" i="13" s="1"/>
  <c r="F224" i="13" s="1"/>
  <c r="D64" i="13"/>
  <c r="D96" i="13" s="1"/>
  <c r="D128" i="13" s="1"/>
  <c r="D160" i="13" s="1"/>
  <c r="D192" i="13" s="1"/>
  <c r="D224" i="13" s="1"/>
  <c r="AG30" i="13"/>
  <c r="F63" i="13"/>
  <c r="F95" i="13" s="1"/>
  <c r="F127" i="13" s="1"/>
  <c r="F159" i="13" s="1"/>
  <c r="F191" i="13" s="1"/>
  <c r="F223" i="13" s="1"/>
  <c r="D63" i="13"/>
  <c r="D95" i="13" s="1"/>
  <c r="D127" i="13" s="1"/>
  <c r="D159" i="13" s="1"/>
  <c r="D191" i="13" s="1"/>
  <c r="D223" i="13" s="1"/>
  <c r="AG29" i="13"/>
  <c r="F62" i="13"/>
  <c r="F94" i="13" s="1"/>
  <c r="F126" i="13" s="1"/>
  <c r="F158" i="13" s="1"/>
  <c r="F190" i="13" s="1"/>
  <c r="F222" i="13" s="1"/>
  <c r="D62" i="13"/>
  <c r="D94" i="13" s="1"/>
  <c r="D126" i="13" s="1"/>
  <c r="D158" i="13" s="1"/>
  <c r="D190" i="13" s="1"/>
  <c r="D222" i="13" s="1"/>
  <c r="AG28" i="13"/>
  <c r="F61" i="13"/>
  <c r="F93" i="13" s="1"/>
  <c r="F125" i="13" s="1"/>
  <c r="F157" i="13" s="1"/>
  <c r="F189" i="13" s="1"/>
  <c r="F221" i="13" s="1"/>
  <c r="D61" i="13"/>
  <c r="D93" i="13" s="1"/>
  <c r="D125" i="13" s="1"/>
  <c r="D157" i="13" s="1"/>
  <c r="D189" i="13" s="1"/>
  <c r="D221" i="13" s="1"/>
  <c r="AG27" i="13"/>
  <c r="F60" i="13"/>
  <c r="F92" i="13" s="1"/>
  <c r="F124" i="13" s="1"/>
  <c r="F156" i="13" s="1"/>
  <c r="F188" i="13" s="1"/>
  <c r="F220" i="13" s="1"/>
  <c r="D60" i="13"/>
  <c r="D92" i="13" s="1"/>
  <c r="D124" i="13" s="1"/>
  <c r="D156" i="13" s="1"/>
  <c r="D188" i="13" s="1"/>
  <c r="D220" i="13" s="1"/>
  <c r="AG26" i="13"/>
  <c r="F59" i="13"/>
  <c r="F91" i="13" s="1"/>
  <c r="F123" i="13" s="1"/>
  <c r="F155" i="13" s="1"/>
  <c r="F187" i="13" s="1"/>
  <c r="F219" i="13" s="1"/>
  <c r="D59" i="13"/>
  <c r="D91" i="13" s="1"/>
  <c r="D123" i="13" s="1"/>
  <c r="D155" i="13" s="1"/>
  <c r="D187" i="13" s="1"/>
  <c r="D219" i="13" s="1"/>
  <c r="AG25" i="13"/>
  <c r="F58" i="13"/>
  <c r="F90" i="13" s="1"/>
  <c r="F122" i="13" s="1"/>
  <c r="F154" i="13" s="1"/>
  <c r="F186" i="13" s="1"/>
  <c r="F218" i="13" s="1"/>
  <c r="D58" i="13"/>
  <c r="D90" i="13" s="1"/>
  <c r="D122" i="13" s="1"/>
  <c r="D154" i="13" s="1"/>
  <c r="D186" i="13" s="1"/>
  <c r="D218" i="13" s="1"/>
  <c r="AG24" i="13"/>
  <c r="F57" i="13"/>
  <c r="F89" i="13" s="1"/>
  <c r="F121" i="13" s="1"/>
  <c r="F153" i="13" s="1"/>
  <c r="F185" i="13" s="1"/>
  <c r="F217" i="13" s="1"/>
  <c r="D57" i="13"/>
  <c r="D89" i="13" s="1"/>
  <c r="D121" i="13" s="1"/>
  <c r="D153" i="13" s="1"/>
  <c r="D185" i="13" s="1"/>
  <c r="D217" i="13" s="1"/>
  <c r="AG23" i="13"/>
  <c r="F56" i="13"/>
  <c r="F88" i="13" s="1"/>
  <c r="F120" i="13" s="1"/>
  <c r="F152" i="13" s="1"/>
  <c r="F184" i="13" s="1"/>
  <c r="F216" i="13" s="1"/>
  <c r="D56" i="13"/>
  <c r="D88" i="13" s="1"/>
  <c r="D120" i="13" s="1"/>
  <c r="D152" i="13" s="1"/>
  <c r="D184" i="13" s="1"/>
  <c r="D216" i="13" s="1"/>
  <c r="AG22" i="13"/>
  <c r="F55" i="13"/>
  <c r="F87" i="13" s="1"/>
  <c r="F119" i="13" s="1"/>
  <c r="F151" i="13" s="1"/>
  <c r="F183" i="13" s="1"/>
  <c r="F215" i="13" s="1"/>
  <c r="D55" i="13"/>
  <c r="D87" i="13" s="1"/>
  <c r="D119" i="13" s="1"/>
  <c r="D151" i="13" s="1"/>
  <c r="D183" i="13" s="1"/>
  <c r="D215" i="13" s="1"/>
  <c r="AG21" i="13"/>
  <c r="F54" i="13"/>
  <c r="F86" i="13" s="1"/>
  <c r="F118" i="13" s="1"/>
  <c r="F150" i="13" s="1"/>
  <c r="F182" i="13" s="1"/>
  <c r="F214" i="13" s="1"/>
  <c r="D54" i="13"/>
  <c r="D86" i="13" s="1"/>
  <c r="D118" i="13" s="1"/>
  <c r="D150" i="13" s="1"/>
  <c r="D182" i="13" s="1"/>
  <c r="D214" i="13" s="1"/>
  <c r="AG20" i="13"/>
  <c r="F53" i="13"/>
  <c r="F85" i="13" s="1"/>
  <c r="F117" i="13" s="1"/>
  <c r="F149" i="13" s="1"/>
  <c r="F181" i="13" s="1"/>
  <c r="F213" i="13" s="1"/>
  <c r="D53" i="13"/>
  <c r="D85" i="13" s="1"/>
  <c r="D117" i="13" s="1"/>
  <c r="D149" i="13" s="1"/>
  <c r="D181" i="13" s="1"/>
  <c r="D213" i="13" s="1"/>
  <c r="AG19" i="13"/>
  <c r="F52" i="13"/>
  <c r="F84" i="13" s="1"/>
  <c r="F116" i="13" s="1"/>
  <c r="F148" i="13" s="1"/>
  <c r="F180" i="13" s="1"/>
  <c r="F212" i="13" s="1"/>
  <c r="D52" i="13"/>
  <c r="D84" i="13" s="1"/>
  <c r="D116" i="13" s="1"/>
  <c r="D148" i="13" s="1"/>
  <c r="D180" i="13" s="1"/>
  <c r="D212" i="13" s="1"/>
  <c r="AG18" i="13"/>
  <c r="F51" i="13"/>
  <c r="F83" i="13" s="1"/>
  <c r="F115" i="13" s="1"/>
  <c r="F147" i="13" s="1"/>
  <c r="F179" i="13" s="1"/>
  <c r="F211" i="13" s="1"/>
  <c r="D51" i="13"/>
  <c r="D83" i="13" s="1"/>
  <c r="D115" i="13" s="1"/>
  <c r="D147" i="13" s="1"/>
  <c r="D179" i="13" s="1"/>
  <c r="D211" i="13" s="1"/>
  <c r="AG17" i="13"/>
  <c r="F50" i="13"/>
  <c r="F82" i="13" s="1"/>
  <c r="F114" i="13" s="1"/>
  <c r="F146" i="13" s="1"/>
  <c r="F178" i="13" s="1"/>
  <c r="F210" i="13" s="1"/>
  <c r="D50" i="13"/>
  <c r="D82" i="13" s="1"/>
  <c r="D114" i="13" s="1"/>
  <c r="D146" i="13" s="1"/>
  <c r="D178" i="13" s="1"/>
  <c r="D210" i="13" s="1"/>
  <c r="D49" i="13"/>
  <c r="D81" i="13" s="1"/>
  <c r="D113" i="13" s="1"/>
  <c r="D145" i="13" s="1"/>
  <c r="D177" i="13" s="1"/>
  <c r="D209" i="13" s="1"/>
  <c r="F49" i="13"/>
  <c r="F81" i="13" s="1"/>
  <c r="F113" i="13" s="1"/>
  <c r="F145" i="13" s="1"/>
  <c r="F177" i="13" s="1"/>
  <c r="F209" i="13" s="1"/>
  <c r="AG16" i="13"/>
  <c r="D83" i="1"/>
  <c r="D82" i="1"/>
  <c r="D81" i="1"/>
  <c r="D80" i="1"/>
  <c r="D63" i="1"/>
  <c r="D62" i="1"/>
  <c r="D61" i="1"/>
  <c r="D60" i="1"/>
  <c r="D45" i="1"/>
  <c r="D44" i="1"/>
  <c r="D43" i="1"/>
  <c r="D42" i="1"/>
  <c r="F12" i="1"/>
  <c r="F77" i="1" s="1"/>
  <c r="G12" i="1"/>
  <c r="G77" i="1" s="1"/>
  <c r="H12" i="1"/>
  <c r="H77" i="1" s="1"/>
  <c r="I12" i="1"/>
  <c r="I77" i="1" s="1"/>
  <c r="J12" i="1"/>
  <c r="J77" i="1" s="1"/>
  <c r="L8" i="18"/>
  <c r="L105" i="18" s="1"/>
  <c r="K8" i="18"/>
  <c r="K105" i="18" s="1"/>
  <c r="J8" i="18"/>
  <c r="J105" i="18" s="1"/>
  <c r="I8" i="18"/>
  <c r="I105" i="18" s="1"/>
  <c r="H8" i="18"/>
  <c r="H105" i="18" s="1"/>
  <c r="C13" i="22"/>
  <c r="V10" i="29"/>
  <c r="J63" i="13"/>
  <c r="S63" i="13" s="1"/>
  <c r="G24" i="40"/>
  <c r="E51" i="13"/>
  <c r="AI51" i="13" s="1"/>
  <c r="F24" i="40"/>
  <c r="F23" i="40"/>
  <c r="F22" i="40"/>
  <c r="M14" i="36"/>
  <c r="H24" i="40"/>
  <c r="J60" i="13"/>
  <c r="S60" i="13" s="1"/>
  <c r="J56" i="13"/>
  <c r="S56" i="13" s="1"/>
  <c r="J52" i="13"/>
  <c r="S52" i="13" s="1"/>
  <c r="S34" i="13"/>
  <c r="S30" i="13"/>
  <c r="S28" i="13"/>
  <c r="S22" i="13"/>
  <c r="S20" i="13"/>
  <c r="V10" i="43"/>
  <c r="F78" i="34"/>
  <c r="G27" i="34"/>
  <c r="F66" i="34"/>
  <c r="F90" i="34"/>
  <c r="F74" i="34"/>
  <c r="AD141" i="43"/>
  <c r="E84" i="13"/>
  <c r="AI84" i="13" s="1"/>
  <c r="S29" i="13"/>
  <c r="S21" i="13"/>
  <c r="F70" i="34"/>
  <c r="F62" i="34"/>
  <c r="F54" i="34"/>
  <c r="F46" i="34"/>
  <c r="I196" i="48"/>
  <c r="J196" i="48" s="1"/>
  <c r="I176" i="48"/>
  <c r="J176" i="48" s="1"/>
  <c r="K176" i="48" s="1"/>
  <c r="L176" i="48" s="1"/>
  <c r="I156" i="48"/>
  <c r="J156" i="48" s="1"/>
  <c r="K156" i="48" s="1"/>
  <c r="L156" i="48" s="1"/>
  <c r="I92" i="48"/>
  <c r="J92" i="48" s="1"/>
  <c r="K92" i="48" s="1"/>
  <c r="L92" i="48" s="1"/>
  <c r="M92" i="48" s="1"/>
  <c r="N92" i="48" s="1"/>
  <c r="I72" i="48"/>
  <c r="I12" i="48"/>
  <c r="J12" i="48" s="1"/>
  <c r="L113" i="35"/>
  <c r="L120" i="35"/>
  <c r="M120" i="35" s="1"/>
  <c r="N120" i="35" s="1"/>
  <c r="O120" i="35" s="1"/>
  <c r="H125" i="35"/>
  <c r="F50" i="34"/>
  <c r="H45" i="48"/>
  <c r="I164" i="35" s="1"/>
  <c r="I43" i="48"/>
  <c r="J43" i="48" s="1"/>
  <c r="H169" i="48"/>
  <c r="I170" i="35" s="1"/>
  <c r="I100" i="35"/>
  <c r="J165" i="48"/>
  <c r="K165" i="48" s="1"/>
  <c r="H65" i="48"/>
  <c r="I165" i="35" s="1"/>
  <c r="I124" i="48"/>
  <c r="J124" i="48" s="1"/>
  <c r="K124" i="48" s="1"/>
  <c r="L124" i="48" s="1"/>
  <c r="H105" i="48"/>
  <c r="I167" i="35" s="1"/>
  <c r="K100" i="1"/>
  <c r="H58" i="29"/>
  <c r="H58" i="43" s="1"/>
  <c r="H56" i="29"/>
  <c r="H56" i="43" s="1"/>
  <c r="H54" i="29"/>
  <c r="H54" i="43" s="1"/>
  <c r="I48" i="39"/>
  <c r="J48" i="39" s="1"/>
  <c r="K48" i="39" s="1"/>
  <c r="L48" i="39" s="1"/>
  <c r="E92" i="13"/>
  <c r="E62" i="13"/>
  <c r="AI62" i="13" s="1"/>
  <c r="E54" i="13"/>
  <c r="H66" i="29"/>
  <c r="H66" i="43" s="1"/>
  <c r="H64" i="29"/>
  <c r="H64" i="43" s="1"/>
  <c r="H62" i="29"/>
  <c r="H62" i="43" s="1"/>
  <c r="H200" i="35"/>
  <c r="I100" i="48"/>
  <c r="J100" i="48" s="1"/>
  <c r="K100" i="48" s="1"/>
  <c r="L100" i="48" s="1"/>
  <c r="C52" i="22" l="1"/>
  <c r="D52" i="22"/>
  <c r="K56" i="31"/>
  <c r="K49" i="24"/>
  <c r="K251" i="24"/>
  <c r="K55" i="31"/>
  <c r="K30" i="31" s="1"/>
  <c r="K250" i="24"/>
  <c r="K48" i="24"/>
  <c r="K247" i="24"/>
  <c r="K45" i="24"/>
  <c r="K51" i="31"/>
  <c r="K246" i="24"/>
  <c r="K44" i="24"/>
  <c r="J200" i="35"/>
  <c r="O82" i="35"/>
  <c r="E88" i="13"/>
  <c r="AI88" i="13" s="1"/>
  <c r="K59" i="13"/>
  <c r="U59" i="13" s="1"/>
  <c r="J136" i="18"/>
  <c r="F37" i="49" s="1"/>
  <c r="Q138" i="43"/>
  <c r="AB138" i="43"/>
  <c r="AC138" i="43"/>
  <c r="I56" i="29"/>
  <c r="I56" i="43" s="1"/>
  <c r="I54" i="29"/>
  <c r="I54" i="43" s="1"/>
  <c r="I66" i="29"/>
  <c r="I66" i="43" s="1"/>
  <c r="H53" i="29"/>
  <c r="H69" i="29"/>
  <c r="H69" i="43" s="1"/>
  <c r="H61" i="29"/>
  <c r="H61" i="43" s="1"/>
  <c r="H24" i="29"/>
  <c r="H24" i="43" s="1"/>
  <c r="Q138" i="29"/>
  <c r="H117" i="29"/>
  <c r="I117" i="29" s="1"/>
  <c r="H70" i="29"/>
  <c r="H70" i="43" s="1"/>
  <c r="H87" i="29"/>
  <c r="H87" i="43" s="1"/>
  <c r="H68" i="29"/>
  <c r="H42" i="29"/>
  <c r="H116" i="29"/>
  <c r="H116" i="43" s="1"/>
  <c r="H44" i="29"/>
  <c r="H44" i="43" s="1"/>
  <c r="I30" i="24"/>
  <c r="G45" i="28"/>
  <c r="L80" i="1"/>
  <c r="J81" i="1"/>
  <c r="H82" i="1"/>
  <c r="L82" i="1"/>
  <c r="J83" i="1"/>
  <c r="H84" i="1"/>
  <c r="L84" i="1"/>
  <c r="J85" i="1"/>
  <c r="H86" i="1"/>
  <c r="L86" i="1"/>
  <c r="J87" i="1"/>
  <c r="H88" i="1"/>
  <c r="L88" i="1"/>
  <c r="J89" i="1"/>
  <c r="H90" i="1"/>
  <c r="L90" i="1"/>
  <c r="J91" i="1"/>
  <c r="H92" i="1"/>
  <c r="L92" i="1"/>
  <c r="J93" i="1"/>
  <c r="H94" i="1"/>
  <c r="L94" i="1"/>
  <c r="L81" i="1"/>
  <c r="J82" i="1"/>
  <c r="L83" i="1"/>
  <c r="J86" i="1"/>
  <c r="J88" i="1"/>
  <c r="J90" i="1"/>
  <c r="J92" i="1"/>
  <c r="J94" i="1"/>
  <c r="I80" i="1"/>
  <c r="M80" i="1"/>
  <c r="K81" i="1"/>
  <c r="I82" i="1"/>
  <c r="M82" i="1"/>
  <c r="K83" i="1"/>
  <c r="I84" i="1"/>
  <c r="M84" i="1"/>
  <c r="K85" i="1"/>
  <c r="I86" i="1"/>
  <c r="M86" i="1"/>
  <c r="K87" i="1"/>
  <c r="I88" i="1"/>
  <c r="M88" i="1"/>
  <c r="K89" i="1"/>
  <c r="I90" i="1"/>
  <c r="M90" i="1"/>
  <c r="K91" i="1"/>
  <c r="I92" i="1"/>
  <c r="M92" i="1"/>
  <c r="K93" i="1"/>
  <c r="I94" i="1"/>
  <c r="M94" i="1"/>
  <c r="G82" i="1"/>
  <c r="G84" i="1"/>
  <c r="G86" i="1"/>
  <c r="G88" i="1"/>
  <c r="G90" i="1"/>
  <c r="G92" i="1"/>
  <c r="G94" i="1"/>
  <c r="J80" i="1"/>
  <c r="H83" i="1"/>
  <c r="L85" i="1"/>
  <c r="L87" i="1"/>
  <c r="L89" i="1"/>
  <c r="L91" i="1"/>
  <c r="L93" i="1"/>
  <c r="J84" i="1"/>
  <c r="K80" i="1"/>
  <c r="I81" i="1"/>
  <c r="M81" i="1"/>
  <c r="K82" i="1"/>
  <c r="I83" i="1"/>
  <c r="M83" i="1"/>
  <c r="K84" i="1"/>
  <c r="I85" i="1"/>
  <c r="M85" i="1"/>
  <c r="K86" i="1"/>
  <c r="I87" i="1"/>
  <c r="M87" i="1"/>
  <c r="K88" i="1"/>
  <c r="I89" i="1"/>
  <c r="M89" i="1"/>
  <c r="K90" i="1"/>
  <c r="I91" i="1"/>
  <c r="M91" i="1"/>
  <c r="K92" i="1"/>
  <c r="I93" i="1"/>
  <c r="M93" i="1"/>
  <c r="K94" i="1"/>
  <c r="G81" i="1"/>
  <c r="G83" i="1"/>
  <c r="G85" i="1"/>
  <c r="G87" i="1"/>
  <c r="G89" i="1"/>
  <c r="G91" i="1"/>
  <c r="G93" i="1"/>
  <c r="H81" i="1"/>
  <c r="H85" i="1"/>
  <c r="H87" i="1"/>
  <c r="H89" i="1"/>
  <c r="H91" i="1"/>
  <c r="H93" i="1"/>
  <c r="G80" i="1"/>
  <c r="K44" i="39"/>
  <c r="L44" i="39" s="1"/>
  <c r="L46" i="39" s="1"/>
  <c r="J46" i="39"/>
  <c r="J19" i="39"/>
  <c r="K19" i="39" s="1"/>
  <c r="J22" i="40" s="1"/>
  <c r="H55" i="39"/>
  <c r="F55" i="49"/>
  <c r="L19" i="39"/>
  <c r="H100" i="35"/>
  <c r="R8" i="36"/>
  <c r="G75" i="1"/>
  <c r="O41" i="18"/>
  <c r="V14" i="29"/>
  <c r="V16" i="29"/>
  <c r="V18" i="29"/>
  <c r="V20" i="29"/>
  <c r="V22" i="29"/>
  <c r="V24" i="29"/>
  <c r="V26" i="29"/>
  <c r="V28" i="29"/>
  <c r="V30" i="29"/>
  <c r="V32" i="29"/>
  <c r="V34" i="29"/>
  <c r="V36" i="29"/>
  <c r="V38" i="29"/>
  <c r="V40" i="29"/>
  <c r="V17" i="29"/>
  <c r="V25" i="29"/>
  <c r="V33" i="29"/>
  <c r="V41" i="29"/>
  <c r="V43" i="29"/>
  <c r="V45" i="29"/>
  <c r="V47" i="29"/>
  <c r="V49" i="29"/>
  <c r="V51" i="29"/>
  <c r="V53" i="29"/>
  <c r="V55" i="29"/>
  <c r="V57" i="29"/>
  <c r="V59" i="29"/>
  <c r="V61" i="29"/>
  <c r="V63" i="29"/>
  <c r="V65" i="29"/>
  <c r="V67" i="29"/>
  <c r="V69" i="29"/>
  <c r="V71" i="29"/>
  <c r="V73" i="29"/>
  <c r="V75" i="29"/>
  <c r="V77" i="29"/>
  <c r="V79" i="29"/>
  <c r="V81" i="29"/>
  <c r="V83" i="29"/>
  <c r="V85" i="29"/>
  <c r="V87" i="29"/>
  <c r="V89" i="29"/>
  <c r="V91" i="29"/>
  <c r="V93" i="29"/>
  <c r="V95" i="29"/>
  <c r="V97" i="29"/>
  <c r="V99" i="29"/>
  <c r="V101" i="29"/>
  <c r="V103" i="29"/>
  <c r="V105" i="29"/>
  <c r="V107" i="29"/>
  <c r="V109" i="29"/>
  <c r="V111" i="29"/>
  <c r="V113" i="29"/>
  <c r="V115" i="29"/>
  <c r="V117" i="29"/>
  <c r="V119" i="29"/>
  <c r="V121" i="29"/>
  <c r="V123" i="29"/>
  <c r="V125" i="29"/>
  <c r="V127" i="29"/>
  <c r="V129" i="29"/>
  <c r="V131" i="29"/>
  <c r="V133" i="29"/>
  <c r="V135" i="29"/>
  <c r="V13" i="29"/>
  <c r="I14" i="35"/>
  <c r="V15" i="29"/>
  <c r="V23" i="29"/>
  <c r="V31" i="29"/>
  <c r="V39" i="29"/>
  <c r="V21" i="29"/>
  <c r="V29" i="29"/>
  <c r="V37" i="29"/>
  <c r="V42" i="29"/>
  <c r="V44" i="29"/>
  <c r="V46" i="29"/>
  <c r="V48" i="29"/>
  <c r="V50" i="29"/>
  <c r="V52" i="29"/>
  <c r="V54" i="29"/>
  <c r="V56" i="29"/>
  <c r="V58" i="29"/>
  <c r="V60" i="29"/>
  <c r="V62" i="29"/>
  <c r="V64" i="29"/>
  <c r="V66" i="29"/>
  <c r="V68" i="29"/>
  <c r="V70" i="29"/>
  <c r="V72" i="29"/>
  <c r="V74" i="29"/>
  <c r="V76" i="29"/>
  <c r="V78" i="29"/>
  <c r="V80" i="29"/>
  <c r="V82" i="29"/>
  <c r="V84" i="29"/>
  <c r="V86" i="29"/>
  <c r="V88" i="29"/>
  <c r="V90" i="29"/>
  <c r="V92" i="29"/>
  <c r="V94" i="29"/>
  <c r="V96" i="29"/>
  <c r="V98" i="29"/>
  <c r="V100" i="29"/>
  <c r="V102" i="29"/>
  <c r="V104" i="29"/>
  <c r="V106" i="29"/>
  <c r="V108" i="29"/>
  <c r="V110" i="29"/>
  <c r="V112" i="29"/>
  <c r="V114" i="29"/>
  <c r="V116" i="29"/>
  <c r="V118" i="29"/>
  <c r="V120" i="29"/>
  <c r="V122" i="29"/>
  <c r="V124" i="29"/>
  <c r="V126" i="29"/>
  <c r="V128" i="29"/>
  <c r="V130" i="29"/>
  <c r="V132" i="29"/>
  <c r="V134" i="29"/>
  <c r="V136" i="29"/>
  <c r="V19" i="29"/>
  <c r="V27" i="29"/>
  <c r="V35" i="29"/>
  <c r="K100" i="35"/>
  <c r="O57" i="36"/>
  <c r="O25" i="36"/>
  <c r="F41" i="37"/>
  <c r="G41" i="37" s="1"/>
  <c r="H14" i="37" s="1"/>
  <c r="H41" i="37" s="1"/>
  <c r="I14" i="37" s="1"/>
  <c r="I41" i="37" s="1"/>
  <c r="J14" i="37" s="1"/>
  <c r="J41" i="37" s="1"/>
  <c r="K14" i="37" s="1"/>
  <c r="K41" i="37" s="1"/>
  <c r="L14" i="37" s="1"/>
  <c r="L41" i="37" s="1"/>
  <c r="G65" i="13"/>
  <c r="AH65" i="13" s="1"/>
  <c r="H52" i="13"/>
  <c r="H56" i="13"/>
  <c r="AG56" i="13" s="1"/>
  <c r="H60" i="13"/>
  <c r="H64" i="13"/>
  <c r="AG64" i="13" s="1"/>
  <c r="H68" i="13"/>
  <c r="E50" i="13"/>
  <c r="E82" i="13" s="1"/>
  <c r="AI17" i="13"/>
  <c r="H49" i="13"/>
  <c r="H51" i="13"/>
  <c r="AG51" i="13" s="1"/>
  <c r="H55" i="13"/>
  <c r="H59" i="13"/>
  <c r="AG59" i="13" s="1"/>
  <c r="H63" i="13"/>
  <c r="H67" i="13"/>
  <c r="AG67" i="13" s="1"/>
  <c r="K68" i="13"/>
  <c r="U68" i="13" s="1"/>
  <c r="U35" i="13"/>
  <c r="T35" i="13"/>
  <c r="O35" i="13"/>
  <c r="AE35" i="13" s="1"/>
  <c r="Q35" i="13"/>
  <c r="U33" i="13"/>
  <c r="O33" i="13"/>
  <c r="AE33" i="13" s="1"/>
  <c r="Q33" i="13"/>
  <c r="T33" i="13"/>
  <c r="U31" i="13"/>
  <c r="T31" i="13"/>
  <c r="O31" i="13"/>
  <c r="AE31" i="13" s="1"/>
  <c r="Q31" i="13"/>
  <c r="K62" i="13"/>
  <c r="U62" i="13" s="1"/>
  <c r="U29" i="13"/>
  <c r="O29" i="13"/>
  <c r="AE29" i="13" s="1"/>
  <c r="Q29" i="13"/>
  <c r="T29" i="13"/>
  <c r="H50" i="13"/>
  <c r="AG50" i="13" s="1"/>
  <c r="H54" i="13"/>
  <c r="AG54" i="13" s="1"/>
  <c r="H58" i="13"/>
  <c r="AG58" i="13" s="1"/>
  <c r="H62" i="13"/>
  <c r="AG62" i="13" s="1"/>
  <c r="H66" i="13"/>
  <c r="AG66" i="13" s="1"/>
  <c r="AI16" i="13"/>
  <c r="AH36" i="13"/>
  <c r="S35" i="13"/>
  <c r="AI35" i="13"/>
  <c r="S33" i="13"/>
  <c r="AI33" i="13"/>
  <c r="H53" i="13"/>
  <c r="AG53" i="13" s="1"/>
  <c r="H57" i="13"/>
  <c r="H61" i="13"/>
  <c r="AG61" i="13" s="1"/>
  <c r="H65" i="13"/>
  <c r="K67" i="13"/>
  <c r="U67" i="13" s="1"/>
  <c r="U34" i="13"/>
  <c r="O34" i="13"/>
  <c r="AE34" i="13" s="1"/>
  <c r="Q34" i="13"/>
  <c r="T34" i="13"/>
  <c r="K65" i="13"/>
  <c r="U65" i="13" s="1"/>
  <c r="U32" i="13"/>
  <c r="Q32" i="13"/>
  <c r="T32" i="13"/>
  <c r="O32" i="13"/>
  <c r="AE32" i="13" s="1"/>
  <c r="K63" i="13"/>
  <c r="U63" i="13" s="1"/>
  <c r="U30" i="13"/>
  <c r="O30" i="13"/>
  <c r="AE30" i="13" s="1"/>
  <c r="Q30" i="13"/>
  <c r="T30" i="13"/>
  <c r="K61" i="13"/>
  <c r="U61" i="13" s="1"/>
  <c r="U28" i="13"/>
  <c r="Q28" i="13"/>
  <c r="T28" i="13"/>
  <c r="O28" i="13"/>
  <c r="AE28" i="13" s="1"/>
  <c r="O17" i="36"/>
  <c r="O14" i="36"/>
  <c r="Y8" i="36"/>
  <c r="Y34" i="36" s="1"/>
  <c r="O41" i="36"/>
  <c r="Q17" i="36"/>
  <c r="O49" i="36"/>
  <c r="O65" i="36"/>
  <c r="H153" i="18"/>
  <c r="H163" i="18" s="1"/>
  <c r="K213" i="48"/>
  <c r="K31" i="48"/>
  <c r="K51" i="48" s="1"/>
  <c r="K71" i="48" s="1"/>
  <c r="K91" i="48" s="1"/>
  <c r="K115" i="48" s="1"/>
  <c r="K135" i="48" s="1"/>
  <c r="K155" i="48" s="1"/>
  <c r="K175" i="48" s="1"/>
  <c r="K195" i="48" s="1"/>
  <c r="J213" i="48"/>
  <c r="J31" i="48"/>
  <c r="J51" i="48" s="1"/>
  <c r="J71" i="48" s="1"/>
  <c r="J91" i="48" s="1"/>
  <c r="J115" i="48" s="1"/>
  <c r="J135" i="48" s="1"/>
  <c r="J155" i="48" s="1"/>
  <c r="J175" i="48" s="1"/>
  <c r="J195" i="48" s="1"/>
  <c r="I213" i="48"/>
  <c r="I31" i="48"/>
  <c r="I51" i="48" s="1"/>
  <c r="I71" i="48" s="1"/>
  <c r="I91" i="48" s="1"/>
  <c r="I115" i="48" s="1"/>
  <c r="I135" i="48" s="1"/>
  <c r="I155" i="48" s="1"/>
  <c r="I175" i="48" s="1"/>
  <c r="I195" i="48" s="1"/>
  <c r="H213" i="48"/>
  <c r="H31" i="48"/>
  <c r="H51" i="48" s="1"/>
  <c r="H71" i="48" s="1"/>
  <c r="H91" i="48" s="1"/>
  <c r="H115" i="48" s="1"/>
  <c r="H135" i="48" s="1"/>
  <c r="H155" i="48" s="1"/>
  <c r="H175" i="48" s="1"/>
  <c r="H195" i="48" s="1"/>
  <c r="H161" i="48"/>
  <c r="I160" i="18" s="1"/>
  <c r="H57" i="48"/>
  <c r="I155" i="18" s="1"/>
  <c r="H17" i="48"/>
  <c r="I153" i="18" s="1"/>
  <c r="J197" i="48"/>
  <c r="K197" i="48" s="1"/>
  <c r="L197" i="48" s="1"/>
  <c r="M197" i="48" s="1"/>
  <c r="N197" i="48" s="1"/>
  <c r="I201" i="48"/>
  <c r="J162" i="18" s="1"/>
  <c r="J136" i="48"/>
  <c r="K136" i="48" s="1"/>
  <c r="L136" i="48" s="1"/>
  <c r="I141" i="48"/>
  <c r="J159" i="18" s="1"/>
  <c r="J33" i="48"/>
  <c r="K33" i="48" s="1"/>
  <c r="L33" i="48" s="1"/>
  <c r="M33" i="48" s="1"/>
  <c r="N33" i="48" s="1"/>
  <c r="I37" i="48"/>
  <c r="J154" i="18" s="1"/>
  <c r="K159" i="48"/>
  <c r="L159" i="48" s="1"/>
  <c r="M159" i="48" s="1"/>
  <c r="N159" i="48" s="1"/>
  <c r="J161" i="48"/>
  <c r="K160" i="18" s="1"/>
  <c r="H37" i="48"/>
  <c r="I154" i="18" s="1"/>
  <c r="H201" i="48"/>
  <c r="I162" i="18" s="1"/>
  <c r="H97" i="48"/>
  <c r="I157" i="18" s="1"/>
  <c r="H181" i="48"/>
  <c r="I161" i="18" s="1"/>
  <c r="H77" i="48"/>
  <c r="I156" i="18" s="1"/>
  <c r="H141" i="48"/>
  <c r="I159" i="18" s="1"/>
  <c r="I149" i="48"/>
  <c r="J169" i="35" s="1"/>
  <c r="H121" i="48"/>
  <c r="I158" i="18" s="1"/>
  <c r="I77" i="48"/>
  <c r="J156" i="18" s="1"/>
  <c r="I161" i="48"/>
  <c r="I200" i="35"/>
  <c r="K200" i="35"/>
  <c r="I115" i="35"/>
  <c r="K114" i="35"/>
  <c r="L114" i="35" s="1"/>
  <c r="M114" i="35" s="1"/>
  <c r="N114" i="35" s="1"/>
  <c r="O114" i="35" s="1"/>
  <c r="J115" i="35"/>
  <c r="K115" i="35"/>
  <c r="S18" i="13"/>
  <c r="P18" i="13"/>
  <c r="Z18" i="13"/>
  <c r="M36" i="13"/>
  <c r="M49" i="13"/>
  <c r="AF16" i="13"/>
  <c r="K58" i="13"/>
  <c r="U58" i="13" s="1"/>
  <c r="O25" i="13"/>
  <c r="AE25" i="13" s="1"/>
  <c r="Q25" i="13"/>
  <c r="T25" i="13"/>
  <c r="K54" i="13"/>
  <c r="U54" i="13" s="1"/>
  <c r="O21" i="13"/>
  <c r="AE21" i="13" s="1"/>
  <c r="Q21" i="13"/>
  <c r="T21" i="13"/>
  <c r="T26" i="13"/>
  <c r="O26" i="13"/>
  <c r="AE26" i="13" s="1"/>
  <c r="Q26" i="13"/>
  <c r="T24" i="13"/>
  <c r="O24" i="13"/>
  <c r="AE24" i="13" s="1"/>
  <c r="Q24" i="13"/>
  <c r="K55" i="13"/>
  <c r="U55" i="13" s="1"/>
  <c r="T22" i="13"/>
  <c r="O22" i="13"/>
  <c r="AE22" i="13" s="1"/>
  <c r="Q22" i="13"/>
  <c r="K53" i="13"/>
  <c r="U53" i="13" s="1"/>
  <c r="T20" i="13"/>
  <c r="O20" i="13"/>
  <c r="AE20" i="13" s="1"/>
  <c r="Q20" i="13"/>
  <c r="K51" i="13"/>
  <c r="O18" i="13"/>
  <c r="AE18" i="13" s="1"/>
  <c r="K60" i="13"/>
  <c r="U60" i="13" s="1"/>
  <c r="O27" i="13"/>
  <c r="AE27" i="13" s="1"/>
  <c r="Q27" i="13"/>
  <c r="T27" i="13"/>
  <c r="K56" i="13"/>
  <c r="U56" i="13" s="1"/>
  <c r="O23" i="13"/>
  <c r="AE23" i="13" s="1"/>
  <c r="Q23" i="13"/>
  <c r="T23" i="13"/>
  <c r="K52" i="13"/>
  <c r="U52" i="13" s="1"/>
  <c r="O19" i="13"/>
  <c r="AE19" i="13" s="1"/>
  <c r="Q19" i="13"/>
  <c r="T19" i="13"/>
  <c r="K49" i="13"/>
  <c r="K81" i="13" s="1"/>
  <c r="O16" i="13"/>
  <c r="K50" i="13"/>
  <c r="O17" i="13"/>
  <c r="R20" i="36"/>
  <c r="O67" i="13"/>
  <c r="K93" i="13"/>
  <c r="U93" i="13" s="1"/>
  <c r="O61" i="13"/>
  <c r="AE61" i="13" s="1"/>
  <c r="O53" i="13"/>
  <c r="AI60" i="13"/>
  <c r="AI50" i="13"/>
  <c r="E124" i="13"/>
  <c r="AI124" i="13" s="1"/>
  <c r="AI92" i="13"/>
  <c r="K89" i="13"/>
  <c r="U89" i="13" s="1"/>
  <c r="Q57" i="13"/>
  <c r="O57" i="13"/>
  <c r="T57" i="13"/>
  <c r="Q65" i="13"/>
  <c r="H94" i="13"/>
  <c r="AG94" i="13" s="1"/>
  <c r="K96" i="13"/>
  <c r="U96" i="13" s="1"/>
  <c r="O64" i="13"/>
  <c r="T64" i="13"/>
  <c r="Q64" i="13"/>
  <c r="K91" i="13"/>
  <c r="U91" i="13" s="1"/>
  <c r="O59" i="13"/>
  <c r="AE59" i="13" s="1"/>
  <c r="T59" i="13"/>
  <c r="Q59" i="13"/>
  <c r="K100" i="13"/>
  <c r="U100" i="13" s="1"/>
  <c r="AI54" i="13"/>
  <c r="H85" i="13"/>
  <c r="AG85" i="13" s="1"/>
  <c r="J59" i="13"/>
  <c r="S59" i="13" s="1"/>
  <c r="AI59" i="13"/>
  <c r="E81" i="13"/>
  <c r="E113" i="13" s="1"/>
  <c r="I49" i="13"/>
  <c r="J198" i="18"/>
  <c r="E68" i="13"/>
  <c r="AI68" i="13" s="1"/>
  <c r="J51" i="13"/>
  <c r="G63" i="13"/>
  <c r="AH63" i="13" s="1"/>
  <c r="G55" i="13"/>
  <c r="AH55" i="13" s="1"/>
  <c r="S26" i="13"/>
  <c r="S19" i="13"/>
  <c r="G49" i="13"/>
  <c r="AH49" i="13" s="1"/>
  <c r="E116" i="13"/>
  <c r="J116" i="13" s="1"/>
  <c r="S116" i="13" s="1"/>
  <c r="AF54" i="13"/>
  <c r="J92" i="13"/>
  <c r="S92" i="13" s="1"/>
  <c r="E94" i="13"/>
  <c r="AI94" i="13" s="1"/>
  <c r="K66" i="13"/>
  <c r="U66" i="13" s="1"/>
  <c r="AF61" i="13"/>
  <c r="E91" i="13"/>
  <c r="AI91" i="13" s="1"/>
  <c r="J61" i="13"/>
  <c r="S61" i="13" s="1"/>
  <c r="J95" i="13"/>
  <c r="S95" i="13" s="1"/>
  <c r="G56" i="13"/>
  <c r="AH56" i="13" s="1"/>
  <c r="E120" i="13"/>
  <c r="J84" i="13"/>
  <c r="S84" i="13" s="1"/>
  <c r="E65" i="13"/>
  <c r="AI65" i="13" s="1"/>
  <c r="AF59" i="13"/>
  <c r="G60" i="13"/>
  <c r="AH60" i="13" s="1"/>
  <c r="E66" i="13"/>
  <c r="AI66" i="13" s="1"/>
  <c r="AF50" i="13"/>
  <c r="AF64" i="13"/>
  <c r="G64" i="13"/>
  <c r="AH64" i="13" s="1"/>
  <c r="E67" i="13"/>
  <c r="S24" i="13"/>
  <c r="S32" i="13"/>
  <c r="G68" i="13"/>
  <c r="AH68" i="13" s="1"/>
  <c r="G52" i="13"/>
  <c r="AH52" i="13" s="1"/>
  <c r="F25" i="40"/>
  <c r="F26" i="40" s="1"/>
  <c r="E83" i="13"/>
  <c r="AI83" i="13" s="1"/>
  <c r="G94" i="43"/>
  <c r="V94" i="43" s="1"/>
  <c r="H94" i="29"/>
  <c r="I94" i="29" s="1"/>
  <c r="G60" i="43"/>
  <c r="V60" i="43" s="1"/>
  <c r="H60" i="29"/>
  <c r="H60" i="43" s="1"/>
  <c r="G23" i="43"/>
  <c r="V23" i="43" s="1"/>
  <c r="H23" i="29"/>
  <c r="F38" i="40"/>
  <c r="I16" i="39"/>
  <c r="S27" i="13"/>
  <c r="I61" i="29"/>
  <c r="I64" i="29"/>
  <c r="J56" i="29"/>
  <c r="J56" i="43" s="1"/>
  <c r="I58" i="29"/>
  <c r="I62" i="29"/>
  <c r="I70" i="29"/>
  <c r="I121" i="48"/>
  <c r="J158" i="18" s="1"/>
  <c r="G112" i="43"/>
  <c r="V112" i="43" s="1"/>
  <c r="H112" i="29"/>
  <c r="I112" i="29" s="1"/>
  <c r="G51" i="43"/>
  <c r="V51" i="43" s="1"/>
  <c r="H51" i="29"/>
  <c r="G47" i="43"/>
  <c r="V47" i="43" s="1"/>
  <c r="H47" i="29"/>
  <c r="G41" i="43"/>
  <c r="V41" i="43" s="1"/>
  <c r="H41" i="29"/>
  <c r="H41" i="43" s="1"/>
  <c r="G37" i="43"/>
  <c r="V37" i="43" s="1"/>
  <c r="H37" i="29"/>
  <c r="G33" i="43"/>
  <c r="V33" i="43" s="1"/>
  <c r="H33" i="29"/>
  <c r="G29" i="43"/>
  <c r="V29" i="43" s="1"/>
  <c r="H29" i="29"/>
  <c r="H29" i="43" s="1"/>
  <c r="G25" i="43"/>
  <c r="V25" i="43" s="1"/>
  <c r="H25" i="29"/>
  <c r="G19" i="43"/>
  <c r="V19" i="43" s="1"/>
  <c r="H19" i="29"/>
  <c r="H19" i="43" s="1"/>
  <c r="G15" i="43"/>
  <c r="V15" i="43" s="1"/>
  <c r="H15" i="29"/>
  <c r="G83" i="13"/>
  <c r="AH83" i="13" s="1"/>
  <c r="J55" i="13"/>
  <c r="S55" i="13" s="1"/>
  <c r="G107" i="43"/>
  <c r="V107" i="43" s="1"/>
  <c r="H107" i="29"/>
  <c r="H107" i="43" s="1"/>
  <c r="G43" i="43"/>
  <c r="V43" i="43" s="1"/>
  <c r="H43" i="29"/>
  <c r="H43" i="43" s="1"/>
  <c r="G57" i="43"/>
  <c r="V57" i="43" s="1"/>
  <c r="H57" i="29"/>
  <c r="H57" i="43" s="1"/>
  <c r="G49" i="43"/>
  <c r="V49" i="43" s="1"/>
  <c r="H49" i="29"/>
  <c r="G45" i="43"/>
  <c r="V45" i="43" s="1"/>
  <c r="H45" i="29"/>
  <c r="G39" i="43"/>
  <c r="V39" i="43" s="1"/>
  <c r="H39" i="29"/>
  <c r="G35" i="43"/>
  <c r="V35" i="43" s="1"/>
  <c r="H35" i="29"/>
  <c r="G31" i="43"/>
  <c r="V31" i="43" s="1"/>
  <c r="H31" i="29"/>
  <c r="H31" i="43" s="1"/>
  <c r="G27" i="43"/>
  <c r="V27" i="43" s="1"/>
  <c r="H27" i="29"/>
  <c r="H27" i="43" s="1"/>
  <c r="G21" i="43"/>
  <c r="V21" i="43" s="1"/>
  <c r="H21" i="29"/>
  <c r="H21" i="43" s="1"/>
  <c r="G17" i="43"/>
  <c r="V17" i="43" s="1"/>
  <c r="H17" i="29"/>
  <c r="G13" i="43"/>
  <c r="V13" i="43" s="1"/>
  <c r="H13" i="29"/>
  <c r="G66" i="13"/>
  <c r="AH66" i="13" s="1"/>
  <c r="G62" i="13"/>
  <c r="AH62" i="13" s="1"/>
  <c r="G58" i="13"/>
  <c r="AH58" i="13" s="1"/>
  <c r="G54" i="13"/>
  <c r="AH54" i="13" s="1"/>
  <c r="G50" i="13"/>
  <c r="AH50" i="13" s="1"/>
  <c r="S25" i="13"/>
  <c r="W160" i="22"/>
  <c r="B163" i="22"/>
  <c r="H111" i="29"/>
  <c r="H108" i="29"/>
  <c r="H99" i="29"/>
  <c r="I99" i="29" s="1"/>
  <c r="I99" i="43" s="1"/>
  <c r="H93" i="29"/>
  <c r="H93" i="43" s="1"/>
  <c r="H65" i="29"/>
  <c r="H65" i="43" s="1"/>
  <c r="H52" i="29"/>
  <c r="H50" i="29"/>
  <c r="H48" i="29"/>
  <c r="H48" i="43" s="1"/>
  <c r="H46" i="29"/>
  <c r="H46" i="43" s="1"/>
  <c r="H40" i="29"/>
  <c r="H38" i="29"/>
  <c r="H38" i="43" s="1"/>
  <c r="H36" i="29"/>
  <c r="H34" i="29"/>
  <c r="H32" i="29"/>
  <c r="H32" i="43" s="1"/>
  <c r="H30" i="29"/>
  <c r="H30" i="43" s="1"/>
  <c r="H28" i="29"/>
  <c r="H26" i="29"/>
  <c r="H20" i="29"/>
  <c r="H18" i="29"/>
  <c r="H18" i="43" s="1"/>
  <c r="H16" i="29"/>
  <c r="H14" i="29"/>
  <c r="O16" i="36"/>
  <c r="H67" i="29"/>
  <c r="I17" i="1"/>
  <c r="G55" i="49" s="1"/>
  <c r="J22" i="31"/>
  <c r="I46" i="39"/>
  <c r="H44" i="40" s="1"/>
  <c r="H22" i="54"/>
  <c r="C5" i="50"/>
  <c r="C5" i="49"/>
  <c r="J67" i="18"/>
  <c r="K62" i="18"/>
  <c r="L62" i="18" s="1"/>
  <c r="M62" i="18" s="1"/>
  <c r="M67" i="18" s="1"/>
  <c r="I58" i="18"/>
  <c r="L46" i="31"/>
  <c r="L177" i="31"/>
  <c r="J46" i="31"/>
  <c r="J177" i="31"/>
  <c r="H46" i="31"/>
  <c r="H177" i="31"/>
  <c r="H300" i="31" s="1"/>
  <c r="K46" i="31"/>
  <c r="K177" i="31"/>
  <c r="I46" i="31"/>
  <c r="I177" i="31"/>
  <c r="L52" i="35"/>
  <c r="M52" i="35" s="1"/>
  <c r="K55" i="35"/>
  <c r="K32" i="35"/>
  <c r="I35" i="35"/>
  <c r="J55" i="35"/>
  <c r="K119" i="35"/>
  <c r="J58" i="18"/>
  <c r="K53" i="18"/>
  <c r="L53" i="18" s="1"/>
  <c r="M53" i="18" s="1"/>
  <c r="N53" i="18" s="1"/>
  <c r="O53" i="18" s="1"/>
  <c r="L87" i="18"/>
  <c r="I24" i="18"/>
  <c r="J24" i="18"/>
  <c r="H197" i="18"/>
  <c r="L117" i="18"/>
  <c r="G36" i="34"/>
  <c r="G11" i="34"/>
  <c r="I36" i="34"/>
  <c r="I11" i="34"/>
  <c r="F36" i="34"/>
  <c r="F11" i="34"/>
  <c r="H36" i="34"/>
  <c r="H11" i="34"/>
  <c r="J36" i="34"/>
  <c r="J11" i="34"/>
  <c r="H19" i="48"/>
  <c r="Q20" i="36"/>
  <c r="Q18" i="36"/>
  <c r="O69" i="36"/>
  <c r="O61" i="36"/>
  <c r="O53" i="36"/>
  <c r="O45" i="36"/>
  <c r="O37" i="36"/>
  <c r="O29" i="36"/>
  <c r="O21" i="36"/>
  <c r="AA10" i="29"/>
  <c r="H8" i="39"/>
  <c r="F8" i="40"/>
  <c r="AA10" i="43"/>
  <c r="G114" i="34"/>
  <c r="J241" i="24"/>
  <c r="C113" i="22"/>
  <c r="C68" i="22"/>
  <c r="W175" i="22"/>
  <c r="W165" i="22"/>
  <c r="I19" i="24"/>
  <c r="K19" i="24" s="1"/>
  <c r="L19" i="24" s="1"/>
  <c r="M19" i="24" s="1"/>
  <c r="N19" i="24" s="1"/>
  <c r="O19" i="24" s="1"/>
  <c r="P19" i="24" s="1"/>
  <c r="W168" i="22"/>
  <c r="W159" i="22"/>
  <c r="W151" i="22"/>
  <c r="G39" i="51"/>
  <c r="G28" i="51"/>
  <c r="G186" i="51"/>
  <c r="G164" i="51"/>
  <c r="G142" i="51"/>
  <c r="G116" i="51"/>
  <c r="G94" i="51"/>
  <c r="G72" i="51"/>
  <c r="G50" i="51"/>
  <c r="H71" i="51"/>
  <c r="F185" i="51"/>
  <c r="F115" i="51"/>
  <c r="F27" i="51"/>
  <c r="F174" i="51"/>
  <c r="F163" i="51"/>
  <c r="F152" i="51"/>
  <c r="F141" i="51"/>
  <c r="F130" i="51"/>
  <c r="F104" i="51"/>
  <c r="F93" i="51"/>
  <c r="F82" i="51"/>
  <c r="F71" i="51"/>
  <c r="F60" i="51"/>
  <c r="F49" i="51"/>
  <c r="F38" i="51"/>
  <c r="G175" i="51"/>
  <c r="G153" i="51"/>
  <c r="G131" i="51"/>
  <c r="G105" i="51"/>
  <c r="G83" i="51"/>
  <c r="I35" i="1"/>
  <c r="I31" i="1"/>
  <c r="I33" i="1"/>
  <c r="I24" i="1"/>
  <c r="G61" i="51"/>
  <c r="G37" i="38"/>
  <c r="G38" i="38"/>
  <c r="Q28" i="36"/>
  <c r="Q22" i="36"/>
  <c r="Q31" i="36"/>
  <c r="Q30" i="36"/>
  <c r="Q26" i="36"/>
  <c r="S8" i="36"/>
  <c r="S14" i="36" s="1"/>
  <c r="O67" i="36"/>
  <c r="O63" i="36"/>
  <c r="O59" i="36"/>
  <c r="O55" i="36"/>
  <c r="O51" i="36"/>
  <c r="O47" i="36"/>
  <c r="O43" i="36"/>
  <c r="O39" i="36"/>
  <c r="O35" i="36"/>
  <c r="O31" i="36"/>
  <c r="O27" i="36"/>
  <c r="O23" i="36"/>
  <c r="O19" i="36"/>
  <c r="H35" i="28"/>
  <c r="J35" i="28"/>
  <c r="F35" i="28"/>
  <c r="R24" i="36"/>
  <c r="R25" i="36"/>
  <c r="R23" i="36"/>
  <c r="AC13" i="29"/>
  <c r="AC138" i="29" s="1"/>
  <c r="AB138" i="29"/>
  <c r="Y41" i="36"/>
  <c r="F200" i="34"/>
  <c r="F157" i="34" s="1"/>
  <c r="H21" i="35"/>
  <c r="I129" i="51"/>
  <c r="F94" i="34"/>
  <c r="F86" i="34"/>
  <c r="F98" i="34"/>
  <c r="F82" i="34"/>
  <c r="F58" i="34"/>
  <c r="I35" i="28"/>
  <c r="G35" i="28"/>
  <c r="F45" i="28"/>
  <c r="I133" i="35"/>
  <c r="L100" i="35"/>
  <c r="J100" i="35"/>
  <c r="G8" i="37"/>
  <c r="I151" i="51"/>
  <c r="F184" i="51"/>
  <c r="F162" i="51"/>
  <c r="F173" i="51"/>
  <c r="F140" i="51"/>
  <c r="F114" i="51"/>
  <c r="F92" i="51"/>
  <c r="F48" i="51"/>
  <c r="F151" i="51"/>
  <c r="F129" i="51"/>
  <c r="F103" i="51"/>
  <c r="F70" i="51"/>
  <c r="F37" i="51"/>
  <c r="F42" i="34"/>
  <c r="F81" i="51"/>
  <c r="F59" i="51"/>
  <c r="F26" i="51"/>
  <c r="F120" i="34"/>
  <c r="I18" i="1"/>
  <c r="K16" i="18" s="1"/>
  <c r="H65" i="35"/>
  <c r="H72" i="35" s="1"/>
  <c r="H115" i="18"/>
  <c r="R27" i="36"/>
  <c r="R22" i="36"/>
  <c r="R14" i="36"/>
  <c r="Q14" i="36"/>
  <c r="Q16" i="36"/>
  <c r="Q24" i="36"/>
  <c r="Q32" i="36"/>
  <c r="Q19" i="36"/>
  <c r="Q25" i="36"/>
  <c r="Q21" i="36"/>
  <c r="Q34" i="36"/>
  <c r="Q27" i="36"/>
  <c r="Q33" i="36"/>
  <c r="Q23" i="36"/>
  <c r="Q29" i="36"/>
  <c r="T8" i="36"/>
  <c r="T14" i="36" s="1"/>
  <c r="O70" i="36"/>
  <c r="O68" i="36"/>
  <c r="O66" i="36"/>
  <c r="O64" i="36"/>
  <c r="O62" i="36"/>
  <c r="O60" i="36"/>
  <c r="O58" i="36"/>
  <c r="O56" i="36"/>
  <c r="O54" i="36"/>
  <c r="O52" i="36"/>
  <c r="O50" i="36"/>
  <c r="O48" i="36"/>
  <c r="O46" i="36"/>
  <c r="O44" i="36"/>
  <c r="O42" i="36"/>
  <c r="O40" i="36"/>
  <c r="O38" i="36"/>
  <c r="O36" i="36"/>
  <c r="O34" i="36"/>
  <c r="O32" i="36"/>
  <c r="O30" i="36"/>
  <c r="O28" i="36"/>
  <c r="O26" i="36"/>
  <c r="O24" i="36"/>
  <c r="O22" i="36"/>
  <c r="O20" i="36"/>
  <c r="O18" i="36"/>
  <c r="F198" i="34"/>
  <c r="F28" i="34" s="1"/>
  <c r="J34" i="1"/>
  <c r="K32" i="1"/>
  <c r="J30" i="1"/>
  <c r="K30" i="1" s="1"/>
  <c r="I29" i="1"/>
  <c r="J29" i="1" s="1"/>
  <c r="K28" i="1"/>
  <c r="L28" i="1" s="1"/>
  <c r="M28" i="1" s="1"/>
  <c r="M49" i="1" s="1"/>
  <c r="M71" i="34" s="1"/>
  <c r="I27" i="1"/>
  <c r="I26" i="1"/>
  <c r="G36" i="1"/>
  <c r="I23" i="31" s="1"/>
  <c r="I25" i="1"/>
  <c r="I23" i="1"/>
  <c r="I22" i="1"/>
  <c r="W169" i="22"/>
  <c r="W163" i="22"/>
  <c r="W154" i="22"/>
  <c r="W161" i="22"/>
  <c r="J54" i="29"/>
  <c r="J54" i="43" s="1"/>
  <c r="I57" i="48"/>
  <c r="J155" i="18" s="1"/>
  <c r="J125" i="35"/>
  <c r="H22" i="40"/>
  <c r="Y25" i="36"/>
  <c r="S118" i="43"/>
  <c r="T118" i="43" s="1"/>
  <c r="R138" i="43"/>
  <c r="G23" i="40"/>
  <c r="J20" i="39"/>
  <c r="H23" i="40" s="1"/>
  <c r="H134" i="29"/>
  <c r="H134" i="43" s="1"/>
  <c r="G134" i="43"/>
  <c r="V134" i="43" s="1"/>
  <c r="H132" i="29"/>
  <c r="H132" i="43" s="1"/>
  <c r="G132" i="43"/>
  <c r="V132" i="43" s="1"/>
  <c r="H129" i="29"/>
  <c r="H129" i="43" s="1"/>
  <c r="G129" i="43"/>
  <c r="V129" i="43" s="1"/>
  <c r="H127" i="29"/>
  <c r="H127" i="43" s="1"/>
  <c r="G127" i="43"/>
  <c r="V127" i="43" s="1"/>
  <c r="H120" i="29"/>
  <c r="H120" i="43" s="1"/>
  <c r="G120" i="43"/>
  <c r="V120" i="43" s="1"/>
  <c r="I116" i="29"/>
  <c r="I116" i="43" s="1"/>
  <c r="H110" i="29"/>
  <c r="H110" i="43" s="1"/>
  <c r="G110" i="43"/>
  <c r="V110" i="43" s="1"/>
  <c r="I102" i="29"/>
  <c r="I102" i="43" s="1"/>
  <c r="H102" i="43"/>
  <c r="H101" i="29"/>
  <c r="H101" i="43" s="1"/>
  <c r="G101" i="43"/>
  <c r="V101" i="43" s="1"/>
  <c r="H99" i="43"/>
  <c r="H98" i="29"/>
  <c r="H98" i="43" s="1"/>
  <c r="G98" i="43"/>
  <c r="V98" i="43" s="1"/>
  <c r="H96" i="29"/>
  <c r="H96" i="43" s="1"/>
  <c r="G96" i="43"/>
  <c r="V96" i="43" s="1"/>
  <c r="I93" i="29"/>
  <c r="I93" i="43" s="1"/>
  <c r="H92" i="29"/>
  <c r="H92" i="43" s="1"/>
  <c r="G92" i="43"/>
  <c r="V92" i="43" s="1"/>
  <c r="H89" i="29"/>
  <c r="H89" i="43" s="1"/>
  <c r="G89" i="43"/>
  <c r="V89" i="43" s="1"/>
  <c r="H86" i="29"/>
  <c r="H86" i="43" s="1"/>
  <c r="G86" i="43"/>
  <c r="V86" i="43" s="1"/>
  <c r="H81" i="29"/>
  <c r="H81" i="43" s="1"/>
  <c r="G81" i="43"/>
  <c r="V81" i="43" s="1"/>
  <c r="H79" i="29"/>
  <c r="H79" i="43" s="1"/>
  <c r="G79" i="43"/>
  <c r="V79" i="43" s="1"/>
  <c r="H76" i="29"/>
  <c r="H76" i="43" s="1"/>
  <c r="G76" i="43"/>
  <c r="V76" i="43" s="1"/>
  <c r="H74" i="29"/>
  <c r="H74" i="43" s="1"/>
  <c r="G74" i="43"/>
  <c r="V74" i="43" s="1"/>
  <c r="H72" i="29"/>
  <c r="H72" i="43" s="1"/>
  <c r="G72" i="43"/>
  <c r="V72" i="43" s="1"/>
  <c r="H59" i="29"/>
  <c r="H59" i="43" s="1"/>
  <c r="G59" i="43"/>
  <c r="V59" i="43" s="1"/>
  <c r="I57" i="29"/>
  <c r="I57" i="43" s="1"/>
  <c r="H137" i="29"/>
  <c r="H137" i="43" s="1"/>
  <c r="G137" i="43"/>
  <c r="V137" i="43" s="1"/>
  <c r="K69" i="1"/>
  <c r="I78" i="34"/>
  <c r="H78" i="34"/>
  <c r="H190" i="18"/>
  <c r="H70" i="18"/>
  <c r="I43" i="29"/>
  <c r="I41" i="29"/>
  <c r="I32" i="29"/>
  <c r="I31" i="29"/>
  <c r="I30" i="29"/>
  <c r="I22" i="29"/>
  <c r="I21" i="29"/>
  <c r="I18" i="29"/>
  <c r="H135" i="29"/>
  <c r="H135" i="43" s="1"/>
  <c r="G135" i="43"/>
  <c r="V135" i="43" s="1"/>
  <c r="H133" i="29"/>
  <c r="H133" i="43" s="1"/>
  <c r="G133" i="43"/>
  <c r="V133" i="43" s="1"/>
  <c r="H131" i="29"/>
  <c r="H130" i="29"/>
  <c r="H130" i="43" s="1"/>
  <c r="G130" i="43"/>
  <c r="V130" i="43" s="1"/>
  <c r="H128" i="29"/>
  <c r="H128" i="43" s="1"/>
  <c r="G128" i="43"/>
  <c r="V128" i="43" s="1"/>
  <c r="H126" i="29"/>
  <c r="H125" i="29"/>
  <c r="H125" i="43" s="1"/>
  <c r="G125" i="43"/>
  <c r="V125" i="43" s="1"/>
  <c r="H124" i="29"/>
  <c r="H123" i="29"/>
  <c r="H122" i="29"/>
  <c r="H121" i="29"/>
  <c r="H121" i="43" s="1"/>
  <c r="W121" i="43" s="1"/>
  <c r="G121" i="43"/>
  <c r="V121" i="43" s="1"/>
  <c r="H119" i="29"/>
  <c r="H118" i="29"/>
  <c r="H118" i="43" s="1"/>
  <c r="G118" i="43"/>
  <c r="V118" i="43" s="1"/>
  <c r="H115" i="29"/>
  <c r="H114" i="29"/>
  <c r="H113" i="29"/>
  <c r="H113" i="43" s="1"/>
  <c r="G113" i="43"/>
  <c r="V113" i="43" s="1"/>
  <c r="H109" i="29"/>
  <c r="H109" i="43" s="1"/>
  <c r="G109" i="43"/>
  <c r="V109" i="43" s="1"/>
  <c r="H106" i="29"/>
  <c r="H105" i="29"/>
  <c r="H104" i="29"/>
  <c r="H103" i="29"/>
  <c r="H103" i="43" s="1"/>
  <c r="G103" i="43"/>
  <c r="V103" i="43" s="1"/>
  <c r="H100" i="29"/>
  <c r="H100" i="43" s="1"/>
  <c r="W100" i="43" s="1"/>
  <c r="G100" i="43"/>
  <c r="V100" i="43" s="1"/>
  <c r="H97" i="29"/>
  <c r="H97" i="43" s="1"/>
  <c r="G97" i="43"/>
  <c r="V97" i="43" s="1"/>
  <c r="H95" i="29"/>
  <c r="H95" i="43" s="1"/>
  <c r="W95" i="43" s="1"/>
  <c r="G95" i="43"/>
  <c r="V95" i="43" s="1"/>
  <c r="H91" i="29"/>
  <c r="H90" i="29"/>
  <c r="H90" i="43" s="1"/>
  <c r="G90" i="43"/>
  <c r="V90" i="43" s="1"/>
  <c r="H88" i="29"/>
  <c r="H88" i="43" s="1"/>
  <c r="G88" i="43"/>
  <c r="V88" i="43" s="1"/>
  <c r="H85" i="29"/>
  <c r="H84" i="29"/>
  <c r="H84" i="43" s="1"/>
  <c r="W84" i="43" s="1"/>
  <c r="G84" i="43"/>
  <c r="V84" i="43" s="1"/>
  <c r="H83" i="29"/>
  <c r="H82" i="29"/>
  <c r="H82" i="43" s="1"/>
  <c r="G82" i="43"/>
  <c r="V82" i="43" s="1"/>
  <c r="H80" i="29"/>
  <c r="H80" i="43" s="1"/>
  <c r="G80" i="43"/>
  <c r="V80" i="43" s="1"/>
  <c r="H78" i="29"/>
  <c r="H77" i="29"/>
  <c r="H77" i="43" s="1"/>
  <c r="W77" i="43" s="1"/>
  <c r="G77" i="43"/>
  <c r="V77" i="43" s="1"/>
  <c r="H75" i="29"/>
  <c r="H75" i="43" s="1"/>
  <c r="G75" i="43"/>
  <c r="V75" i="43" s="1"/>
  <c r="H73" i="29"/>
  <c r="H73" i="43" s="1"/>
  <c r="W73" i="43" s="1"/>
  <c r="G73" i="43"/>
  <c r="V73" i="43" s="1"/>
  <c r="H71" i="29"/>
  <c r="H71" i="43" s="1"/>
  <c r="G71" i="43"/>
  <c r="V71" i="43" s="1"/>
  <c r="H63" i="29"/>
  <c r="H55" i="29"/>
  <c r="H55" i="43" s="1"/>
  <c r="G55" i="43"/>
  <c r="V55" i="43" s="1"/>
  <c r="H136" i="29"/>
  <c r="H46" i="39"/>
  <c r="F44" i="40" s="1"/>
  <c r="G99" i="13"/>
  <c r="AH99" i="13" s="1"/>
  <c r="G93" i="13"/>
  <c r="AH93" i="13" s="1"/>
  <c r="G91" i="13"/>
  <c r="AH91" i="13" s="1"/>
  <c r="G89" i="13"/>
  <c r="AH89" i="13" s="1"/>
  <c r="G85" i="13"/>
  <c r="AH85" i="13" s="1"/>
  <c r="E93" i="13"/>
  <c r="AI93" i="13" s="1"/>
  <c r="E64" i="13"/>
  <c r="AI64" i="13" s="1"/>
  <c r="E58" i="13"/>
  <c r="AI58" i="13" s="1"/>
  <c r="E57" i="13"/>
  <c r="AI57" i="13" s="1"/>
  <c r="E53" i="13"/>
  <c r="AI53" i="13" s="1"/>
  <c r="S31" i="13"/>
  <c r="Q155" i="43"/>
  <c r="Q157" i="43" s="1"/>
  <c r="AB155" i="43"/>
  <c r="I55" i="35"/>
  <c r="H58" i="35"/>
  <c r="E156" i="13"/>
  <c r="AI156" i="13" s="1"/>
  <c r="J124" i="13"/>
  <c r="S124" i="13" s="1"/>
  <c r="L55" i="35"/>
  <c r="J48" i="35"/>
  <c r="K46" i="35"/>
  <c r="L198" i="18"/>
  <c r="M87" i="18"/>
  <c r="L115" i="35"/>
  <c r="M113" i="35"/>
  <c r="N113" i="35" s="1"/>
  <c r="O113" i="35" s="1"/>
  <c r="J62" i="13"/>
  <c r="S62" i="13" s="1"/>
  <c r="J54" i="13"/>
  <c r="S54" i="13" s="1"/>
  <c r="E86" i="13"/>
  <c r="AI86" i="13" s="1"/>
  <c r="K24" i="48"/>
  <c r="L24" i="48" s="1"/>
  <c r="M24" i="48" s="1"/>
  <c r="N24" i="48" s="1"/>
  <c r="AF65" i="13"/>
  <c r="K46" i="39"/>
  <c r="I44" i="40" s="1"/>
  <c r="J88" i="13"/>
  <c r="S88" i="13" s="1"/>
  <c r="J68" i="13"/>
  <c r="S68" i="13" s="1"/>
  <c r="N112" i="35"/>
  <c r="K20" i="39"/>
  <c r="K21" i="39"/>
  <c r="Y58" i="36"/>
  <c r="Y44" i="36"/>
  <c r="G44" i="40"/>
  <c r="E127" i="13"/>
  <c r="AI127" i="13" s="1"/>
  <c r="E87" i="13"/>
  <c r="AI87" i="13" s="1"/>
  <c r="F64" i="38"/>
  <c r="S23" i="13"/>
  <c r="I48" i="35"/>
  <c r="I122" i="35"/>
  <c r="M66" i="35"/>
  <c r="L200" i="35" s="1"/>
  <c r="K78" i="18"/>
  <c r="G64" i="38"/>
  <c r="N19" i="18"/>
  <c r="O19" i="18" s="1"/>
  <c r="I67" i="18"/>
  <c r="N45" i="35"/>
  <c r="O45" i="35" s="1"/>
  <c r="V14" i="43"/>
  <c r="V16" i="43"/>
  <c r="V18" i="43"/>
  <c r="V20" i="43"/>
  <c r="V22" i="43"/>
  <c r="V53" i="43"/>
  <c r="V24" i="43"/>
  <c r="V26" i="43"/>
  <c r="V28" i="43"/>
  <c r="V30" i="43"/>
  <c r="V32" i="43"/>
  <c r="V34" i="43"/>
  <c r="V36" i="43"/>
  <c r="V38" i="43"/>
  <c r="V40" i="43"/>
  <c r="V42" i="43"/>
  <c r="V44" i="43"/>
  <c r="V46" i="43"/>
  <c r="V48" i="43"/>
  <c r="V50" i="43"/>
  <c r="V52" i="43"/>
  <c r="V54" i="43"/>
  <c r="V61" i="43"/>
  <c r="V63" i="43"/>
  <c r="V65" i="43"/>
  <c r="V67" i="43"/>
  <c r="V69" i="43"/>
  <c r="V56" i="43"/>
  <c r="V58" i="43"/>
  <c r="V62" i="43"/>
  <c r="V64" i="43"/>
  <c r="V66" i="43"/>
  <c r="V68" i="43"/>
  <c r="V70" i="43"/>
  <c r="V78" i="43"/>
  <c r="V83" i="43"/>
  <c r="V85" i="43"/>
  <c r="V87" i="43"/>
  <c r="V91" i="43"/>
  <c r="V93" i="43"/>
  <c r="V99" i="43"/>
  <c r="V105" i="43"/>
  <c r="V111" i="43"/>
  <c r="V115" i="43"/>
  <c r="V117" i="43"/>
  <c r="V119" i="43"/>
  <c r="V123" i="43"/>
  <c r="V131" i="43"/>
  <c r="V102" i="43"/>
  <c r="V104" i="43"/>
  <c r="V106" i="43"/>
  <c r="V108" i="43"/>
  <c r="V114" i="43"/>
  <c r="V116" i="43"/>
  <c r="V122" i="43"/>
  <c r="V124" i="43"/>
  <c r="V126" i="43"/>
  <c r="V136" i="43"/>
  <c r="V154" i="43"/>
  <c r="V152" i="43"/>
  <c r="V146" i="43"/>
  <c r="V151" i="43"/>
  <c r="V148" i="43"/>
  <c r="V153" i="43"/>
  <c r="V150" i="43"/>
  <c r="V149" i="43"/>
  <c r="V147" i="43"/>
  <c r="W149" i="43"/>
  <c r="I169" i="48"/>
  <c r="J170" i="35" s="1"/>
  <c r="H129" i="48"/>
  <c r="I168" i="35" s="1"/>
  <c r="H85" i="48"/>
  <c r="I166" i="35" s="1"/>
  <c r="H149" i="48"/>
  <c r="I169" i="35" s="1"/>
  <c r="K12" i="48"/>
  <c r="L12" i="48" s="1"/>
  <c r="K52" i="48"/>
  <c r="J57" i="48"/>
  <c r="K155" i="18" s="1"/>
  <c r="J81" i="48"/>
  <c r="I85" i="48"/>
  <c r="J166" i="35" s="1"/>
  <c r="K137" i="48"/>
  <c r="L137" i="48" s="1"/>
  <c r="M137" i="48" s="1"/>
  <c r="N137" i="48" s="1"/>
  <c r="J94" i="48"/>
  <c r="K94" i="48" s="1"/>
  <c r="L94" i="48" s="1"/>
  <c r="M94" i="48" s="1"/>
  <c r="N94" i="48" s="1"/>
  <c r="I97" i="48"/>
  <c r="J157" i="18" s="1"/>
  <c r="L14" i="48"/>
  <c r="M14" i="48" s="1"/>
  <c r="N14" i="48" s="1"/>
  <c r="K116" i="48"/>
  <c r="J121" i="48"/>
  <c r="K158" i="18" s="1"/>
  <c r="K196" i="48"/>
  <c r="J177" i="48"/>
  <c r="I181" i="48"/>
  <c r="J161" i="18" s="1"/>
  <c r="J13" i="48"/>
  <c r="K13" i="48" s="1"/>
  <c r="L13" i="48" s="1"/>
  <c r="M13" i="48" s="1"/>
  <c r="N13" i="48" s="1"/>
  <c r="I17" i="48"/>
  <c r="J153" i="18" s="1"/>
  <c r="M156" i="48"/>
  <c r="N156" i="48" s="1"/>
  <c r="N161" i="48" s="1"/>
  <c r="O160" i="18" s="1"/>
  <c r="M176" i="48"/>
  <c r="N176" i="48" s="1"/>
  <c r="J72" i="48"/>
  <c r="M32" i="48"/>
  <c r="N32" i="48" s="1"/>
  <c r="L36" i="48"/>
  <c r="M36" i="48" s="1"/>
  <c r="N36" i="48" s="1"/>
  <c r="H209" i="48"/>
  <c r="K145" i="48"/>
  <c r="L145" i="48" s="1"/>
  <c r="M145" i="48" s="1"/>
  <c r="N145" i="48" s="1"/>
  <c r="J149" i="48"/>
  <c r="K169" i="35" s="1"/>
  <c r="J186" i="48"/>
  <c r="J102" i="48"/>
  <c r="I105" i="48"/>
  <c r="J167" i="35" s="1"/>
  <c r="J127" i="48"/>
  <c r="I129" i="48"/>
  <c r="J168" i="35" s="1"/>
  <c r="K166" i="48"/>
  <c r="L166" i="48" s="1"/>
  <c r="M166" i="48" s="1"/>
  <c r="N166" i="48" s="1"/>
  <c r="J169" i="48"/>
  <c r="K170" i="35" s="1"/>
  <c r="J205" i="48"/>
  <c r="I209" i="48"/>
  <c r="J172" i="35" s="1"/>
  <c r="L165" i="48"/>
  <c r="M165" i="48" s="1"/>
  <c r="N165" i="48" s="1"/>
  <c r="I45" i="48"/>
  <c r="J164" i="35" s="1"/>
  <c r="L204" i="48"/>
  <c r="M184" i="48"/>
  <c r="N184" i="48" s="1"/>
  <c r="M124" i="48"/>
  <c r="N124" i="48" s="1"/>
  <c r="L144" i="48"/>
  <c r="M164" i="48"/>
  <c r="N164" i="48" s="1"/>
  <c r="N169" i="48" s="1"/>
  <c r="O170" i="35" s="1"/>
  <c r="K60" i="48"/>
  <c r="L60" i="48" s="1"/>
  <c r="J65" i="48"/>
  <c r="K165" i="35" s="1"/>
  <c r="M40" i="48"/>
  <c r="N40" i="48" s="1"/>
  <c r="I65" i="48"/>
  <c r="J165" i="35" s="1"/>
  <c r="L80" i="48"/>
  <c r="F246" i="24"/>
  <c r="M100" i="48"/>
  <c r="N100" i="48" s="1"/>
  <c r="H15" i="18"/>
  <c r="H17" i="18" s="1"/>
  <c r="H26" i="18" s="1"/>
  <c r="H189" i="18" s="1"/>
  <c r="I144" i="43"/>
  <c r="R140" i="43"/>
  <c r="G155" i="43"/>
  <c r="V140" i="43"/>
  <c r="H142" i="43"/>
  <c r="V142" i="43"/>
  <c r="H145" i="43"/>
  <c r="V145" i="43"/>
  <c r="H141" i="43"/>
  <c r="V141" i="43"/>
  <c r="V143" i="43"/>
  <c r="V144" i="43"/>
  <c r="D252" i="24"/>
  <c r="D423" i="24"/>
  <c r="D387" i="24"/>
  <c r="D264" i="24"/>
  <c r="D375" i="24"/>
  <c r="J17" i="31"/>
  <c r="K17" i="31" s="1"/>
  <c r="L17" i="31" s="1"/>
  <c r="M17" i="31" s="1"/>
  <c r="N17" i="31" s="1"/>
  <c r="O17" i="31" s="1"/>
  <c r="F433" i="24"/>
  <c r="F427" i="24"/>
  <c r="F425" i="24"/>
  <c r="F423" i="24"/>
  <c r="F421" i="24"/>
  <c r="F409" i="24"/>
  <c r="F407" i="24"/>
  <c r="F403" i="24"/>
  <c r="F401" i="24"/>
  <c r="F399" i="24"/>
  <c r="F397" i="24"/>
  <c r="F393" i="24"/>
  <c r="F391" i="24"/>
  <c r="F389" i="24"/>
  <c r="F387" i="24"/>
  <c r="F385" i="24"/>
  <c r="F379" i="24"/>
  <c r="F373" i="24"/>
  <c r="F369" i="24"/>
  <c r="F367" i="24"/>
  <c r="F365" i="24"/>
  <c r="F363" i="24"/>
  <c r="F361" i="24"/>
  <c r="F359" i="24"/>
  <c r="F355" i="24"/>
  <c r="F353" i="24"/>
  <c r="F351" i="24"/>
  <c r="F349" i="24"/>
  <c r="F334" i="24"/>
  <c r="F328" i="24"/>
  <c r="F322" i="24"/>
  <c r="F320" i="24"/>
  <c r="F318" i="24"/>
  <c r="F316" i="24"/>
  <c r="F310" i="24"/>
  <c r="F308" i="24"/>
  <c r="F306" i="24"/>
  <c r="F304" i="24"/>
  <c r="F300" i="24"/>
  <c r="F298" i="24"/>
  <c r="F296" i="24"/>
  <c r="F294" i="24"/>
  <c r="F292" i="24"/>
  <c r="F286" i="24"/>
  <c r="F284" i="24"/>
  <c r="F280" i="24"/>
  <c r="F278" i="24"/>
  <c r="F274" i="24"/>
  <c r="F268" i="24"/>
  <c r="F262" i="24"/>
  <c r="F256" i="24"/>
  <c r="F250" i="24"/>
  <c r="F434" i="24"/>
  <c r="F432" i="24"/>
  <c r="F430" i="24"/>
  <c r="F428" i="24"/>
  <c r="F426" i="24"/>
  <c r="F424" i="24"/>
  <c r="F422" i="24"/>
  <c r="F420" i="24"/>
  <c r="F418" i="24"/>
  <c r="F410" i="24"/>
  <c r="F408" i="24"/>
  <c r="F404" i="24"/>
  <c r="F402" i="24"/>
  <c r="F400" i="24"/>
  <c r="F398" i="24"/>
  <c r="F396" i="24"/>
  <c r="F392" i="24"/>
  <c r="F390" i="24"/>
  <c r="F386" i="24"/>
  <c r="F384" i="24"/>
  <c r="F382" i="24"/>
  <c r="F380" i="24"/>
  <c r="F378" i="24"/>
  <c r="F376" i="24"/>
  <c r="F374" i="24"/>
  <c r="F372" i="24"/>
  <c r="F368" i="24"/>
  <c r="F366" i="24"/>
  <c r="F364" i="24"/>
  <c r="F362" i="24"/>
  <c r="F360" i="24"/>
  <c r="F356" i="24"/>
  <c r="F354" i="24"/>
  <c r="F352" i="24"/>
  <c r="F350" i="24"/>
  <c r="F348" i="24"/>
  <c r="F346" i="24"/>
  <c r="F335" i="24"/>
  <c r="F333" i="24"/>
  <c r="F331" i="24"/>
  <c r="F329" i="24"/>
  <c r="F327" i="24"/>
  <c r="F325" i="24"/>
  <c r="F323" i="24"/>
  <c r="F321" i="24"/>
  <c r="F319" i="24"/>
  <c r="F317" i="24"/>
  <c r="F315" i="24"/>
  <c r="F313" i="24"/>
  <c r="F311" i="24"/>
  <c r="F309" i="24"/>
  <c r="F307" i="24"/>
  <c r="F305" i="24"/>
  <c r="F303" i="24"/>
  <c r="F301" i="24"/>
  <c r="F299" i="24"/>
  <c r="F297" i="24"/>
  <c r="F289" i="24"/>
  <c r="F287" i="24"/>
  <c r="F281" i="24"/>
  <c r="F259" i="24"/>
  <c r="H140" i="43"/>
  <c r="T13" i="43"/>
  <c r="AD138" i="43"/>
  <c r="AC140" i="43"/>
  <c r="AC155" i="43" s="1"/>
  <c r="N273" i="31"/>
  <c r="O273" i="31" s="1"/>
  <c r="N272" i="31"/>
  <c r="O272" i="31" s="1"/>
  <c r="N271" i="31"/>
  <c r="O271" i="31" s="1"/>
  <c r="N269" i="31"/>
  <c r="O269" i="31" s="1"/>
  <c r="N113" i="31"/>
  <c r="O113" i="31" s="1"/>
  <c r="N111" i="31"/>
  <c r="O111" i="31" s="1"/>
  <c r="N103" i="31"/>
  <c r="O103" i="31" s="1"/>
  <c r="N100" i="31"/>
  <c r="O100" i="31" s="1"/>
  <c r="N85" i="31"/>
  <c r="O85" i="31" s="1"/>
  <c r="N86" i="31"/>
  <c r="O86" i="31" s="1"/>
  <c r="N80" i="31"/>
  <c r="O80" i="31" s="1"/>
  <c r="N78" i="31"/>
  <c r="O78" i="31" s="1"/>
  <c r="N72" i="31"/>
  <c r="O72" i="31" s="1"/>
  <c r="N69" i="31"/>
  <c r="O69" i="31" s="1"/>
  <c r="N70" i="31"/>
  <c r="O70" i="31" s="1"/>
  <c r="N67" i="31"/>
  <c r="O67" i="31" s="1"/>
  <c r="N62" i="31"/>
  <c r="O62" i="31" s="1"/>
  <c r="N59" i="31"/>
  <c r="O59" i="31" s="1"/>
  <c r="L104" i="1"/>
  <c r="M104" i="1" s="1"/>
  <c r="L100" i="1"/>
  <c r="M100" i="1" s="1"/>
  <c r="H75" i="1"/>
  <c r="J61" i="1"/>
  <c r="J60" i="1"/>
  <c r="I75" i="1"/>
  <c r="R31" i="36"/>
  <c r="R29" i="36"/>
  <c r="U8" i="36"/>
  <c r="R17" i="36"/>
  <c r="R16" i="36"/>
  <c r="N234" i="31"/>
  <c r="O234" i="31" s="1"/>
  <c r="N65" i="31"/>
  <c r="O65" i="31" s="1"/>
  <c r="N73" i="31"/>
  <c r="O73" i="31" s="1"/>
  <c r="N81" i="31"/>
  <c r="O81" i="31" s="1"/>
  <c r="N89" i="31"/>
  <c r="O89" i="31" s="1"/>
  <c r="N106" i="31"/>
  <c r="O106" i="31" s="1"/>
  <c r="N114" i="31"/>
  <c r="O114" i="31" s="1"/>
  <c r="N122" i="31"/>
  <c r="O122" i="31" s="1"/>
  <c r="N130" i="31"/>
  <c r="O130" i="31" s="1"/>
  <c r="N138" i="31"/>
  <c r="O138" i="31" s="1"/>
  <c r="N154" i="31"/>
  <c r="O154" i="31" s="1"/>
  <c r="N162" i="31"/>
  <c r="O162" i="31" s="1"/>
  <c r="N170" i="31"/>
  <c r="O170" i="31" s="1"/>
  <c r="N186" i="31"/>
  <c r="O186" i="31" s="1"/>
  <c r="N194" i="31"/>
  <c r="O194" i="31" s="1"/>
  <c r="N202" i="31"/>
  <c r="O202" i="31" s="1"/>
  <c r="N210" i="31"/>
  <c r="O210" i="31" s="1"/>
  <c r="N218" i="31"/>
  <c r="O218" i="31" s="1"/>
  <c r="N226" i="31"/>
  <c r="O226" i="31" s="1"/>
  <c r="N242" i="31"/>
  <c r="O242" i="31" s="1"/>
  <c r="N250" i="31"/>
  <c r="O250" i="31" s="1"/>
  <c r="N258" i="31"/>
  <c r="O258" i="31" s="1"/>
  <c r="N266" i="31"/>
  <c r="O266" i="31" s="1"/>
  <c r="N274" i="31"/>
  <c r="O274" i="31" s="1"/>
  <c r="N282" i="31"/>
  <c r="O282" i="31" s="1"/>
  <c r="N290" i="31"/>
  <c r="O290" i="31" s="1"/>
  <c r="N298" i="31"/>
  <c r="O298" i="31" s="1"/>
  <c r="R28" i="36"/>
  <c r="R18" i="36"/>
  <c r="R34" i="36"/>
  <c r="R30" i="36"/>
  <c r="R32" i="36"/>
  <c r="Z8" i="36"/>
  <c r="R19" i="36"/>
  <c r="R21" i="36"/>
  <c r="R33" i="36"/>
  <c r="R26" i="36"/>
  <c r="F31" i="37"/>
  <c r="F34" i="37" s="1"/>
  <c r="Y29" i="36"/>
  <c r="Y22" i="36"/>
  <c r="Y15" i="36"/>
  <c r="N97" i="31"/>
  <c r="O97" i="31" s="1"/>
  <c r="N57" i="31"/>
  <c r="O57" i="31" s="1"/>
  <c r="M15" i="36"/>
  <c r="F42" i="37"/>
  <c r="G42" i="37" s="1"/>
  <c r="H15" i="37" s="1"/>
  <c r="H42" i="37" s="1"/>
  <c r="I15" i="37" s="1"/>
  <c r="I42" i="37" s="1"/>
  <c r="J15" i="37" s="1"/>
  <c r="J42" i="37" s="1"/>
  <c r="K15" i="37" s="1"/>
  <c r="K42" i="37" s="1"/>
  <c r="L15" i="37" s="1"/>
  <c r="L42" i="37" s="1"/>
  <c r="K36" i="13"/>
  <c r="F50" i="49" s="1"/>
  <c r="D399" i="24"/>
  <c r="D351" i="24"/>
  <c r="D411" i="24"/>
  <c r="D363" i="24"/>
  <c r="H34" i="31"/>
  <c r="F417" i="24"/>
  <c r="F405" i="24"/>
  <c r="F395" i="24"/>
  <c r="F371" i="24"/>
  <c r="F357" i="24"/>
  <c r="F347" i="24"/>
  <c r="F345" i="24"/>
  <c r="F290" i="24"/>
  <c r="F288" i="24"/>
  <c r="F276" i="24"/>
  <c r="F266" i="24"/>
  <c r="F252" i="24"/>
  <c r="D318" i="24"/>
  <c r="I32" i="31"/>
  <c r="I27" i="31"/>
  <c r="H28" i="31"/>
  <c r="H31" i="31"/>
  <c r="L288" i="31"/>
  <c r="M288" i="31" s="1"/>
  <c r="N288" i="31" s="1"/>
  <c r="O288" i="31" s="1"/>
  <c r="F412" i="24"/>
  <c r="F406" i="24"/>
  <c r="F394" i="24"/>
  <c r="F388" i="24"/>
  <c r="F383" i="24"/>
  <c r="F381" i="24"/>
  <c r="F377" i="24"/>
  <c r="F375" i="24"/>
  <c r="K261" i="31"/>
  <c r="L261" i="31" s="1"/>
  <c r="M261" i="31" s="1"/>
  <c r="D246" i="24"/>
  <c r="D270" i="24"/>
  <c r="D282" i="24"/>
  <c r="D357" i="24"/>
  <c r="D381" i="24"/>
  <c r="D393" i="24"/>
  <c r="D405" i="24"/>
  <c r="D417" i="24"/>
  <c r="D429" i="24"/>
  <c r="J196" i="31"/>
  <c r="J204" i="31"/>
  <c r="J220" i="31"/>
  <c r="J270" i="31"/>
  <c r="J286" i="31"/>
  <c r="J156" i="31"/>
  <c r="F431" i="24"/>
  <c r="F429" i="24"/>
  <c r="F419" i="24"/>
  <c r="F370" i="24"/>
  <c r="F358" i="24"/>
  <c r="F332" i="24"/>
  <c r="F330" i="24"/>
  <c r="F326" i="24"/>
  <c r="F324" i="24"/>
  <c r="F314" i="24"/>
  <c r="F312" i="24"/>
  <c r="F302" i="24"/>
  <c r="F295" i="24"/>
  <c r="F283" i="24"/>
  <c r="F277" i="24"/>
  <c r="F265" i="24"/>
  <c r="F253" i="24"/>
  <c r="F247" i="24"/>
  <c r="I26" i="31"/>
  <c r="M124" i="31"/>
  <c r="N124" i="31" s="1"/>
  <c r="M279" i="31"/>
  <c r="N279" i="31" s="1"/>
  <c r="L201" i="31"/>
  <c r="M201" i="31" s="1"/>
  <c r="N201" i="31" s="1"/>
  <c r="K247" i="31"/>
  <c r="J30" i="31"/>
  <c r="J198" i="31"/>
  <c r="J197" i="31"/>
  <c r="J214" i="31"/>
  <c r="J230" i="31"/>
  <c r="J229" i="31"/>
  <c r="J237" i="31"/>
  <c r="J260" i="31"/>
  <c r="J294" i="31"/>
  <c r="J292" i="31"/>
  <c r="J166" i="31"/>
  <c r="K166" i="31" s="1"/>
  <c r="J158" i="31"/>
  <c r="J118" i="31"/>
  <c r="K118" i="31" s="1"/>
  <c r="I33" i="31"/>
  <c r="J61" i="31"/>
  <c r="K61" i="31" s="1"/>
  <c r="I29" i="31"/>
  <c r="L215" i="31"/>
  <c r="D258" i="24"/>
  <c r="D294" i="24"/>
  <c r="D306" i="24"/>
  <c r="D330" i="24"/>
  <c r="I30" i="31"/>
  <c r="K149" i="31"/>
  <c r="K84" i="31"/>
  <c r="K180" i="31"/>
  <c r="K75" i="31"/>
  <c r="K105" i="31"/>
  <c r="K189" i="31"/>
  <c r="K117" i="31"/>
  <c r="H13" i="1"/>
  <c r="I13" i="1" s="1"/>
  <c r="J13" i="1" s="1"/>
  <c r="K13" i="1" s="1"/>
  <c r="L13" i="1" s="1"/>
  <c r="M13" i="1" s="1"/>
  <c r="L268" i="31"/>
  <c r="M268" i="31" s="1"/>
  <c r="I77" i="18"/>
  <c r="I83" i="18" s="1"/>
  <c r="C19" i="22"/>
  <c r="C38" i="22" s="1"/>
  <c r="H45" i="28"/>
  <c r="J45" i="28"/>
  <c r="F39" i="37"/>
  <c r="H77" i="18"/>
  <c r="H83" i="18" s="1"/>
  <c r="H192" i="18" s="1"/>
  <c r="G175" i="34"/>
  <c r="F130" i="34"/>
  <c r="I185" i="34"/>
  <c r="F180" i="34"/>
  <c r="I165" i="34"/>
  <c r="K43" i="48"/>
  <c r="J45" i="48"/>
  <c r="J160" i="18"/>
  <c r="G27" i="38"/>
  <c r="I132" i="29"/>
  <c r="I132" i="43" s="1"/>
  <c r="X132" i="43" s="1"/>
  <c r="I127" i="29"/>
  <c r="I127" i="43" s="1"/>
  <c r="X127" i="43" s="1"/>
  <c r="I103" i="29"/>
  <c r="I103" i="43" s="1"/>
  <c r="X103" i="43" s="1"/>
  <c r="I97" i="29"/>
  <c r="I97" i="43" s="1"/>
  <c r="X97" i="43" s="1"/>
  <c r="I90" i="29"/>
  <c r="I90" i="43" s="1"/>
  <c r="X90" i="43" s="1"/>
  <c r="I75" i="29"/>
  <c r="I75" i="43" s="1"/>
  <c r="X75" i="43" s="1"/>
  <c r="I71" i="29"/>
  <c r="I71" i="43" s="1"/>
  <c r="X71" i="43" s="1"/>
  <c r="I137" i="29"/>
  <c r="I137" i="43" s="1"/>
  <c r="Q70" i="36"/>
  <c r="R70" i="36"/>
  <c r="Q68" i="36"/>
  <c r="R68" i="36"/>
  <c r="Q66" i="36"/>
  <c r="R66" i="36"/>
  <c r="Q64" i="36"/>
  <c r="R64" i="36"/>
  <c r="Q62" i="36"/>
  <c r="R62" i="36"/>
  <c r="Q60" i="36"/>
  <c r="R60" i="36"/>
  <c r="Q58" i="36"/>
  <c r="R58" i="36"/>
  <c r="Q56" i="36"/>
  <c r="R56" i="36"/>
  <c r="R54" i="36"/>
  <c r="Q54" i="36"/>
  <c r="R52" i="36"/>
  <c r="Q52" i="36"/>
  <c r="Q50" i="36"/>
  <c r="R50" i="36"/>
  <c r="Q48" i="36"/>
  <c r="R48" i="36"/>
  <c r="Q46" i="36"/>
  <c r="R46" i="36"/>
  <c r="Q44" i="36"/>
  <c r="R44" i="36"/>
  <c r="Q42" i="36"/>
  <c r="R42" i="36"/>
  <c r="Q40" i="36"/>
  <c r="R40" i="36"/>
  <c r="R38" i="36"/>
  <c r="Q38" i="36"/>
  <c r="R36" i="36"/>
  <c r="Q36" i="36"/>
  <c r="S13" i="29"/>
  <c r="R138" i="29"/>
  <c r="I130" i="29"/>
  <c r="I130" i="43" s="1"/>
  <c r="X130" i="43" s="1"/>
  <c r="I118" i="29"/>
  <c r="I118" i="43" s="1"/>
  <c r="X118" i="43" s="1"/>
  <c r="J102" i="29"/>
  <c r="J102" i="43" s="1"/>
  <c r="I86" i="29"/>
  <c r="I86" i="43" s="1"/>
  <c r="I79" i="29"/>
  <c r="I79" i="43" s="1"/>
  <c r="I74" i="29"/>
  <c r="I74" i="43" s="1"/>
  <c r="X74" i="43" s="1"/>
  <c r="I59" i="29"/>
  <c r="I59" i="43" s="1"/>
  <c r="X59" i="43" s="1"/>
  <c r="Q69" i="36"/>
  <c r="R69" i="36"/>
  <c r="Q67" i="36"/>
  <c r="R67" i="36"/>
  <c r="Q65" i="36"/>
  <c r="R65" i="36"/>
  <c r="R63" i="36"/>
  <c r="Q63" i="36"/>
  <c r="Q61" i="36"/>
  <c r="R61" i="36"/>
  <c r="Q59" i="36"/>
  <c r="R59" i="36"/>
  <c r="Q57" i="36"/>
  <c r="R57" i="36"/>
  <c r="R55" i="36"/>
  <c r="Q55" i="36"/>
  <c r="R53" i="36"/>
  <c r="Q53" i="36"/>
  <c r="R51" i="36"/>
  <c r="Q51" i="36"/>
  <c r="Q49" i="36"/>
  <c r="R49" i="36"/>
  <c r="Q47" i="36"/>
  <c r="R47" i="36"/>
  <c r="Q45" i="36"/>
  <c r="R45" i="36"/>
  <c r="Q43" i="36"/>
  <c r="R43" i="36"/>
  <c r="Q41" i="36"/>
  <c r="R41" i="36"/>
  <c r="Q39" i="36"/>
  <c r="R39" i="36"/>
  <c r="Q37" i="36"/>
  <c r="R37" i="36"/>
  <c r="Q35" i="36"/>
  <c r="R35" i="36"/>
  <c r="J52" i="39"/>
  <c r="I55" i="39"/>
  <c r="L54" i="18"/>
  <c r="L20" i="18"/>
  <c r="K24" i="18"/>
  <c r="J191" i="18"/>
  <c r="L297" i="31"/>
  <c r="M297" i="31" s="1"/>
  <c r="J94" i="31"/>
  <c r="J108" i="31"/>
  <c r="J190" i="31"/>
  <c r="J185" i="31"/>
  <c r="J182" i="31"/>
  <c r="K161" i="31"/>
  <c r="J150" i="31"/>
  <c r="J134" i="31"/>
  <c r="J129" i="31"/>
  <c r="J126" i="31"/>
  <c r="K110" i="31"/>
  <c r="J96" i="31"/>
  <c r="J93" i="31"/>
  <c r="J88" i="31"/>
  <c r="K77" i="31"/>
  <c r="J64" i="31"/>
  <c r="J181" i="31"/>
  <c r="J157" i="31"/>
  <c r="J125" i="31"/>
  <c r="J109" i="31"/>
  <c r="J92" i="31"/>
  <c r="J76" i="31"/>
  <c r="J188" i="31"/>
  <c r="J164" i="31"/>
  <c r="J148" i="31"/>
  <c r="J132" i="31"/>
  <c r="J116" i="31"/>
  <c r="J83" i="31"/>
  <c r="L51" i="31"/>
  <c r="K52" i="31"/>
  <c r="F38" i="1"/>
  <c r="H23" i="31"/>
  <c r="C54" i="22"/>
  <c r="D4" i="22"/>
  <c r="C96" i="22"/>
  <c r="Y23" i="36" l="1"/>
  <c r="Y30" i="36"/>
  <c r="Y37" i="36"/>
  <c r="Y35" i="36"/>
  <c r="Y49" i="36"/>
  <c r="AB157" i="43"/>
  <c r="Y43" i="36"/>
  <c r="Y27" i="36"/>
  <c r="Y20" i="36"/>
  <c r="Y40" i="36"/>
  <c r="Y47" i="36"/>
  <c r="Y54" i="36"/>
  <c r="Y61" i="36"/>
  <c r="Y51" i="36"/>
  <c r="Y65" i="36"/>
  <c r="Y68" i="36"/>
  <c r="Y48" i="36"/>
  <c r="Y55" i="36"/>
  <c r="Y62" i="36"/>
  <c r="Y69" i="36"/>
  <c r="Y28" i="36"/>
  <c r="Y42" i="36"/>
  <c r="Y57" i="36"/>
  <c r="T46" i="36"/>
  <c r="H145" i="34"/>
  <c r="G140" i="34"/>
  <c r="I175" i="34"/>
  <c r="F135" i="34"/>
  <c r="G165" i="34"/>
  <c r="G170" i="34"/>
  <c r="I150" i="34"/>
  <c r="F140" i="34"/>
  <c r="F185" i="34"/>
  <c r="H155" i="34"/>
  <c r="F175" i="34"/>
  <c r="J155" i="34"/>
  <c r="F150" i="34"/>
  <c r="G150" i="34"/>
  <c r="H190" i="34"/>
  <c r="J116" i="51"/>
  <c r="I90" i="34"/>
  <c r="H129" i="51"/>
  <c r="L56" i="31"/>
  <c r="L49" i="24"/>
  <c r="L251" i="24"/>
  <c r="L55" i="31"/>
  <c r="L250" i="24"/>
  <c r="L48" i="24"/>
  <c r="K249" i="24"/>
  <c r="K47" i="24"/>
  <c r="L247" i="24"/>
  <c r="L45" i="24"/>
  <c r="K46" i="24"/>
  <c r="K248" i="24"/>
  <c r="M51" i="31"/>
  <c r="M246" i="24"/>
  <c r="M44" i="24"/>
  <c r="L246" i="24"/>
  <c r="L44" i="24"/>
  <c r="N115" i="35"/>
  <c r="O112" i="35"/>
  <c r="O115" i="35" s="1"/>
  <c r="T62" i="13"/>
  <c r="Q55" i="13"/>
  <c r="Q53" i="13"/>
  <c r="Q67" i="13"/>
  <c r="Q62" i="13"/>
  <c r="T55" i="13"/>
  <c r="H90" i="13"/>
  <c r="AG90" i="13" s="1"/>
  <c r="H88" i="13"/>
  <c r="AG88" i="13" s="1"/>
  <c r="T61" i="13"/>
  <c r="G95" i="13"/>
  <c r="AH95" i="13" s="1"/>
  <c r="H98" i="13"/>
  <c r="AG98" i="13" s="1"/>
  <c r="Q61" i="13"/>
  <c r="H96" i="13"/>
  <c r="AG96" i="13" s="1"/>
  <c r="T65" i="13"/>
  <c r="G97" i="13"/>
  <c r="AH97" i="13" s="1"/>
  <c r="K94" i="13"/>
  <c r="U94" i="13" s="1"/>
  <c r="O55" i="13"/>
  <c r="AE55" i="13" s="1"/>
  <c r="O65" i="13"/>
  <c r="AE65" i="13" s="1"/>
  <c r="H91" i="13"/>
  <c r="AG91" i="13" s="1"/>
  <c r="K85" i="13"/>
  <c r="U85" i="13" s="1"/>
  <c r="K99" i="13"/>
  <c r="U99" i="13" s="1"/>
  <c r="G88" i="13"/>
  <c r="AH88" i="13" s="1"/>
  <c r="O62" i="13"/>
  <c r="AE62" i="13" s="1"/>
  <c r="H82" i="13"/>
  <c r="AG82" i="13" s="1"/>
  <c r="K87" i="13"/>
  <c r="U87" i="13" s="1"/>
  <c r="K97" i="13"/>
  <c r="U97" i="13" s="1"/>
  <c r="T53" i="13"/>
  <c r="T67" i="13"/>
  <c r="O49" i="13"/>
  <c r="K92" i="13"/>
  <c r="U92" i="13" s="1"/>
  <c r="K136" i="18"/>
  <c r="G37" i="49" s="1"/>
  <c r="N37" i="48"/>
  <c r="O154" i="18" s="1"/>
  <c r="S138" i="43"/>
  <c r="T138" i="43"/>
  <c r="I44" i="29"/>
  <c r="J66" i="29"/>
  <c r="J66" i="43" s="1"/>
  <c r="O66" i="43" s="1"/>
  <c r="I24" i="29"/>
  <c r="I38" i="29"/>
  <c r="J38" i="29" s="1"/>
  <c r="I87" i="29"/>
  <c r="J93" i="29"/>
  <c r="J93" i="43" s="1"/>
  <c r="O93" i="43" s="1"/>
  <c r="I101" i="29"/>
  <c r="I101" i="43" s="1"/>
  <c r="X101" i="43" s="1"/>
  <c r="I125" i="29"/>
  <c r="I125" i="43" s="1"/>
  <c r="X125" i="43" s="1"/>
  <c r="I113" i="29"/>
  <c r="I113" i="43" s="1"/>
  <c r="X113" i="43" s="1"/>
  <c r="I133" i="29"/>
  <c r="I133" i="43" s="1"/>
  <c r="N133" i="43" s="1"/>
  <c r="I82" i="29"/>
  <c r="I82" i="43" s="1"/>
  <c r="I121" i="29"/>
  <c r="I121" i="43" s="1"/>
  <c r="X121" i="43" s="1"/>
  <c r="I100" i="29"/>
  <c r="I100" i="43" s="1"/>
  <c r="N100" i="43" s="1"/>
  <c r="J57" i="29"/>
  <c r="J57" i="43" s="1"/>
  <c r="O57" i="43" s="1"/>
  <c r="I84" i="29"/>
  <c r="I84" i="43" s="1"/>
  <c r="X84" i="43" s="1"/>
  <c r="H138" i="29"/>
  <c r="I73" i="29"/>
  <c r="I73" i="43" s="1"/>
  <c r="X73" i="43" s="1"/>
  <c r="I117" i="43"/>
  <c r="N117" i="43" s="1"/>
  <c r="J117" i="29"/>
  <c r="J117" i="43" s="1"/>
  <c r="Y117" i="43" s="1"/>
  <c r="I94" i="43"/>
  <c r="X94" i="43" s="1"/>
  <c r="J94" i="29"/>
  <c r="J94" i="43" s="1"/>
  <c r="Y94" i="43" s="1"/>
  <c r="H117" i="43"/>
  <c r="M117" i="43" s="1"/>
  <c r="I96" i="29"/>
  <c r="I96" i="43" s="1"/>
  <c r="N96" i="43" s="1"/>
  <c r="I128" i="29"/>
  <c r="I128" i="43" s="1"/>
  <c r="X128" i="43" s="1"/>
  <c r="I55" i="29"/>
  <c r="I55" i="43" s="1"/>
  <c r="X55" i="43" s="1"/>
  <c r="I48" i="29"/>
  <c r="I48" i="43" s="1"/>
  <c r="X48" i="43" s="1"/>
  <c r="H94" i="43"/>
  <c r="W94" i="43" s="1"/>
  <c r="I29" i="29"/>
  <c r="X29" i="29" s="1"/>
  <c r="I46" i="29"/>
  <c r="I46" i="43" s="1"/>
  <c r="X46" i="43" s="1"/>
  <c r="I76" i="29"/>
  <c r="I76" i="43" s="1"/>
  <c r="N76" i="43" s="1"/>
  <c r="I89" i="29"/>
  <c r="I89" i="43" s="1"/>
  <c r="X89" i="43" s="1"/>
  <c r="J99" i="29"/>
  <c r="J99" i="43" s="1"/>
  <c r="Y99" i="43" s="1"/>
  <c r="I77" i="29"/>
  <c r="I77" i="43" s="1"/>
  <c r="X77" i="43" s="1"/>
  <c r="I95" i="29"/>
  <c r="I95" i="43" s="1"/>
  <c r="X95" i="43" s="1"/>
  <c r="I69" i="29"/>
  <c r="X69" i="29" s="1"/>
  <c r="H53" i="43"/>
  <c r="M53" i="43" s="1"/>
  <c r="I53" i="29"/>
  <c r="X53" i="29" s="1"/>
  <c r="I112" i="43"/>
  <c r="N112" i="43" s="1"/>
  <c r="J112" i="29"/>
  <c r="J112" i="43" s="1"/>
  <c r="Y112" i="43" s="1"/>
  <c r="I88" i="29"/>
  <c r="I88" i="43" s="1"/>
  <c r="X88" i="43" s="1"/>
  <c r="J116" i="29"/>
  <c r="J116" i="43" s="1"/>
  <c r="Y116" i="43" s="1"/>
  <c r="I129" i="29"/>
  <c r="I129" i="43" s="1"/>
  <c r="N129" i="43" s="1"/>
  <c r="I65" i="29"/>
  <c r="I65" i="43" s="1"/>
  <c r="X65" i="43" s="1"/>
  <c r="I107" i="29"/>
  <c r="J107" i="29" s="1"/>
  <c r="H112" i="43"/>
  <c r="W112" i="43" s="1"/>
  <c r="I72" i="29"/>
  <c r="I72" i="43" s="1"/>
  <c r="X72" i="43" s="1"/>
  <c r="I81" i="29"/>
  <c r="I81" i="43" s="1"/>
  <c r="X81" i="43" s="1"/>
  <c r="I92" i="29"/>
  <c r="I92" i="43" s="1"/>
  <c r="N92" i="43" s="1"/>
  <c r="I98" i="29"/>
  <c r="I98" i="43" s="1"/>
  <c r="N98" i="43" s="1"/>
  <c r="I110" i="29"/>
  <c r="I110" i="43" s="1"/>
  <c r="X110" i="43" s="1"/>
  <c r="I135" i="29"/>
  <c r="I135" i="43" s="1"/>
  <c r="X135" i="43" s="1"/>
  <c r="I80" i="29"/>
  <c r="I80" i="43" s="1"/>
  <c r="X80" i="43" s="1"/>
  <c r="H42" i="43"/>
  <c r="W42" i="43" s="1"/>
  <c r="I42" i="29"/>
  <c r="X42" i="29" s="1"/>
  <c r="I109" i="29"/>
  <c r="I109" i="43" s="1"/>
  <c r="N109" i="43" s="1"/>
  <c r="I120" i="29"/>
  <c r="I120" i="43" s="1"/>
  <c r="X120" i="43" s="1"/>
  <c r="I134" i="29"/>
  <c r="I134" i="43" s="1"/>
  <c r="X134" i="43" s="1"/>
  <c r="I60" i="29"/>
  <c r="I60" i="43" s="1"/>
  <c r="X60" i="43" s="1"/>
  <c r="I19" i="29"/>
  <c r="I19" i="43" s="1"/>
  <c r="X19" i="43" s="1"/>
  <c r="I27" i="29"/>
  <c r="J27" i="29" s="1"/>
  <c r="H68" i="43"/>
  <c r="M68" i="43" s="1"/>
  <c r="I68" i="29"/>
  <c r="X68" i="29" s="1"/>
  <c r="H100" i="13"/>
  <c r="AG100" i="13" s="1"/>
  <c r="AG68" i="13"/>
  <c r="K95" i="13"/>
  <c r="U95" i="13" s="1"/>
  <c r="K84" i="13"/>
  <c r="U84" i="13" s="1"/>
  <c r="H86" i="13"/>
  <c r="AG86" i="13" s="1"/>
  <c r="H99" i="13"/>
  <c r="AG99" i="13" s="1"/>
  <c r="H89" i="13"/>
  <c r="AG89" i="13" s="1"/>
  <c r="AG57" i="13"/>
  <c r="H95" i="13"/>
  <c r="AG95" i="13" s="1"/>
  <c r="AG63" i="13"/>
  <c r="H81" i="13"/>
  <c r="AG81" i="13" s="1"/>
  <c r="AG49" i="13"/>
  <c r="H84" i="13"/>
  <c r="AG84" i="13" s="1"/>
  <c r="AG52" i="13"/>
  <c r="K86" i="13"/>
  <c r="U86" i="13" s="1"/>
  <c r="H92" i="13"/>
  <c r="AG92" i="13" s="1"/>
  <c r="AG60" i="13"/>
  <c r="H93" i="13"/>
  <c r="AG93" i="13" s="1"/>
  <c r="K88" i="13"/>
  <c r="U88" i="13" s="1"/>
  <c r="H83" i="13"/>
  <c r="AG83" i="13" s="1"/>
  <c r="H97" i="13"/>
  <c r="AG97" i="13" s="1"/>
  <c r="AG65" i="13"/>
  <c r="H87" i="13"/>
  <c r="AG87" i="13" s="1"/>
  <c r="AG55" i="13"/>
  <c r="T63" i="13"/>
  <c r="O52" i="13"/>
  <c r="AE52" i="13" s="1"/>
  <c r="T54" i="13"/>
  <c r="O56" i="13"/>
  <c r="AE56" i="13" s="1"/>
  <c r="O60" i="13"/>
  <c r="AE60" i="13" s="1"/>
  <c r="T68" i="13"/>
  <c r="K118" i="13"/>
  <c r="U118" i="13" s="1"/>
  <c r="K120" i="13"/>
  <c r="U120" i="13" s="1"/>
  <c r="O63" i="13"/>
  <c r="AE63" i="13" s="1"/>
  <c r="Q52" i="13"/>
  <c r="O54" i="13"/>
  <c r="AE54" i="13" s="1"/>
  <c r="Q56" i="13"/>
  <c r="Q60" i="13"/>
  <c r="O68" i="13"/>
  <c r="AE68" i="13" s="1"/>
  <c r="K98" i="13"/>
  <c r="U98" i="13" s="1"/>
  <c r="Q63" i="13"/>
  <c r="T52" i="13"/>
  <c r="Q54" i="13"/>
  <c r="T56" i="13"/>
  <c r="T60" i="13"/>
  <c r="Q68" i="13"/>
  <c r="F167" i="34"/>
  <c r="X149" i="43"/>
  <c r="Y54" i="43"/>
  <c r="W71" i="43"/>
  <c r="W75" i="43"/>
  <c r="W97" i="43"/>
  <c r="W103" i="43"/>
  <c r="W130" i="43"/>
  <c r="J115" i="18"/>
  <c r="H62" i="34"/>
  <c r="G173" i="51"/>
  <c r="H42" i="34"/>
  <c r="H48" i="51"/>
  <c r="I184" i="51"/>
  <c r="H50" i="34"/>
  <c r="H74" i="34"/>
  <c r="H81" i="51"/>
  <c r="I103" i="51"/>
  <c r="D82" i="22"/>
  <c r="F54" i="49"/>
  <c r="F18" i="49"/>
  <c r="F8" i="49"/>
  <c r="I22" i="40"/>
  <c r="J44" i="40"/>
  <c r="L21" i="39"/>
  <c r="J24" i="40" s="1"/>
  <c r="L20" i="39"/>
  <c r="J23" i="40" s="1"/>
  <c r="T63" i="36"/>
  <c r="T64" i="36"/>
  <c r="K115" i="18"/>
  <c r="J78" i="34"/>
  <c r="C76" i="47"/>
  <c r="O279" i="31"/>
  <c r="O201" i="31"/>
  <c r="O124" i="31"/>
  <c r="W128" i="43"/>
  <c r="W76" i="43"/>
  <c r="W81" i="43"/>
  <c r="S38" i="36"/>
  <c r="S56" i="36"/>
  <c r="F172" i="34"/>
  <c r="AD13" i="29"/>
  <c r="AD138" i="29" s="1"/>
  <c r="F122" i="34"/>
  <c r="F147" i="34"/>
  <c r="M156" i="34"/>
  <c r="H39" i="51"/>
  <c r="M155" i="34"/>
  <c r="O65" i="35"/>
  <c r="W89" i="29"/>
  <c r="H184" i="51"/>
  <c r="O77" i="18"/>
  <c r="M70" i="34"/>
  <c r="M72" i="34" s="1"/>
  <c r="I50" i="51"/>
  <c r="I82" i="51"/>
  <c r="I116" i="51"/>
  <c r="I104" i="51"/>
  <c r="G93" i="51"/>
  <c r="I140" i="34"/>
  <c r="H130" i="51"/>
  <c r="H132" i="51" s="1"/>
  <c r="H160" i="34"/>
  <c r="H185" i="34"/>
  <c r="G190" i="34"/>
  <c r="F145" i="34"/>
  <c r="G130" i="34"/>
  <c r="H165" i="34"/>
  <c r="H125" i="34"/>
  <c r="F170" i="34"/>
  <c r="G145" i="34"/>
  <c r="G160" i="34"/>
  <c r="I155" i="34"/>
  <c r="H180" i="34"/>
  <c r="K165" i="34"/>
  <c r="J165" i="34"/>
  <c r="H152" i="51"/>
  <c r="G152" i="51"/>
  <c r="H150" i="34"/>
  <c r="G135" i="34"/>
  <c r="I180" i="34"/>
  <c r="I160" i="34"/>
  <c r="F125" i="34"/>
  <c r="F190" i="34"/>
  <c r="F165" i="34"/>
  <c r="G185" i="34"/>
  <c r="H140" i="34"/>
  <c r="H170" i="34"/>
  <c r="L105" i="51"/>
  <c r="H120" i="34"/>
  <c r="G27" i="51"/>
  <c r="H38" i="51"/>
  <c r="G185" i="51"/>
  <c r="H142" i="51"/>
  <c r="T17" i="36"/>
  <c r="T49" i="36"/>
  <c r="T55" i="36"/>
  <c r="T53" i="36"/>
  <c r="T59" i="36"/>
  <c r="T20" i="36"/>
  <c r="AI36" i="13"/>
  <c r="I72" i="51"/>
  <c r="J131" i="51"/>
  <c r="S19" i="36"/>
  <c r="G49" i="51"/>
  <c r="J104" i="51"/>
  <c r="G141" i="51"/>
  <c r="G163" i="51"/>
  <c r="G38" i="51"/>
  <c r="G82" i="51"/>
  <c r="H115" i="51"/>
  <c r="H163" i="51"/>
  <c r="H135" i="34"/>
  <c r="I170" i="34"/>
  <c r="H130" i="34"/>
  <c r="J175" i="34"/>
  <c r="H28" i="51"/>
  <c r="I94" i="51"/>
  <c r="K153" i="51"/>
  <c r="I190" i="34"/>
  <c r="G71" i="51"/>
  <c r="H104" i="51"/>
  <c r="I141" i="51"/>
  <c r="I163" i="51"/>
  <c r="H49" i="51"/>
  <c r="H51" i="51" s="1"/>
  <c r="H93" i="51"/>
  <c r="G130" i="51"/>
  <c r="I174" i="51"/>
  <c r="H164" i="51"/>
  <c r="H186" i="51"/>
  <c r="K131" i="51"/>
  <c r="I39" i="51"/>
  <c r="K105" i="51"/>
  <c r="J175" i="51"/>
  <c r="H82" i="51"/>
  <c r="G115" i="51"/>
  <c r="J152" i="51"/>
  <c r="H174" i="51"/>
  <c r="G60" i="51"/>
  <c r="G104" i="51"/>
  <c r="I130" i="51"/>
  <c r="I132" i="51" s="1"/>
  <c r="W129" i="43"/>
  <c r="S36" i="36"/>
  <c r="S54" i="36"/>
  <c r="S51" i="36"/>
  <c r="S52" i="36"/>
  <c r="S31" i="36"/>
  <c r="S22" i="36"/>
  <c r="Y24" i="36"/>
  <c r="Y56" i="36"/>
  <c r="Y31" i="36"/>
  <c r="Y63" i="36"/>
  <c r="Y38" i="36"/>
  <c r="Y70" i="36"/>
  <c r="Y45" i="36"/>
  <c r="Y60" i="36"/>
  <c r="Y67" i="36"/>
  <c r="Y17" i="36"/>
  <c r="Y50" i="36"/>
  <c r="Y36" i="36"/>
  <c r="Y59" i="36"/>
  <c r="Y52" i="36"/>
  <c r="S61" i="36"/>
  <c r="S42" i="36"/>
  <c r="S66" i="36"/>
  <c r="S57" i="36"/>
  <c r="S50" i="36"/>
  <c r="S62" i="36"/>
  <c r="Y32" i="36"/>
  <c r="Y64" i="36"/>
  <c r="Y39" i="36"/>
  <c r="Y14" i="36"/>
  <c r="Y46" i="36"/>
  <c r="Y21" i="36"/>
  <c r="Y53" i="36"/>
  <c r="Y19" i="36"/>
  <c r="Y26" i="36"/>
  <c r="Y33" i="36"/>
  <c r="S28" i="36"/>
  <c r="Y18" i="36"/>
  <c r="Y16" i="36"/>
  <c r="Y66" i="36"/>
  <c r="K161" i="48"/>
  <c r="L160" i="18" s="1"/>
  <c r="J141" i="48"/>
  <c r="K159" i="18" s="1"/>
  <c r="H214" i="48"/>
  <c r="H39" i="48"/>
  <c r="H59" i="48" s="1"/>
  <c r="H79" i="48" s="1"/>
  <c r="H99" i="48" s="1"/>
  <c r="H123" i="48" s="1"/>
  <c r="H143" i="48" s="1"/>
  <c r="H163" i="48" s="1"/>
  <c r="H183" i="48" s="1"/>
  <c r="H203" i="48" s="1"/>
  <c r="I163" i="18"/>
  <c r="J37" i="48"/>
  <c r="K154" i="18" s="1"/>
  <c r="J201" i="48"/>
  <c r="K162" i="18" s="1"/>
  <c r="J97" i="48"/>
  <c r="K157" i="18" s="1"/>
  <c r="L161" i="48"/>
  <c r="M160" i="18" s="1"/>
  <c r="I215" i="48"/>
  <c r="H215" i="48"/>
  <c r="M161" i="48"/>
  <c r="N160" i="18" s="1"/>
  <c r="I125" i="35"/>
  <c r="I205" i="35" s="1"/>
  <c r="F70" i="38" s="1"/>
  <c r="J58" i="35"/>
  <c r="F63" i="38"/>
  <c r="I58" i="35"/>
  <c r="I198" i="35" s="1"/>
  <c r="K83" i="13"/>
  <c r="K115" i="13" s="1"/>
  <c r="Q18" i="13"/>
  <c r="T18" i="13" s="1"/>
  <c r="U18" i="13" s="1"/>
  <c r="K82" i="13"/>
  <c r="O50" i="13"/>
  <c r="S51" i="13"/>
  <c r="P51" i="13"/>
  <c r="Z51" i="13"/>
  <c r="AB18" i="13"/>
  <c r="AC18" i="13"/>
  <c r="O51" i="13"/>
  <c r="T58" i="13"/>
  <c r="K90" i="13"/>
  <c r="U90" i="13" s="1"/>
  <c r="K69" i="13"/>
  <c r="G50" i="49" s="1"/>
  <c r="O58" i="13"/>
  <c r="AE58" i="13" s="1"/>
  <c r="M81" i="13"/>
  <c r="M69" i="13"/>
  <c r="AF49" i="13"/>
  <c r="Q58" i="13"/>
  <c r="Q51" i="13"/>
  <c r="O36" i="13"/>
  <c r="J184" i="18"/>
  <c r="G21" i="38" s="1"/>
  <c r="N62" i="18"/>
  <c r="L67" i="18"/>
  <c r="M197" i="18" s="1"/>
  <c r="K67" i="18"/>
  <c r="H63" i="38" s="1"/>
  <c r="T35" i="36"/>
  <c r="S37" i="36"/>
  <c r="S43" i="36"/>
  <c r="S59" i="36"/>
  <c r="S65" i="36"/>
  <c r="T67" i="36"/>
  <c r="T69" i="36"/>
  <c r="T36" i="36"/>
  <c r="T38" i="36"/>
  <c r="T42" i="36"/>
  <c r="S44" i="36"/>
  <c r="S48" i="36"/>
  <c r="T52" i="36"/>
  <c r="T58" i="36"/>
  <c r="T66" i="36"/>
  <c r="T68" i="36"/>
  <c r="S30" i="36"/>
  <c r="T27" i="36"/>
  <c r="T33" i="36"/>
  <c r="T19" i="36"/>
  <c r="S17" i="36"/>
  <c r="S16" i="36"/>
  <c r="S35" i="36"/>
  <c r="T37" i="36"/>
  <c r="T39" i="36"/>
  <c r="T41" i="36"/>
  <c r="S45" i="36"/>
  <c r="S47" i="36"/>
  <c r="S49" i="36"/>
  <c r="T51" i="36"/>
  <c r="S53" i="36"/>
  <c r="S63" i="36"/>
  <c r="S67" i="36"/>
  <c r="S69" i="36"/>
  <c r="S40" i="36"/>
  <c r="T44" i="36"/>
  <c r="T48" i="36"/>
  <c r="T54" i="36"/>
  <c r="S60" i="36"/>
  <c r="S64" i="36"/>
  <c r="S70" i="36"/>
  <c r="S25" i="36"/>
  <c r="T34" i="36"/>
  <c r="T25" i="36"/>
  <c r="H101" i="35"/>
  <c r="H105" i="35" s="1"/>
  <c r="S18" i="36"/>
  <c r="S39" i="36"/>
  <c r="S41" i="36"/>
  <c r="T43" i="36"/>
  <c r="T45" i="36"/>
  <c r="T47" i="36"/>
  <c r="S55" i="36"/>
  <c r="T57" i="36"/>
  <c r="T61" i="36"/>
  <c r="T65" i="36"/>
  <c r="T40" i="36"/>
  <c r="S46" i="36"/>
  <c r="T50" i="36"/>
  <c r="T56" i="36"/>
  <c r="S58" i="36"/>
  <c r="T60" i="36"/>
  <c r="T62" i="36"/>
  <c r="S68" i="36"/>
  <c r="S29" i="36"/>
  <c r="T16" i="36"/>
  <c r="V8" i="36"/>
  <c r="AD8" i="36" s="1"/>
  <c r="AD16" i="36" s="1"/>
  <c r="S34" i="36"/>
  <c r="S32" i="36"/>
  <c r="G63" i="38"/>
  <c r="E99" i="13"/>
  <c r="AI99" i="13" s="1"/>
  <c r="AI67" i="13"/>
  <c r="E152" i="13"/>
  <c r="E184" i="13" s="1"/>
  <c r="J184" i="13" s="1"/>
  <c r="S184" i="13" s="1"/>
  <c r="AI120" i="13"/>
  <c r="J120" i="13"/>
  <c r="S120" i="13" s="1"/>
  <c r="G81" i="13"/>
  <c r="AH81" i="13" s="1"/>
  <c r="H129" i="13"/>
  <c r="AG129" i="13" s="1"/>
  <c r="H128" i="13"/>
  <c r="AG128" i="13" s="1"/>
  <c r="Q86" i="13"/>
  <c r="K121" i="13"/>
  <c r="U121" i="13" s="1"/>
  <c r="T89" i="13"/>
  <c r="Q89" i="13"/>
  <c r="O89" i="13"/>
  <c r="K131" i="13"/>
  <c r="U131" i="13" s="1"/>
  <c r="Q99" i="13"/>
  <c r="O99" i="13"/>
  <c r="AE99" i="13" s="1"/>
  <c r="T99" i="13"/>
  <c r="T66" i="13"/>
  <c r="Q66" i="13"/>
  <c r="O66" i="13"/>
  <c r="AE66" i="13" s="1"/>
  <c r="O96" i="13"/>
  <c r="T96" i="13"/>
  <c r="Q96" i="13"/>
  <c r="H118" i="13"/>
  <c r="AG118" i="13" s="1"/>
  <c r="E114" i="13"/>
  <c r="AI82" i="13"/>
  <c r="H123" i="13"/>
  <c r="AG123" i="13" s="1"/>
  <c r="K128" i="13"/>
  <c r="U128" i="13" s="1"/>
  <c r="T88" i="13"/>
  <c r="K132" i="13"/>
  <c r="U132" i="13" s="1"/>
  <c r="O100" i="13"/>
  <c r="T100" i="13"/>
  <c r="Q100" i="13"/>
  <c r="H122" i="13"/>
  <c r="AG122" i="13" s="1"/>
  <c r="K114" i="13"/>
  <c r="H127" i="13"/>
  <c r="AG127" i="13" s="1"/>
  <c r="AH69" i="13"/>
  <c r="AI49" i="13"/>
  <c r="T92" i="13"/>
  <c r="H126" i="13"/>
  <c r="AG126" i="13" s="1"/>
  <c r="K125" i="13"/>
  <c r="U125" i="13" s="1"/>
  <c r="T93" i="13"/>
  <c r="Q93" i="13"/>
  <c r="O93" i="13"/>
  <c r="AE93" i="13" s="1"/>
  <c r="J57" i="13"/>
  <c r="S57" i="13" s="1"/>
  <c r="E148" i="13"/>
  <c r="AI116" i="13"/>
  <c r="H117" i="13"/>
  <c r="AG117" i="13" s="1"/>
  <c r="H132" i="13"/>
  <c r="AG132" i="13" s="1"/>
  <c r="H116" i="13"/>
  <c r="AG116" i="13" s="1"/>
  <c r="K113" i="13"/>
  <c r="O81" i="13"/>
  <c r="K123" i="13"/>
  <c r="U123" i="13" s="1"/>
  <c r="Q91" i="13"/>
  <c r="O91" i="13"/>
  <c r="AE91" i="13" s="1"/>
  <c r="T91" i="13"/>
  <c r="K119" i="13"/>
  <c r="U119" i="13" s="1"/>
  <c r="Q87" i="13"/>
  <c r="O87" i="13"/>
  <c r="AE87" i="13" s="1"/>
  <c r="T87" i="13"/>
  <c r="I81" i="13"/>
  <c r="K155" i="34"/>
  <c r="K58" i="18"/>
  <c r="AF90" i="13"/>
  <c r="AF53" i="13"/>
  <c r="AF93" i="13"/>
  <c r="AF66" i="13"/>
  <c r="AF67" i="13"/>
  <c r="AF97" i="13"/>
  <c r="AF99" i="13"/>
  <c r="AF82" i="13"/>
  <c r="AF58" i="13"/>
  <c r="AF86" i="13"/>
  <c r="E100" i="13"/>
  <c r="AI100" i="13" s="1"/>
  <c r="AF55" i="13"/>
  <c r="G87" i="13"/>
  <c r="AH87" i="13" s="1"/>
  <c r="AE67" i="13"/>
  <c r="AF62" i="13"/>
  <c r="AF63" i="13"/>
  <c r="J94" i="13"/>
  <c r="S94" i="13" s="1"/>
  <c r="E123" i="13"/>
  <c r="AI123" i="13" s="1"/>
  <c r="E126" i="13"/>
  <c r="AI126" i="13" s="1"/>
  <c r="AF91" i="13"/>
  <c r="J91" i="13"/>
  <c r="S91" i="13" s="1"/>
  <c r="G84" i="13"/>
  <c r="AH84" i="13" s="1"/>
  <c r="E98" i="13"/>
  <c r="AI98" i="13" s="1"/>
  <c r="J66" i="13"/>
  <c r="S66" i="13" s="1"/>
  <c r="AF96" i="13"/>
  <c r="G100" i="13"/>
  <c r="AH100" i="13" s="1"/>
  <c r="AF68" i="13"/>
  <c r="J67" i="13"/>
  <c r="S67" i="13" s="1"/>
  <c r="G96" i="13"/>
  <c r="AH96" i="13" s="1"/>
  <c r="G92" i="13"/>
  <c r="AH92" i="13" s="1"/>
  <c r="E97" i="13"/>
  <c r="AI97" i="13" s="1"/>
  <c r="J65" i="13"/>
  <c r="S65" i="13" s="1"/>
  <c r="H14" i="43"/>
  <c r="W14" i="43" s="1"/>
  <c r="I14" i="29"/>
  <c r="X14" i="29" s="1"/>
  <c r="H26" i="43"/>
  <c r="W26" i="43" s="1"/>
  <c r="I26" i="29"/>
  <c r="X26" i="29" s="1"/>
  <c r="H34" i="43"/>
  <c r="W34" i="43" s="1"/>
  <c r="I34" i="29"/>
  <c r="X34" i="29" s="1"/>
  <c r="H111" i="43"/>
  <c r="W111" i="43" s="1"/>
  <c r="I111" i="29"/>
  <c r="X111" i="29" s="1"/>
  <c r="I58" i="43"/>
  <c r="X58" i="43" s="1"/>
  <c r="J58" i="29"/>
  <c r="J58" i="43" s="1"/>
  <c r="O58" i="43" s="1"/>
  <c r="G38" i="40"/>
  <c r="J16" i="39"/>
  <c r="G25" i="40"/>
  <c r="G26" i="40" s="1"/>
  <c r="K22" i="31"/>
  <c r="J17" i="1"/>
  <c r="H55" i="49" s="1"/>
  <c r="AF60" i="13"/>
  <c r="H16" i="43"/>
  <c r="W16" i="43" s="1"/>
  <c r="I16" i="29"/>
  <c r="X16" i="29" s="1"/>
  <c r="H28" i="43"/>
  <c r="W28" i="43" s="1"/>
  <c r="I28" i="29"/>
  <c r="X28" i="29" s="1"/>
  <c r="H36" i="43"/>
  <c r="W36" i="43" s="1"/>
  <c r="I36" i="29"/>
  <c r="X36" i="29" s="1"/>
  <c r="G82" i="13"/>
  <c r="AH82" i="13" s="1"/>
  <c r="G90" i="13"/>
  <c r="AH90" i="13" s="1"/>
  <c r="G98" i="13"/>
  <c r="AH98" i="13" s="1"/>
  <c r="H17" i="43"/>
  <c r="W17" i="43" s="1"/>
  <c r="I17" i="29"/>
  <c r="X17" i="29" s="1"/>
  <c r="H35" i="43"/>
  <c r="W35" i="43" s="1"/>
  <c r="I35" i="29"/>
  <c r="X35" i="29" s="1"/>
  <c r="H45" i="43"/>
  <c r="M45" i="43" s="1"/>
  <c r="I45" i="29"/>
  <c r="X45" i="29" s="1"/>
  <c r="G115" i="13"/>
  <c r="AH115" i="13" s="1"/>
  <c r="H37" i="43"/>
  <c r="W37" i="43" s="1"/>
  <c r="I37" i="29"/>
  <c r="X37" i="29" s="1"/>
  <c r="H47" i="43"/>
  <c r="M47" i="43" s="1"/>
  <c r="I47" i="29"/>
  <c r="X47" i="29" s="1"/>
  <c r="I70" i="43"/>
  <c r="X70" i="43" s="1"/>
  <c r="J70" i="29"/>
  <c r="J70" i="43" s="1"/>
  <c r="Y70" i="43" s="1"/>
  <c r="I61" i="43"/>
  <c r="X61" i="43" s="1"/>
  <c r="J61" i="29"/>
  <c r="J61" i="43" s="1"/>
  <c r="Y61" i="43" s="1"/>
  <c r="E115" i="13"/>
  <c r="AI115" i="13" s="1"/>
  <c r="J83" i="13"/>
  <c r="H67" i="43"/>
  <c r="M67" i="43" s="1"/>
  <c r="I67" i="29"/>
  <c r="H50" i="43"/>
  <c r="W50" i="43" s="1"/>
  <c r="I50" i="29"/>
  <c r="X50" i="29" s="1"/>
  <c r="I62" i="43"/>
  <c r="X62" i="43" s="1"/>
  <c r="J62" i="29"/>
  <c r="J62" i="43" s="1"/>
  <c r="Y62" i="43" s="1"/>
  <c r="H23" i="43"/>
  <c r="W23" i="43" s="1"/>
  <c r="I23" i="29"/>
  <c r="X23" i="29" s="1"/>
  <c r="AF56" i="13"/>
  <c r="H20" i="43"/>
  <c r="W20" i="43" s="1"/>
  <c r="I20" i="29"/>
  <c r="X20" i="29" s="1"/>
  <c r="H40" i="43"/>
  <c r="W40" i="43" s="1"/>
  <c r="I40" i="29"/>
  <c r="X40" i="29" s="1"/>
  <c r="H52" i="43"/>
  <c r="W52" i="43" s="1"/>
  <c r="I52" i="29"/>
  <c r="X52" i="29" s="1"/>
  <c r="H108" i="43"/>
  <c r="W108" i="43" s="1"/>
  <c r="I108" i="29"/>
  <c r="X108" i="29" s="1"/>
  <c r="AF52" i="13"/>
  <c r="G86" i="13"/>
  <c r="AH86" i="13" s="1"/>
  <c r="G94" i="13"/>
  <c r="AH94" i="13" s="1"/>
  <c r="H13" i="43"/>
  <c r="W13" i="43" s="1"/>
  <c r="I13" i="29"/>
  <c r="X13" i="29" s="1"/>
  <c r="H39" i="43"/>
  <c r="W39" i="43" s="1"/>
  <c r="I39" i="29"/>
  <c r="X39" i="29" s="1"/>
  <c r="H49" i="43"/>
  <c r="W49" i="43" s="1"/>
  <c r="I49" i="29"/>
  <c r="X49" i="29" s="1"/>
  <c r="H15" i="43"/>
  <c r="W15" i="43" s="1"/>
  <c r="I15" i="29"/>
  <c r="X15" i="29" s="1"/>
  <c r="H25" i="43"/>
  <c r="W25" i="43" s="1"/>
  <c r="I25" i="29"/>
  <c r="X25" i="29" s="1"/>
  <c r="H33" i="43"/>
  <c r="W33" i="43" s="1"/>
  <c r="I33" i="29"/>
  <c r="X33" i="29" s="1"/>
  <c r="H51" i="43"/>
  <c r="W51" i="43" s="1"/>
  <c r="I51" i="29"/>
  <c r="X51" i="29" s="1"/>
  <c r="I64" i="43"/>
  <c r="X64" i="43" s="1"/>
  <c r="J64" i="29"/>
  <c r="J64" i="43" s="1"/>
  <c r="Y64" i="43" s="1"/>
  <c r="I22" i="54"/>
  <c r="F21" i="38"/>
  <c r="F19" i="38"/>
  <c r="L119" i="35"/>
  <c r="K122" i="35"/>
  <c r="K125" i="35" s="1"/>
  <c r="F62" i="38"/>
  <c r="F27" i="38"/>
  <c r="M115" i="35"/>
  <c r="L32" i="35"/>
  <c r="K35" i="35"/>
  <c r="H183" i="18"/>
  <c r="M117" i="18"/>
  <c r="K197" i="18"/>
  <c r="J190" i="18"/>
  <c r="J70" i="18"/>
  <c r="F182" i="34"/>
  <c r="F187" i="34"/>
  <c r="F192" i="34"/>
  <c r="F152" i="34"/>
  <c r="F127" i="34"/>
  <c r="F177" i="34"/>
  <c r="F137" i="34"/>
  <c r="F162" i="34"/>
  <c r="F142" i="34"/>
  <c r="Y143" i="43"/>
  <c r="X154" i="43"/>
  <c r="W107" i="43"/>
  <c r="W62" i="43"/>
  <c r="W44" i="43"/>
  <c r="G78" i="34"/>
  <c r="J86" i="34"/>
  <c r="S27" i="36"/>
  <c r="G37" i="51"/>
  <c r="H70" i="51"/>
  <c r="H73" i="51" s="1"/>
  <c r="H103" i="51"/>
  <c r="H151" i="51"/>
  <c r="G184" i="51"/>
  <c r="G103" i="51"/>
  <c r="G129" i="51"/>
  <c r="G151" i="51"/>
  <c r="J342" i="24"/>
  <c r="J30" i="24"/>
  <c r="F105" i="34"/>
  <c r="F22" i="34" s="1"/>
  <c r="H141" i="51"/>
  <c r="I152" i="51"/>
  <c r="I154" i="51" s="1"/>
  <c r="G174" i="51"/>
  <c r="H185" i="51"/>
  <c r="H72" i="51"/>
  <c r="H175" i="51"/>
  <c r="H175" i="34"/>
  <c r="H61" i="51"/>
  <c r="I164" i="51"/>
  <c r="I142" i="51"/>
  <c r="I186" i="51"/>
  <c r="H83" i="51"/>
  <c r="W76" i="29"/>
  <c r="G197" i="51"/>
  <c r="G15" i="51" s="1"/>
  <c r="G180" i="34"/>
  <c r="F155" i="34"/>
  <c r="F160" i="34"/>
  <c r="G155" i="34"/>
  <c r="G125" i="34"/>
  <c r="G120" i="34"/>
  <c r="H153" i="51"/>
  <c r="H116" i="51"/>
  <c r="H105" i="51"/>
  <c r="H94" i="51"/>
  <c r="H50" i="51"/>
  <c r="I105" i="51"/>
  <c r="I131" i="51"/>
  <c r="H131" i="51"/>
  <c r="I175" i="51"/>
  <c r="J153" i="51"/>
  <c r="J105" i="51"/>
  <c r="I153" i="51"/>
  <c r="I125" i="34"/>
  <c r="J25" i="1"/>
  <c r="J72" i="51" s="1"/>
  <c r="J27" i="1"/>
  <c r="J94" i="51" s="1"/>
  <c r="K175" i="34"/>
  <c r="K34" i="1"/>
  <c r="K174" i="51" s="1"/>
  <c r="H36" i="1"/>
  <c r="H54" i="34"/>
  <c r="J35" i="1"/>
  <c r="J184" i="51" s="1"/>
  <c r="J33" i="1"/>
  <c r="J163" i="51" s="1"/>
  <c r="J31" i="1"/>
  <c r="J140" i="51" s="1"/>
  <c r="H60" i="51"/>
  <c r="I185" i="51"/>
  <c r="J24" i="1"/>
  <c r="J54" i="34" s="1"/>
  <c r="I61" i="51"/>
  <c r="I37" i="51"/>
  <c r="L103" i="51"/>
  <c r="J162" i="51"/>
  <c r="J173" i="51"/>
  <c r="J92" i="51"/>
  <c r="L104" i="51"/>
  <c r="I38" i="51"/>
  <c r="I60" i="51"/>
  <c r="J115" i="51"/>
  <c r="I145" i="34"/>
  <c r="I83" i="51"/>
  <c r="J82" i="34"/>
  <c r="J142" i="51"/>
  <c r="I81" i="51"/>
  <c r="J114" i="51"/>
  <c r="I49" i="51"/>
  <c r="I71" i="51"/>
  <c r="I93" i="51"/>
  <c r="I115" i="51"/>
  <c r="J130" i="51"/>
  <c r="J174" i="51"/>
  <c r="K104" i="51"/>
  <c r="K130" i="51"/>
  <c r="K152" i="51"/>
  <c r="H26" i="51"/>
  <c r="H27" i="51"/>
  <c r="F132" i="51"/>
  <c r="F51" i="51"/>
  <c r="F176" i="51"/>
  <c r="F187" i="51"/>
  <c r="F106" i="51"/>
  <c r="F154" i="51"/>
  <c r="F165" i="51"/>
  <c r="H38" i="38"/>
  <c r="G40" i="38"/>
  <c r="H37" i="38"/>
  <c r="S21" i="36"/>
  <c r="S33" i="36"/>
  <c r="S23" i="36"/>
  <c r="AA8" i="36"/>
  <c r="S20" i="36"/>
  <c r="S24" i="36"/>
  <c r="S26" i="36"/>
  <c r="W98" i="29"/>
  <c r="W96" i="29"/>
  <c r="X94" i="29"/>
  <c r="X93" i="29"/>
  <c r="W92" i="29"/>
  <c r="U33" i="36"/>
  <c r="U20" i="36"/>
  <c r="T70" i="36"/>
  <c r="T32" i="36"/>
  <c r="T22" i="36"/>
  <c r="T29" i="36"/>
  <c r="T18" i="36"/>
  <c r="T26" i="36"/>
  <c r="T21" i="36"/>
  <c r="T24" i="36"/>
  <c r="AB8" i="36"/>
  <c r="AB43" i="36" s="1"/>
  <c r="T31" i="36"/>
  <c r="I115" i="18"/>
  <c r="K86" i="34"/>
  <c r="K70" i="34"/>
  <c r="I58" i="34"/>
  <c r="I74" i="34"/>
  <c r="I66" i="34"/>
  <c r="I46" i="34"/>
  <c r="K77" i="18"/>
  <c r="K83" i="18" s="1"/>
  <c r="J94" i="34"/>
  <c r="G42" i="34"/>
  <c r="I82" i="34"/>
  <c r="I98" i="34"/>
  <c r="F84" i="51"/>
  <c r="F40" i="51"/>
  <c r="F95" i="51"/>
  <c r="F143" i="51"/>
  <c r="G26" i="51"/>
  <c r="G48" i="51"/>
  <c r="I48" i="51"/>
  <c r="I59" i="51"/>
  <c r="G70" i="51"/>
  <c r="I70" i="51"/>
  <c r="H37" i="51"/>
  <c r="G59" i="51"/>
  <c r="H59" i="51"/>
  <c r="G81" i="51"/>
  <c r="G92" i="51"/>
  <c r="I92" i="51"/>
  <c r="J103" i="51"/>
  <c r="G114" i="51"/>
  <c r="I114" i="51"/>
  <c r="J129" i="51"/>
  <c r="G140" i="51"/>
  <c r="I140" i="51"/>
  <c r="J151" i="51"/>
  <c r="H162" i="51"/>
  <c r="H173" i="51"/>
  <c r="H92" i="51"/>
  <c r="K103" i="51"/>
  <c r="H114" i="51"/>
  <c r="K129" i="51"/>
  <c r="H140" i="51"/>
  <c r="K151" i="51"/>
  <c r="G162" i="51"/>
  <c r="I162" i="51"/>
  <c r="I173" i="51"/>
  <c r="U37" i="36"/>
  <c r="U47" i="36"/>
  <c r="U49" i="36"/>
  <c r="U53" i="36"/>
  <c r="U38" i="36"/>
  <c r="U52" i="36"/>
  <c r="U58" i="36"/>
  <c r="U23" i="36"/>
  <c r="X79" i="43"/>
  <c r="X86" i="43"/>
  <c r="Y102" i="43"/>
  <c r="X137" i="43"/>
  <c r="X82" i="43"/>
  <c r="Y146" i="43"/>
  <c r="X146" i="43"/>
  <c r="W150" i="43"/>
  <c r="W82" i="43"/>
  <c r="X54" i="43"/>
  <c r="W43" i="43"/>
  <c r="W66" i="43"/>
  <c r="W58" i="43"/>
  <c r="W18" i="43"/>
  <c r="F73" i="51"/>
  <c r="F117" i="51"/>
  <c r="F132" i="34"/>
  <c r="F30" i="34"/>
  <c r="Y151" i="43"/>
  <c r="W153" i="43"/>
  <c r="Y150" i="43"/>
  <c r="X153" i="43"/>
  <c r="Y154" i="43"/>
  <c r="W148" i="43"/>
  <c r="W152" i="43"/>
  <c r="W116" i="43"/>
  <c r="W65" i="43"/>
  <c r="W61" i="43"/>
  <c r="W41" i="43"/>
  <c r="W31" i="43"/>
  <c r="W70" i="43"/>
  <c r="W64" i="43"/>
  <c r="W60" i="43"/>
  <c r="W56" i="43"/>
  <c r="W54" i="43"/>
  <c r="W48" i="43"/>
  <c r="W21" i="43"/>
  <c r="F62" i="51"/>
  <c r="H46" i="34"/>
  <c r="G46" i="34"/>
  <c r="I94" i="34"/>
  <c r="H98" i="34"/>
  <c r="H82" i="34"/>
  <c r="H58" i="34"/>
  <c r="G90" i="34"/>
  <c r="G74" i="34"/>
  <c r="G62" i="34"/>
  <c r="G54" i="34"/>
  <c r="I70" i="34"/>
  <c r="H86" i="34"/>
  <c r="G94" i="34"/>
  <c r="G70" i="34"/>
  <c r="G50" i="34"/>
  <c r="H90" i="34"/>
  <c r="H66" i="34"/>
  <c r="G98" i="34"/>
  <c r="G82" i="34"/>
  <c r="G66" i="34"/>
  <c r="G58" i="34"/>
  <c r="H94" i="34"/>
  <c r="H70" i="34"/>
  <c r="G86" i="34"/>
  <c r="I86" i="34"/>
  <c r="J70" i="34"/>
  <c r="J77" i="18"/>
  <c r="J83" i="18" s="1"/>
  <c r="J192" i="18" s="1"/>
  <c r="W57" i="43"/>
  <c r="W87" i="43"/>
  <c r="W93" i="43"/>
  <c r="W99" i="43"/>
  <c r="W102" i="43"/>
  <c r="H8" i="37"/>
  <c r="J133" i="35"/>
  <c r="F195" i="51"/>
  <c r="F13" i="51" s="1"/>
  <c r="F29" i="51"/>
  <c r="F196" i="51"/>
  <c r="K65" i="35"/>
  <c r="K72" i="35" s="1"/>
  <c r="J18" i="1"/>
  <c r="L16" i="18" s="1"/>
  <c r="K133" i="35"/>
  <c r="U65" i="36"/>
  <c r="U67" i="36"/>
  <c r="U70" i="36"/>
  <c r="U30" i="36"/>
  <c r="U28" i="36"/>
  <c r="K103" i="1"/>
  <c r="M115" i="18" s="1"/>
  <c r="L133" i="35"/>
  <c r="W8" i="36"/>
  <c r="T28" i="36"/>
  <c r="T23" i="36"/>
  <c r="T30" i="36"/>
  <c r="U35" i="36"/>
  <c r="U39" i="36"/>
  <c r="U41" i="36"/>
  <c r="U43" i="36"/>
  <c r="U45" i="36"/>
  <c r="U57" i="36"/>
  <c r="U42" i="36"/>
  <c r="U44" i="36"/>
  <c r="U66" i="36"/>
  <c r="AC8" i="36"/>
  <c r="AC28" i="36" s="1"/>
  <c r="U21" i="36"/>
  <c r="U19" i="36"/>
  <c r="J185" i="34"/>
  <c r="L32" i="1"/>
  <c r="M32" i="1" s="1"/>
  <c r="M53" i="1" s="1"/>
  <c r="M87" i="34" s="1"/>
  <c r="L30" i="1"/>
  <c r="M30" i="1" s="1"/>
  <c r="M51" i="1" s="1"/>
  <c r="L155" i="34"/>
  <c r="I24" i="31"/>
  <c r="I31" i="18" s="1"/>
  <c r="G198" i="34"/>
  <c r="G28" i="34" s="1"/>
  <c r="I62" i="34"/>
  <c r="J26" i="1"/>
  <c r="J81" i="51" s="1"/>
  <c r="I54" i="34"/>
  <c r="I135" i="34"/>
  <c r="G38" i="1"/>
  <c r="G109" i="1" s="1"/>
  <c r="H198" i="34"/>
  <c r="H28" i="34" s="1"/>
  <c r="I50" i="34"/>
  <c r="I130" i="34"/>
  <c r="J23" i="1"/>
  <c r="J48" i="51" s="1"/>
  <c r="J22" i="1"/>
  <c r="J46" i="34" s="1"/>
  <c r="I21" i="1"/>
  <c r="I26" i="51" s="1"/>
  <c r="J65" i="35"/>
  <c r="J72" i="35" s="1"/>
  <c r="X143" i="43"/>
  <c r="W143" i="43"/>
  <c r="W144" i="43"/>
  <c r="Y149" i="43"/>
  <c r="Y147" i="43"/>
  <c r="Y153" i="43"/>
  <c r="X150" i="43"/>
  <c r="X147" i="43"/>
  <c r="Y148" i="43"/>
  <c r="X152" i="43"/>
  <c r="X151" i="43"/>
  <c r="Y152" i="43"/>
  <c r="W151" i="43"/>
  <c r="W154" i="43"/>
  <c r="W146" i="43"/>
  <c r="W147" i="43"/>
  <c r="X148" i="43"/>
  <c r="W113" i="43"/>
  <c r="W118" i="43"/>
  <c r="X99" i="43"/>
  <c r="W90" i="43"/>
  <c r="W69" i="43"/>
  <c r="X66" i="43"/>
  <c r="X56" i="43"/>
  <c r="W29" i="43"/>
  <c r="W27" i="43"/>
  <c r="Y56" i="43"/>
  <c r="W46" i="43"/>
  <c r="W38" i="43"/>
  <c r="W32" i="43"/>
  <c r="W19" i="43"/>
  <c r="W22" i="43"/>
  <c r="W24" i="43"/>
  <c r="W30" i="43"/>
  <c r="W55" i="43"/>
  <c r="W80" i="43"/>
  <c r="W88" i="43"/>
  <c r="W109" i="43"/>
  <c r="W125" i="43"/>
  <c r="W133" i="43"/>
  <c r="W135" i="43"/>
  <c r="W137" i="43"/>
  <c r="X57" i="43"/>
  <c r="W59" i="43"/>
  <c r="W72" i="43"/>
  <c r="W74" i="43"/>
  <c r="W79" i="43"/>
  <c r="W86" i="43"/>
  <c r="W89" i="43"/>
  <c r="W92" i="43"/>
  <c r="X93" i="43"/>
  <c r="W96" i="43"/>
  <c r="W98" i="43"/>
  <c r="W101" i="43"/>
  <c r="X102" i="43"/>
  <c r="W110" i="43"/>
  <c r="X116" i="43"/>
  <c r="W120" i="43"/>
  <c r="W127" i="43"/>
  <c r="W132" i="43"/>
  <c r="W134" i="43"/>
  <c r="C79" i="22"/>
  <c r="W132" i="29"/>
  <c r="W120" i="29"/>
  <c r="W84" i="29"/>
  <c r="W82" i="29"/>
  <c r="W80" i="29"/>
  <c r="W77" i="29"/>
  <c r="W75" i="29"/>
  <c r="W55" i="29"/>
  <c r="W137" i="29"/>
  <c r="W135" i="29"/>
  <c r="W133" i="29"/>
  <c r="W130" i="29"/>
  <c r="W128" i="29"/>
  <c r="W121" i="29"/>
  <c r="W118" i="29"/>
  <c r="W113" i="29"/>
  <c r="W110" i="29"/>
  <c r="X102" i="29"/>
  <c r="W101" i="29"/>
  <c r="X99" i="29"/>
  <c r="X87" i="29"/>
  <c r="W86" i="29"/>
  <c r="W81" i="29"/>
  <c r="W79" i="29"/>
  <c r="W74" i="29"/>
  <c r="X57" i="29"/>
  <c r="W59" i="29"/>
  <c r="W72" i="29"/>
  <c r="W125" i="29"/>
  <c r="H42" i="39"/>
  <c r="F28" i="40" s="1"/>
  <c r="W103" i="29"/>
  <c r="W109" i="29"/>
  <c r="X112" i="29"/>
  <c r="U34" i="36"/>
  <c r="U29" i="36"/>
  <c r="U32" i="36"/>
  <c r="U22" i="36"/>
  <c r="U16" i="36"/>
  <c r="U14" i="36"/>
  <c r="U25" i="36"/>
  <c r="U26" i="36"/>
  <c r="U68" i="36"/>
  <c r="U64" i="36"/>
  <c r="U62" i="36"/>
  <c r="U60" i="36"/>
  <c r="U56" i="36"/>
  <c r="U54" i="36"/>
  <c r="U50" i="36"/>
  <c r="U48" i="36"/>
  <c r="U46" i="36"/>
  <c r="U40" i="36"/>
  <c r="U36" i="36"/>
  <c r="U69" i="36"/>
  <c r="U63" i="36"/>
  <c r="U61" i="36"/>
  <c r="U59" i="36"/>
  <c r="U55" i="36"/>
  <c r="U51" i="36"/>
  <c r="G138" i="43"/>
  <c r="G157" i="43" s="1"/>
  <c r="V155" i="43"/>
  <c r="V138" i="43"/>
  <c r="T15" i="36"/>
  <c r="I31" i="37" s="1"/>
  <c r="K101" i="35" s="1"/>
  <c r="K105" i="35" s="1"/>
  <c r="O15" i="36"/>
  <c r="O12" i="36" s="1"/>
  <c r="Q15" i="36"/>
  <c r="Q12" i="36" s="1"/>
  <c r="L70" i="34"/>
  <c r="AF57" i="13"/>
  <c r="E125" i="13"/>
  <c r="AI125" i="13" s="1"/>
  <c r="J93" i="13"/>
  <c r="S93" i="13" s="1"/>
  <c r="G117" i="13"/>
  <c r="AH117" i="13" s="1"/>
  <c r="G121" i="13"/>
  <c r="AH121" i="13" s="1"/>
  <c r="G125" i="13"/>
  <c r="AH125" i="13" s="1"/>
  <c r="H83" i="43"/>
  <c r="W83" i="43" s="1"/>
  <c r="I83" i="29"/>
  <c r="X83" i="29" s="1"/>
  <c r="I91" i="29"/>
  <c r="H91" i="43"/>
  <c r="W91" i="43" s="1"/>
  <c r="I105" i="29"/>
  <c r="H105" i="43"/>
  <c r="W105" i="43" s="1"/>
  <c r="I114" i="29"/>
  <c r="H114" i="43"/>
  <c r="W114" i="43" s="1"/>
  <c r="I119" i="29"/>
  <c r="H119" i="43"/>
  <c r="W119" i="43" s="1"/>
  <c r="H123" i="43"/>
  <c r="W123" i="43" s="1"/>
  <c r="I123" i="29"/>
  <c r="X123" i="29" s="1"/>
  <c r="I126" i="29"/>
  <c r="H126" i="43"/>
  <c r="W126" i="43" s="1"/>
  <c r="I22" i="43"/>
  <c r="X22" i="43" s="1"/>
  <c r="J22" i="29"/>
  <c r="J22" i="43" s="1"/>
  <c r="Y22" i="43" s="1"/>
  <c r="I30" i="43"/>
  <c r="X30" i="43" s="1"/>
  <c r="J30" i="29"/>
  <c r="J30" i="43" s="1"/>
  <c r="Y30" i="43" s="1"/>
  <c r="I32" i="43"/>
  <c r="X32" i="43" s="1"/>
  <c r="J32" i="29"/>
  <c r="J32" i="43" s="1"/>
  <c r="Y32" i="43" s="1"/>
  <c r="I43" i="43"/>
  <c r="X43" i="43" s="1"/>
  <c r="J43" i="29"/>
  <c r="J43" i="43" s="1"/>
  <c r="Y43" i="43" s="1"/>
  <c r="L69" i="1"/>
  <c r="M69" i="1" s="1"/>
  <c r="K78" i="34"/>
  <c r="AF51" i="13"/>
  <c r="AE53" i="13"/>
  <c r="E85" i="13"/>
  <c r="AI85" i="13" s="1"/>
  <c r="J53" i="13"/>
  <c r="S53" i="13" s="1"/>
  <c r="AE57" i="13"/>
  <c r="E89" i="13"/>
  <c r="AI89" i="13" s="1"/>
  <c r="J58" i="13"/>
  <c r="S58" i="13" s="1"/>
  <c r="E90" i="13"/>
  <c r="AI90" i="13" s="1"/>
  <c r="J64" i="13"/>
  <c r="S64" i="13" s="1"/>
  <c r="AE64" i="13"/>
  <c r="E96" i="13"/>
  <c r="AI96" i="13" s="1"/>
  <c r="G123" i="13"/>
  <c r="AH123" i="13" s="1"/>
  <c r="G131" i="13"/>
  <c r="AH131" i="13" s="1"/>
  <c r="I136" i="29"/>
  <c r="H136" i="43"/>
  <c r="W136" i="43" s="1"/>
  <c r="H63" i="43"/>
  <c r="W63" i="43" s="1"/>
  <c r="I63" i="29"/>
  <c r="X63" i="29" s="1"/>
  <c r="H78" i="43"/>
  <c r="W78" i="43" s="1"/>
  <c r="I78" i="29"/>
  <c r="X78" i="29" s="1"/>
  <c r="I85" i="29"/>
  <c r="H85" i="43"/>
  <c r="W85" i="43" s="1"/>
  <c r="H104" i="43"/>
  <c r="W104" i="43" s="1"/>
  <c r="I104" i="29"/>
  <c r="H106" i="43"/>
  <c r="W106" i="43" s="1"/>
  <c r="I106" i="29"/>
  <c r="X106" i="29" s="1"/>
  <c r="H115" i="43"/>
  <c r="W115" i="43" s="1"/>
  <c r="I115" i="29"/>
  <c r="I122" i="29"/>
  <c r="H122" i="43"/>
  <c r="W122" i="43" s="1"/>
  <c r="H124" i="43"/>
  <c r="W124" i="43" s="1"/>
  <c r="I124" i="29"/>
  <c r="X124" i="29" s="1"/>
  <c r="H131" i="43"/>
  <c r="W131" i="43" s="1"/>
  <c r="I131" i="29"/>
  <c r="X131" i="29" s="1"/>
  <c r="I18" i="43"/>
  <c r="X18" i="43" s="1"/>
  <c r="J18" i="29"/>
  <c r="J18" i="43" s="1"/>
  <c r="Y18" i="43" s="1"/>
  <c r="I21" i="43"/>
  <c r="X21" i="43" s="1"/>
  <c r="J21" i="29"/>
  <c r="J21" i="43" s="1"/>
  <c r="Y21" i="43" s="1"/>
  <c r="I24" i="43"/>
  <c r="X24" i="43" s="1"/>
  <c r="J24" i="29"/>
  <c r="J24" i="43" s="1"/>
  <c r="Y24" i="43" s="1"/>
  <c r="J29" i="29"/>
  <c r="J29" i="43" s="1"/>
  <c r="Y29" i="43" s="1"/>
  <c r="I31" i="43"/>
  <c r="X31" i="43" s="1"/>
  <c r="J31" i="29"/>
  <c r="J31" i="43" s="1"/>
  <c r="Y31" i="43" s="1"/>
  <c r="I41" i="43"/>
  <c r="X41" i="43" s="1"/>
  <c r="J41" i="29"/>
  <c r="J41" i="43" s="1"/>
  <c r="Y41" i="43" s="1"/>
  <c r="I44" i="43"/>
  <c r="X44" i="43" s="1"/>
  <c r="J44" i="29"/>
  <c r="J44" i="43" s="1"/>
  <c r="Y44" i="43" s="1"/>
  <c r="J48" i="29"/>
  <c r="J48" i="43" s="1"/>
  <c r="Y48" i="43" s="1"/>
  <c r="W71" i="29"/>
  <c r="W73" i="29"/>
  <c r="W88" i="29"/>
  <c r="W90" i="29"/>
  <c r="W95" i="29"/>
  <c r="W97" i="29"/>
  <c r="W100" i="29"/>
  <c r="X116" i="29"/>
  <c r="X117" i="29"/>
  <c r="W127" i="29"/>
  <c r="W129" i="29"/>
  <c r="W134" i="29"/>
  <c r="L24" i="18"/>
  <c r="M20" i="18"/>
  <c r="M37" i="48"/>
  <c r="N154" i="18" s="1"/>
  <c r="N66" i="35"/>
  <c r="E159" i="13"/>
  <c r="AI159" i="13" s="1"/>
  <c r="J127" i="13"/>
  <c r="S127" i="13" s="1"/>
  <c r="I24" i="40"/>
  <c r="J86" i="13"/>
  <c r="S86" i="13" s="1"/>
  <c r="E118" i="13"/>
  <c r="AI118" i="13" s="1"/>
  <c r="N87" i="18"/>
  <c r="K160" i="13"/>
  <c r="U160" i="13" s="1"/>
  <c r="L58" i="18"/>
  <c r="M54" i="18"/>
  <c r="M169" i="48"/>
  <c r="N170" i="35" s="1"/>
  <c r="K37" i="48"/>
  <c r="L154" i="18" s="1"/>
  <c r="I70" i="18"/>
  <c r="J197" i="18"/>
  <c r="H64" i="38"/>
  <c r="K191" i="18"/>
  <c r="L78" i="18"/>
  <c r="E119" i="13"/>
  <c r="AI119" i="13" s="1"/>
  <c r="J87" i="13"/>
  <c r="S87" i="13" s="1"/>
  <c r="I23" i="40"/>
  <c r="E145" i="13"/>
  <c r="H205" i="35"/>
  <c r="M198" i="18"/>
  <c r="L46" i="35"/>
  <c r="K48" i="35"/>
  <c r="K58" i="35" s="1"/>
  <c r="N52" i="35"/>
  <c r="M55" i="35"/>
  <c r="E188" i="13"/>
  <c r="J156" i="13"/>
  <c r="S156" i="13" s="1"/>
  <c r="K169" i="48"/>
  <c r="L170" i="35" s="1"/>
  <c r="J163" i="18"/>
  <c r="K97" i="48"/>
  <c r="L157" i="18" s="1"/>
  <c r="L37" i="48"/>
  <c r="M154" i="18" s="1"/>
  <c r="K72" i="48"/>
  <c r="J77" i="48"/>
  <c r="K156" i="18" s="1"/>
  <c r="K201" i="48"/>
  <c r="L162" i="18" s="1"/>
  <c r="L196" i="48"/>
  <c r="M12" i="48"/>
  <c r="L17" i="48"/>
  <c r="K141" i="48"/>
  <c r="L159" i="18" s="1"/>
  <c r="I172" i="35"/>
  <c r="K177" i="48"/>
  <c r="J181" i="48"/>
  <c r="K161" i="18" s="1"/>
  <c r="L116" i="48"/>
  <c r="K121" i="48"/>
  <c r="L158" i="18" s="1"/>
  <c r="K17" i="48"/>
  <c r="L153" i="18" s="1"/>
  <c r="K81" i="48"/>
  <c r="J85" i="48"/>
  <c r="K166" i="35" s="1"/>
  <c r="L52" i="48"/>
  <c r="K57" i="48"/>
  <c r="L155" i="18" s="1"/>
  <c r="J17" i="48"/>
  <c r="K153" i="18" s="1"/>
  <c r="M136" i="48"/>
  <c r="L141" i="48"/>
  <c r="M159" i="18" s="1"/>
  <c r="K205" i="48"/>
  <c r="J209" i="48"/>
  <c r="K172" i="35" s="1"/>
  <c r="K127" i="48"/>
  <c r="J129" i="48"/>
  <c r="K168" i="35" s="1"/>
  <c r="K102" i="48"/>
  <c r="J105" i="48"/>
  <c r="K167" i="35" s="1"/>
  <c r="K186" i="48"/>
  <c r="K45" i="48"/>
  <c r="L164" i="35" s="1"/>
  <c r="L43" i="48"/>
  <c r="L169" i="48"/>
  <c r="M170" i="35" s="1"/>
  <c r="K149" i="48"/>
  <c r="L169" i="35" s="1"/>
  <c r="L149" i="48"/>
  <c r="M169" i="35" s="1"/>
  <c r="M144" i="48"/>
  <c r="M204" i="48"/>
  <c r="N204" i="48" s="1"/>
  <c r="M80" i="48"/>
  <c r="N80" i="48" s="1"/>
  <c r="M60" i="48"/>
  <c r="L65" i="48"/>
  <c r="M165" i="35" s="1"/>
  <c r="K65" i="48"/>
  <c r="L165" i="35" s="1"/>
  <c r="I65" i="35"/>
  <c r="I72" i="35" s="1"/>
  <c r="L14" i="43"/>
  <c r="L16" i="43"/>
  <c r="L18" i="43"/>
  <c r="M19" i="43"/>
  <c r="L20" i="43"/>
  <c r="M21" i="43"/>
  <c r="L22" i="43"/>
  <c r="L24" i="43"/>
  <c r="L26" i="43"/>
  <c r="M27" i="43"/>
  <c r="L28" i="43"/>
  <c r="M29" i="43"/>
  <c r="L30" i="43"/>
  <c r="M31" i="43"/>
  <c r="L32" i="43"/>
  <c r="L34" i="43"/>
  <c r="L36" i="43"/>
  <c r="L38" i="43"/>
  <c r="L40" i="43"/>
  <c r="M41" i="43"/>
  <c r="L42" i="43"/>
  <c r="M43" i="43"/>
  <c r="L44" i="43"/>
  <c r="L46" i="43"/>
  <c r="L48" i="43"/>
  <c r="L50" i="43"/>
  <c r="L52" i="43"/>
  <c r="L54" i="43"/>
  <c r="N54" i="43"/>
  <c r="M55" i="43"/>
  <c r="L56" i="43"/>
  <c r="L15" i="43"/>
  <c r="L17" i="43"/>
  <c r="L19" i="43"/>
  <c r="L21" i="43"/>
  <c r="L23" i="43"/>
  <c r="L25" i="43"/>
  <c r="L27" i="43"/>
  <c r="L29" i="43"/>
  <c r="L31" i="43"/>
  <c r="L33" i="43"/>
  <c r="L35" i="43"/>
  <c r="L37" i="43"/>
  <c r="L39" i="43"/>
  <c r="L41" i="43"/>
  <c r="L43" i="43"/>
  <c r="L45" i="43"/>
  <c r="L47" i="43"/>
  <c r="L49" i="43"/>
  <c r="L51" i="43"/>
  <c r="L53" i="43"/>
  <c r="O54" i="43"/>
  <c r="L55" i="43"/>
  <c r="N56" i="43"/>
  <c r="M57" i="43"/>
  <c r="L58" i="43"/>
  <c r="M59" i="43"/>
  <c r="L60" i="43"/>
  <c r="M61" i="43"/>
  <c r="L62" i="43"/>
  <c r="L64" i="43"/>
  <c r="M65" i="43"/>
  <c r="L66" i="43"/>
  <c r="N66" i="43"/>
  <c r="L68" i="43"/>
  <c r="M69" i="43"/>
  <c r="L70" i="43"/>
  <c r="M71" i="43"/>
  <c r="L72" i="43"/>
  <c r="M73" i="43"/>
  <c r="L74" i="43"/>
  <c r="N74" i="43"/>
  <c r="M75" i="43"/>
  <c r="L76" i="43"/>
  <c r="M77" i="43"/>
  <c r="M16" i="43"/>
  <c r="M18" i="43"/>
  <c r="M22" i="43"/>
  <c r="M24" i="43"/>
  <c r="M30" i="43"/>
  <c r="M32" i="43"/>
  <c r="M38" i="43"/>
  <c r="M44" i="43"/>
  <c r="M46" i="43"/>
  <c r="M48" i="43"/>
  <c r="M54" i="43"/>
  <c r="N55" i="43"/>
  <c r="M56" i="43"/>
  <c r="N57" i="43"/>
  <c r="M58" i="43"/>
  <c r="N59" i="43"/>
  <c r="M60" i="43"/>
  <c r="M62" i="43"/>
  <c r="M64" i="43"/>
  <c r="M66" i="43"/>
  <c r="M70" i="43"/>
  <c r="N71" i="43"/>
  <c r="M72" i="43"/>
  <c r="N73" i="43"/>
  <c r="M74" i="43"/>
  <c r="N75" i="43"/>
  <c r="M76" i="43"/>
  <c r="L78" i="43"/>
  <c r="M79" i="43"/>
  <c r="L80" i="43"/>
  <c r="M81" i="43"/>
  <c r="L82" i="43"/>
  <c r="N82" i="43"/>
  <c r="L84" i="43"/>
  <c r="L86" i="43"/>
  <c r="N86" i="43"/>
  <c r="M87" i="43"/>
  <c r="L88" i="43"/>
  <c r="M89" i="43"/>
  <c r="L90" i="43"/>
  <c r="N90" i="43"/>
  <c r="L92" i="43"/>
  <c r="M93" i="43"/>
  <c r="L94" i="43"/>
  <c r="N94" i="43"/>
  <c r="M95" i="43"/>
  <c r="L96" i="43"/>
  <c r="M97" i="43"/>
  <c r="L98" i="43"/>
  <c r="M99" i="43"/>
  <c r="L100" i="43"/>
  <c r="M101" i="43"/>
  <c r="L102" i="43"/>
  <c r="N102" i="43"/>
  <c r="M103" i="43"/>
  <c r="L104" i="43"/>
  <c r="L106" i="43"/>
  <c r="M107" i="43"/>
  <c r="L108" i="43"/>
  <c r="M109" i="43"/>
  <c r="L110" i="43"/>
  <c r="L112" i="43"/>
  <c r="M113" i="43"/>
  <c r="O56" i="43"/>
  <c r="L57" i="43"/>
  <c r="L59" i="43"/>
  <c r="L61" i="43"/>
  <c r="L63" i="43"/>
  <c r="L65" i="43"/>
  <c r="L67" i="43"/>
  <c r="L69" i="43"/>
  <c r="L71" i="43"/>
  <c r="L73" i="43"/>
  <c r="L75" i="43"/>
  <c r="L77" i="43"/>
  <c r="L79" i="43"/>
  <c r="N79" i="43"/>
  <c r="M80" i="43"/>
  <c r="L81" i="43"/>
  <c r="M82" i="43"/>
  <c r="L83" i="43"/>
  <c r="M84" i="43"/>
  <c r="L85" i="43"/>
  <c r="M86" i="43"/>
  <c r="L87" i="43"/>
  <c r="M88" i="43"/>
  <c r="L89" i="43"/>
  <c r="M90" i="43"/>
  <c r="L91" i="43"/>
  <c r="M92" i="43"/>
  <c r="L93" i="43"/>
  <c r="N93" i="43"/>
  <c r="L95" i="43"/>
  <c r="M96" i="43"/>
  <c r="L97" i="43"/>
  <c r="N97" i="43"/>
  <c r="M98" i="43"/>
  <c r="L99" i="43"/>
  <c r="N99" i="43"/>
  <c r="M100" i="43"/>
  <c r="L101" i="43"/>
  <c r="N101" i="43"/>
  <c r="M102" i="43"/>
  <c r="O102" i="43"/>
  <c r="L103" i="43"/>
  <c r="N103" i="43"/>
  <c r="L105" i="43"/>
  <c r="L107" i="43"/>
  <c r="L109" i="43"/>
  <c r="M110" i="43"/>
  <c r="L111" i="43"/>
  <c r="L113" i="43"/>
  <c r="L115" i="43"/>
  <c r="M116" i="43"/>
  <c r="L117" i="43"/>
  <c r="M118" i="43"/>
  <c r="L119" i="43"/>
  <c r="M120" i="43"/>
  <c r="L121" i="43"/>
  <c r="L123" i="43"/>
  <c r="L125" i="43"/>
  <c r="L127" i="43"/>
  <c r="N127" i="43"/>
  <c r="M128" i="43"/>
  <c r="L129" i="43"/>
  <c r="M130" i="43"/>
  <c r="L131" i="43"/>
  <c r="M132" i="43"/>
  <c r="L133" i="43"/>
  <c r="M134" i="43"/>
  <c r="L135" i="43"/>
  <c r="L137" i="43"/>
  <c r="N137" i="43"/>
  <c r="L114" i="43"/>
  <c r="L116" i="43"/>
  <c r="N116" i="43"/>
  <c r="L118" i="43"/>
  <c r="N118" i="43"/>
  <c r="L120" i="43"/>
  <c r="M121" i="43"/>
  <c r="L122" i="43"/>
  <c r="L124" i="43"/>
  <c r="M125" i="43"/>
  <c r="L126" i="43"/>
  <c r="M127" i="43"/>
  <c r="L128" i="43"/>
  <c r="L130" i="43"/>
  <c r="L132" i="43"/>
  <c r="L134" i="43"/>
  <c r="L136" i="43"/>
  <c r="M129" i="43"/>
  <c r="N130" i="43"/>
  <c r="N132" i="43"/>
  <c r="M133" i="43"/>
  <c r="M135" i="43"/>
  <c r="M137" i="43"/>
  <c r="L154" i="43"/>
  <c r="L152" i="43"/>
  <c r="M149" i="43"/>
  <c r="N148" i="43"/>
  <c r="M147" i="43"/>
  <c r="L146" i="43"/>
  <c r="M154" i="43"/>
  <c r="M152" i="43"/>
  <c r="L151" i="43"/>
  <c r="M148" i="43"/>
  <c r="L147" i="43"/>
  <c r="L153" i="43"/>
  <c r="M151" i="43"/>
  <c r="L150" i="43"/>
  <c r="L148" i="43"/>
  <c r="M150" i="43"/>
  <c r="L149" i="43"/>
  <c r="M146" i="43"/>
  <c r="N146" i="43"/>
  <c r="O154" i="43"/>
  <c r="O148" i="43"/>
  <c r="O152" i="43"/>
  <c r="O150" i="43"/>
  <c r="N154" i="43"/>
  <c r="N147" i="43"/>
  <c r="N151" i="43"/>
  <c r="N149" i="43"/>
  <c r="N153" i="43"/>
  <c r="N150" i="43"/>
  <c r="N152" i="43"/>
  <c r="M153" i="43"/>
  <c r="O153" i="43"/>
  <c r="O151" i="43"/>
  <c r="O146" i="43"/>
  <c r="O149" i="43"/>
  <c r="O147" i="43"/>
  <c r="L144" i="43"/>
  <c r="L143" i="43"/>
  <c r="L141" i="43"/>
  <c r="M143" i="43"/>
  <c r="L142" i="43"/>
  <c r="L13" i="43"/>
  <c r="N143" i="43"/>
  <c r="O143" i="43"/>
  <c r="L145" i="43"/>
  <c r="L140" i="43"/>
  <c r="M144" i="43"/>
  <c r="W141" i="43"/>
  <c r="M141" i="43"/>
  <c r="I141" i="43"/>
  <c r="W142" i="43"/>
  <c r="M142" i="43"/>
  <c r="I142" i="43"/>
  <c r="R155" i="43"/>
  <c r="R157" i="43" s="1"/>
  <c r="S140" i="43"/>
  <c r="W140" i="43"/>
  <c r="M140" i="43"/>
  <c r="W145" i="43"/>
  <c r="M145" i="43"/>
  <c r="I145" i="43"/>
  <c r="J144" i="43"/>
  <c r="X144" i="43"/>
  <c r="N144" i="43"/>
  <c r="K156" i="31"/>
  <c r="K220" i="31"/>
  <c r="M215" i="31"/>
  <c r="N215" i="31" s="1"/>
  <c r="K204" i="31"/>
  <c r="L30" i="31"/>
  <c r="L61" i="31"/>
  <c r="I300" i="31"/>
  <c r="I28" i="31"/>
  <c r="N297" i="31"/>
  <c r="K286" i="31"/>
  <c r="N261" i="31"/>
  <c r="H155" i="43"/>
  <c r="I140" i="43"/>
  <c r="AC157" i="43"/>
  <c r="AD140" i="43"/>
  <c r="AD155" i="43" s="1"/>
  <c r="AD157" i="43" s="1"/>
  <c r="N268" i="31"/>
  <c r="O268" i="31" s="1"/>
  <c r="H35" i="31"/>
  <c r="I34" i="31"/>
  <c r="L77" i="18"/>
  <c r="L65" i="35"/>
  <c r="L72" i="35" s="1"/>
  <c r="K61" i="1"/>
  <c r="K60" i="1"/>
  <c r="J75" i="1"/>
  <c r="J74" i="34"/>
  <c r="K29" i="1"/>
  <c r="J160" i="34"/>
  <c r="K25" i="1"/>
  <c r="U27" i="36"/>
  <c r="U31" i="36"/>
  <c r="U18" i="36"/>
  <c r="U24" i="36"/>
  <c r="U17" i="36"/>
  <c r="Z24" i="36"/>
  <c r="Z16" i="36"/>
  <c r="Z48" i="36"/>
  <c r="Z23" i="36"/>
  <c r="Z55" i="36"/>
  <c r="Z34" i="36"/>
  <c r="Z66" i="36"/>
  <c r="Z41" i="36"/>
  <c r="Z14" i="36"/>
  <c r="Z44" i="36"/>
  <c r="Z19" i="36"/>
  <c r="Z51" i="36"/>
  <c r="Z30" i="36"/>
  <c r="Z62" i="36"/>
  <c r="Z37" i="36"/>
  <c r="Z69" i="36"/>
  <c r="Z45" i="36"/>
  <c r="Z70" i="36"/>
  <c r="Z38" i="36"/>
  <c r="Z59" i="36"/>
  <c r="Z27" i="36"/>
  <c r="Z52" i="36"/>
  <c r="Z20" i="36"/>
  <c r="Z49" i="36"/>
  <c r="Z17" i="36"/>
  <c r="Z42" i="36"/>
  <c r="Z63" i="36"/>
  <c r="Z31" i="36"/>
  <c r="Z56" i="36"/>
  <c r="Z64" i="36"/>
  <c r="Z18" i="36"/>
  <c r="Z25" i="36"/>
  <c r="Z57" i="36"/>
  <c r="Z60" i="36"/>
  <c r="Z67" i="36"/>
  <c r="Z21" i="36"/>
  <c r="Z29" i="36"/>
  <c r="Z22" i="36"/>
  <c r="Z68" i="36"/>
  <c r="Z65" i="36"/>
  <c r="Z58" i="36"/>
  <c r="Z47" i="36"/>
  <c r="Z40" i="36"/>
  <c r="Z32" i="36"/>
  <c r="Z39" i="36"/>
  <c r="Z50" i="36"/>
  <c r="Z28" i="36"/>
  <c r="Z35" i="36"/>
  <c r="Z46" i="36"/>
  <c r="Z53" i="36"/>
  <c r="Z61" i="36"/>
  <c r="Z54" i="36"/>
  <c r="Z43" i="36"/>
  <c r="Z36" i="36"/>
  <c r="Z33" i="36"/>
  <c r="Z26" i="36"/>
  <c r="Z15" i="36"/>
  <c r="AD27" i="36"/>
  <c r="AD43" i="36"/>
  <c r="AD59" i="36"/>
  <c r="L31" i="37"/>
  <c r="N101" i="35" s="1"/>
  <c r="N105" i="35" s="1"/>
  <c r="N204" i="35" s="1"/>
  <c r="L22" i="37"/>
  <c r="L25" i="37" s="1"/>
  <c r="F22" i="37"/>
  <c r="S15" i="36"/>
  <c r="H31" i="37" s="1"/>
  <c r="R15" i="36"/>
  <c r="G31" i="37" s="1"/>
  <c r="U15" i="36"/>
  <c r="J31" i="37" s="1"/>
  <c r="V23" i="36"/>
  <c r="V39" i="36"/>
  <c r="V55" i="36"/>
  <c r="K270" i="31"/>
  <c r="K196" i="31"/>
  <c r="I31" i="31"/>
  <c r="L166" i="31"/>
  <c r="K294" i="31"/>
  <c r="K237" i="31"/>
  <c r="K229" i="31"/>
  <c r="K214" i="31"/>
  <c r="K197" i="31"/>
  <c r="K158" i="31"/>
  <c r="K292" i="31"/>
  <c r="K260" i="31"/>
  <c r="K230" i="31"/>
  <c r="K198" i="31"/>
  <c r="L247" i="31"/>
  <c r="L117" i="31"/>
  <c r="L105" i="31"/>
  <c r="L118" i="31"/>
  <c r="L180" i="31"/>
  <c r="N51" i="31"/>
  <c r="L189" i="31"/>
  <c r="L75" i="31"/>
  <c r="L84" i="31"/>
  <c r="L149" i="31"/>
  <c r="W108" i="29"/>
  <c r="W68" i="29"/>
  <c r="W60" i="29"/>
  <c r="X60" i="29"/>
  <c r="W87" i="29"/>
  <c r="W99" i="29"/>
  <c r="X104" i="29"/>
  <c r="W114" i="29"/>
  <c r="W126" i="29"/>
  <c r="W14" i="29"/>
  <c r="W16" i="29"/>
  <c r="W18" i="29"/>
  <c r="W20" i="29"/>
  <c r="W22" i="29"/>
  <c r="W24" i="29"/>
  <c r="W26" i="29"/>
  <c r="W28" i="29"/>
  <c r="W30" i="29"/>
  <c r="W32" i="29"/>
  <c r="W34" i="29"/>
  <c r="W36" i="29"/>
  <c r="W38" i="29"/>
  <c r="W40" i="29"/>
  <c r="W42" i="29"/>
  <c r="W44" i="29"/>
  <c r="W46" i="29"/>
  <c r="W48" i="29"/>
  <c r="W50" i="29"/>
  <c r="W52" i="29"/>
  <c r="W104" i="29"/>
  <c r="W107" i="29"/>
  <c r="W112" i="29"/>
  <c r="W115" i="29"/>
  <c r="W116" i="29"/>
  <c r="W119" i="29"/>
  <c r="W124" i="29"/>
  <c r="W136" i="29"/>
  <c r="W15" i="29"/>
  <c r="W17" i="29"/>
  <c r="W19" i="29"/>
  <c r="W21" i="29"/>
  <c r="W23" i="29"/>
  <c r="W25" i="29"/>
  <c r="W27" i="29"/>
  <c r="W29" i="29"/>
  <c r="W31" i="29"/>
  <c r="W33" i="29"/>
  <c r="W35" i="29"/>
  <c r="W37" i="29"/>
  <c r="W39" i="29"/>
  <c r="W41" i="29"/>
  <c r="W43" i="29"/>
  <c r="W45" i="29"/>
  <c r="W47" i="29"/>
  <c r="W49" i="29"/>
  <c r="W51" i="29"/>
  <c r="W13" i="29"/>
  <c r="X21" i="29"/>
  <c r="X31" i="29"/>
  <c r="X43" i="29"/>
  <c r="X44" i="29"/>
  <c r="X24" i="29"/>
  <c r="W123" i="29"/>
  <c r="W65" i="29"/>
  <c r="W57" i="29"/>
  <c r="H200" i="34"/>
  <c r="I21" i="35"/>
  <c r="X48" i="29"/>
  <c r="X30" i="29"/>
  <c r="I200" i="34"/>
  <c r="G200" i="34"/>
  <c r="W117" i="29"/>
  <c r="X115" i="29"/>
  <c r="W106" i="29"/>
  <c r="W94" i="29"/>
  <c r="W91" i="29"/>
  <c r="W83" i="29"/>
  <c r="W67" i="29"/>
  <c r="W78" i="29"/>
  <c r="J14" i="35"/>
  <c r="J21" i="35" s="1"/>
  <c r="X67" i="29"/>
  <c r="W53" i="29"/>
  <c r="W64" i="29"/>
  <c r="W54" i="29"/>
  <c r="W58" i="29"/>
  <c r="X61" i="29"/>
  <c r="X64" i="29"/>
  <c r="X58" i="29"/>
  <c r="X38" i="29"/>
  <c r="X41" i="29"/>
  <c r="X32" i="29"/>
  <c r="X22" i="29"/>
  <c r="X18" i="29"/>
  <c r="W131" i="29"/>
  <c r="W122" i="29"/>
  <c r="W111" i="29"/>
  <c r="W93" i="29"/>
  <c r="K14" i="35"/>
  <c r="K21" i="35" s="1"/>
  <c r="W70" i="29"/>
  <c r="W62" i="29"/>
  <c r="W56" i="29"/>
  <c r="X56" i="29"/>
  <c r="X66" i="29"/>
  <c r="X54" i="29"/>
  <c r="X62" i="29"/>
  <c r="W105" i="29"/>
  <c r="W102" i="29"/>
  <c r="W85" i="29"/>
  <c r="W63" i="29"/>
  <c r="W66" i="29"/>
  <c r="W69" i="29"/>
  <c r="W61" i="29"/>
  <c r="X70" i="29"/>
  <c r="Y54" i="29"/>
  <c r="Y66" i="29"/>
  <c r="Y56" i="29"/>
  <c r="Y44" i="29"/>
  <c r="AB53" i="36"/>
  <c r="AB52" i="36"/>
  <c r="AB36" i="36"/>
  <c r="AB50" i="36"/>
  <c r="H22" i="37"/>
  <c r="J234" i="24"/>
  <c r="J14" i="24" s="1"/>
  <c r="I133" i="18" s="1"/>
  <c r="J32" i="31"/>
  <c r="K53" i="31"/>
  <c r="J300" i="31"/>
  <c r="F40" i="1"/>
  <c r="F107" i="1"/>
  <c r="F108" i="1"/>
  <c r="F109" i="1"/>
  <c r="K116" i="31"/>
  <c r="K148" i="31"/>
  <c r="K188" i="31"/>
  <c r="K92" i="31"/>
  <c r="K125" i="31"/>
  <c r="K157" i="31"/>
  <c r="K64" i="31"/>
  <c r="J33" i="31"/>
  <c r="K88" i="31"/>
  <c r="K96" i="31"/>
  <c r="K126" i="31"/>
  <c r="K134" i="31"/>
  <c r="K150" i="31"/>
  <c r="K182" i="31"/>
  <c r="K190" i="31"/>
  <c r="K94" i="31"/>
  <c r="L115" i="18"/>
  <c r="X59" i="29"/>
  <c r="J59" i="29"/>
  <c r="J59" i="43" s="1"/>
  <c r="Y59" i="43" s="1"/>
  <c r="J79" i="29"/>
  <c r="J79" i="43" s="1"/>
  <c r="Y79" i="43" s="1"/>
  <c r="X79" i="29"/>
  <c r="J86" i="29"/>
  <c r="J86" i="43" s="1"/>
  <c r="Y86" i="43" s="1"/>
  <c r="X86" i="29"/>
  <c r="Y93" i="29"/>
  <c r="X110" i="29"/>
  <c r="J125" i="29"/>
  <c r="J125" i="43" s="1"/>
  <c r="Y125" i="43" s="1"/>
  <c r="J130" i="29"/>
  <c r="J130" i="43" s="1"/>
  <c r="Y130" i="43" s="1"/>
  <c r="X130" i="29"/>
  <c r="T13" i="29"/>
  <c r="T138" i="29" s="1"/>
  <c r="S138" i="29"/>
  <c r="X137" i="29"/>
  <c r="J137" i="29"/>
  <c r="J137" i="43" s="1"/>
  <c r="Y137" i="43" s="1"/>
  <c r="J73" i="29"/>
  <c r="J73" i="43" s="1"/>
  <c r="Y73" i="43" s="1"/>
  <c r="J82" i="29"/>
  <c r="J82" i="43" s="1"/>
  <c r="Y82" i="43" s="1"/>
  <c r="X82" i="29"/>
  <c r="X90" i="29"/>
  <c r="J90" i="29"/>
  <c r="J90" i="43" s="1"/>
  <c r="Y90" i="43" s="1"/>
  <c r="J103" i="29"/>
  <c r="J103" i="43" s="1"/>
  <c r="Y103" i="43" s="1"/>
  <c r="X103" i="29"/>
  <c r="J127" i="29"/>
  <c r="J127" i="43" s="1"/>
  <c r="Y127" i="43" s="1"/>
  <c r="X127" i="29"/>
  <c r="D54" i="22"/>
  <c r="E4" i="22"/>
  <c r="D68" i="22"/>
  <c r="D113" i="22"/>
  <c r="D96" i="22"/>
  <c r="J8" i="35"/>
  <c r="J95" i="35" s="1"/>
  <c r="G8" i="38"/>
  <c r="H114" i="34"/>
  <c r="G8" i="40"/>
  <c r="W10" i="29"/>
  <c r="I19" i="48"/>
  <c r="H27" i="34"/>
  <c r="K241" i="24"/>
  <c r="W10" i="43"/>
  <c r="AB10" i="29"/>
  <c r="AB10" i="43"/>
  <c r="I8" i="39"/>
  <c r="J180" i="18"/>
  <c r="H24" i="31"/>
  <c r="H37" i="31"/>
  <c r="L52" i="31"/>
  <c r="K83" i="31"/>
  <c r="J26" i="31"/>
  <c r="K132" i="31"/>
  <c r="K164" i="31"/>
  <c r="K76" i="31"/>
  <c r="J29" i="31"/>
  <c r="K109" i="31"/>
  <c r="K181" i="31"/>
  <c r="L77" i="31"/>
  <c r="M77" i="31" s="1"/>
  <c r="K93" i="31"/>
  <c r="L110" i="31"/>
  <c r="M110" i="31" s="1"/>
  <c r="K129" i="31"/>
  <c r="L161" i="31"/>
  <c r="M161" i="31" s="1"/>
  <c r="K185" i="31"/>
  <c r="K108" i="31"/>
  <c r="K54" i="31"/>
  <c r="J27" i="31"/>
  <c r="K52" i="39"/>
  <c r="L52" i="39" s="1"/>
  <c r="L55" i="39" s="1"/>
  <c r="J55" i="39"/>
  <c r="X72" i="29"/>
  <c r="J74" i="29"/>
  <c r="J74" i="43" s="1"/>
  <c r="Y74" i="43" s="1"/>
  <c r="X74" i="29"/>
  <c r="J76" i="29"/>
  <c r="J76" i="43" s="1"/>
  <c r="Y76" i="43" s="1"/>
  <c r="J101" i="29"/>
  <c r="J101" i="43" s="1"/>
  <c r="Y101" i="43" s="1"/>
  <c r="X101" i="29"/>
  <c r="Y102" i="29"/>
  <c r="J113" i="29"/>
  <c r="J113" i="43" s="1"/>
  <c r="Y113" i="43" s="1"/>
  <c r="J118" i="29"/>
  <c r="J118" i="43" s="1"/>
  <c r="Y118" i="43" s="1"/>
  <c r="X118" i="29"/>
  <c r="X71" i="29"/>
  <c r="J71" i="29"/>
  <c r="J71" i="43" s="1"/>
  <c r="Y71" i="43" s="1"/>
  <c r="J75" i="29"/>
  <c r="J75" i="43" s="1"/>
  <c r="Y75" i="43" s="1"/>
  <c r="X75" i="29"/>
  <c r="X88" i="29"/>
  <c r="J97" i="29"/>
  <c r="J97" i="43" s="1"/>
  <c r="Y97" i="43" s="1"/>
  <c r="X97" i="29"/>
  <c r="X129" i="29"/>
  <c r="J132" i="29"/>
  <c r="J132" i="43" s="1"/>
  <c r="Y132" i="43" s="1"/>
  <c r="X132" i="29"/>
  <c r="K164" i="35"/>
  <c r="J150" i="34" l="1"/>
  <c r="J140" i="34"/>
  <c r="J66" i="34"/>
  <c r="J58" i="34"/>
  <c r="J70" i="51"/>
  <c r="N121" i="43"/>
  <c r="N88" i="43"/>
  <c r="I187" i="51"/>
  <c r="I106" i="51"/>
  <c r="G176" i="51"/>
  <c r="M56" i="31"/>
  <c r="M49" i="24"/>
  <c r="M251" i="24"/>
  <c r="M250" i="24"/>
  <c r="M48" i="24"/>
  <c r="M55" i="31"/>
  <c r="L47" i="24"/>
  <c r="L249" i="24"/>
  <c r="M52" i="31"/>
  <c r="M247" i="24"/>
  <c r="M45" i="24"/>
  <c r="L248" i="24"/>
  <c r="L46" i="24"/>
  <c r="O51" i="31"/>
  <c r="O246" i="24"/>
  <c r="O44" i="24"/>
  <c r="N246" i="24"/>
  <c r="N44" i="24"/>
  <c r="N55" i="35"/>
  <c r="O52" i="35"/>
  <c r="O55" i="35" s="1"/>
  <c r="O66" i="35"/>
  <c r="O200" i="35" s="1"/>
  <c r="K117" i="13"/>
  <c r="U117" i="13" s="1"/>
  <c r="H113" i="13"/>
  <c r="AG113" i="13" s="1"/>
  <c r="H130" i="13"/>
  <c r="AG130" i="13" s="1"/>
  <c r="T118" i="13"/>
  <c r="O94" i="13"/>
  <c r="AE94" i="13" s="1"/>
  <c r="O95" i="13"/>
  <c r="AE95" i="13" s="1"/>
  <c r="G119" i="13"/>
  <c r="AH119" i="13" s="1"/>
  <c r="Q88" i="13"/>
  <c r="O118" i="13"/>
  <c r="O86" i="13"/>
  <c r="AE86" i="13" s="1"/>
  <c r="Q95" i="13"/>
  <c r="G120" i="13"/>
  <c r="AH120" i="13" s="1"/>
  <c r="O97" i="13"/>
  <c r="K124" i="13"/>
  <c r="U124" i="13" s="1"/>
  <c r="G127" i="13"/>
  <c r="AH127" i="13" s="1"/>
  <c r="T97" i="13"/>
  <c r="J99" i="13"/>
  <c r="S99" i="13" s="1"/>
  <c r="H120" i="13"/>
  <c r="AG120" i="13" s="1"/>
  <c r="Q97" i="13"/>
  <c r="Q92" i="13"/>
  <c r="H124" i="13"/>
  <c r="AG124" i="13" s="1"/>
  <c r="H125" i="13"/>
  <c r="AG125" i="13" s="1"/>
  <c r="H131" i="13"/>
  <c r="AG131" i="13" s="1"/>
  <c r="K129" i="13"/>
  <c r="U129" i="13" s="1"/>
  <c r="O92" i="13"/>
  <c r="AE92" i="13" s="1"/>
  <c r="Q120" i="13"/>
  <c r="Q94" i="13"/>
  <c r="G113" i="13"/>
  <c r="AH113" i="13" s="1"/>
  <c r="K130" i="13"/>
  <c r="U130" i="13" s="1"/>
  <c r="Q85" i="13"/>
  <c r="Q90" i="13"/>
  <c r="H119" i="13"/>
  <c r="AG119" i="13" s="1"/>
  <c r="O88" i="13"/>
  <c r="AE88" i="13" s="1"/>
  <c r="Q118" i="13"/>
  <c r="T98" i="13"/>
  <c r="K126" i="13"/>
  <c r="U126" i="13" s="1"/>
  <c r="K127" i="13"/>
  <c r="U127" i="13" s="1"/>
  <c r="O85" i="13"/>
  <c r="H114" i="13"/>
  <c r="AG114" i="13" s="1"/>
  <c r="G129" i="13"/>
  <c r="AH129" i="13" s="1"/>
  <c r="T85" i="13"/>
  <c r="K150" i="13"/>
  <c r="U150" i="13" s="1"/>
  <c r="T94" i="13"/>
  <c r="T86" i="13"/>
  <c r="T95" i="13"/>
  <c r="H121" i="13"/>
  <c r="AG121" i="13" s="1"/>
  <c r="K122" i="13"/>
  <c r="U122" i="13" s="1"/>
  <c r="O84" i="13"/>
  <c r="AE84" i="13" s="1"/>
  <c r="AI188" i="13"/>
  <c r="E220" i="13"/>
  <c r="T90" i="13"/>
  <c r="AI184" i="13"/>
  <c r="E216" i="13"/>
  <c r="O90" i="13"/>
  <c r="AE90" i="13" s="1"/>
  <c r="L136" i="18"/>
  <c r="H37" i="49" s="1"/>
  <c r="M65" i="48"/>
  <c r="N165" i="35" s="1"/>
  <c r="N60" i="48"/>
  <c r="N65" i="48" s="1"/>
  <c r="O165" i="35" s="1"/>
  <c r="M149" i="48"/>
  <c r="N169" i="35" s="1"/>
  <c r="N144" i="48"/>
  <c r="N149" i="48" s="1"/>
  <c r="O169" i="35" s="1"/>
  <c r="M141" i="48"/>
  <c r="N159" i="18" s="1"/>
  <c r="N136" i="48"/>
  <c r="N141" i="48" s="1"/>
  <c r="O159" i="18" s="1"/>
  <c r="M17" i="48"/>
  <c r="N12" i="48"/>
  <c r="N17" i="48" s="1"/>
  <c r="X100" i="43"/>
  <c r="X117" i="43"/>
  <c r="Y93" i="43"/>
  <c r="M33" i="43"/>
  <c r="Y66" i="43"/>
  <c r="W117" i="43"/>
  <c r="N72" i="43"/>
  <c r="X133" i="43"/>
  <c r="M28" i="43"/>
  <c r="X76" i="43"/>
  <c r="X121" i="29"/>
  <c r="N125" i="43"/>
  <c r="I29" i="43"/>
  <c r="X29" i="43" s="1"/>
  <c r="I38" i="43"/>
  <c r="X38" i="43" s="1"/>
  <c r="I107" i="43"/>
  <c r="X107" i="43" s="1"/>
  <c r="J121" i="29"/>
  <c r="J121" i="43" s="1"/>
  <c r="Y121" i="43" s="1"/>
  <c r="N128" i="43"/>
  <c r="N120" i="43"/>
  <c r="O99" i="43"/>
  <c r="W53" i="43"/>
  <c r="Y99" i="29"/>
  <c r="X125" i="29"/>
  <c r="X107" i="29"/>
  <c r="I87" i="43"/>
  <c r="J87" i="29"/>
  <c r="J134" i="29"/>
  <c r="J134" i="43" s="1"/>
  <c r="Y134" i="43" s="1"/>
  <c r="X73" i="29"/>
  <c r="Y94" i="29"/>
  <c r="M112" i="43"/>
  <c r="X98" i="43"/>
  <c r="J100" i="29"/>
  <c r="J100" i="43" s="1"/>
  <c r="Y100" i="43" s="1"/>
  <c r="X113" i="29"/>
  <c r="X100" i="29"/>
  <c r="N134" i="43"/>
  <c r="N113" i="43"/>
  <c r="J46" i="29"/>
  <c r="J129" i="29"/>
  <c r="J129" i="43" s="1"/>
  <c r="Y129" i="43" s="1"/>
  <c r="X133" i="29"/>
  <c r="X76" i="29"/>
  <c r="J72" i="29"/>
  <c r="J72" i="43" s="1"/>
  <c r="Y72" i="43" s="1"/>
  <c r="X95" i="29"/>
  <c r="N95" i="43"/>
  <c r="N110" i="43"/>
  <c r="J60" i="29"/>
  <c r="X129" i="43"/>
  <c r="J133" i="29"/>
  <c r="J133" i="43" s="1"/>
  <c r="Y133" i="43" s="1"/>
  <c r="Y57" i="29"/>
  <c r="J95" i="29"/>
  <c r="J95" i="43" s="1"/>
  <c r="Y95" i="43" s="1"/>
  <c r="Y64" i="29"/>
  <c r="Y29" i="29"/>
  <c r="X112" i="43"/>
  <c r="Y57" i="43"/>
  <c r="J110" i="29"/>
  <c r="J110" i="43" s="1"/>
  <c r="Y110" i="43" s="1"/>
  <c r="M15" i="43"/>
  <c r="W67" i="43"/>
  <c r="X84" i="29"/>
  <c r="X19" i="29"/>
  <c r="X109" i="43"/>
  <c r="X96" i="43"/>
  <c r="X89" i="29"/>
  <c r="J96" i="29"/>
  <c r="J96" i="43" s="1"/>
  <c r="Y96" i="43" s="1"/>
  <c r="N135" i="43"/>
  <c r="X65" i="29"/>
  <c r="N89" i="43"/>
  <c r="J19" i="29"/>
  <c r="J19" i="43" s="1"/>
  <c r="Y19" i="43" s="1"/>
  <c r="Y117" i="29"/>
  <c r="J84" i="29"/>
  <c r="J84" i="43" s="1"/>
  <c r="Y84" i="43" s="1"/>
  <c r="X96" i="29"/>
  <c r="Y18" i="29"/>
  <c r="O117" i="43"/>
  <c r="N84" i="43"/>
  <c r="J65" i="29"/>
  <c r="J65" i="43" s="1"/>
  <c r="Y65" i="43" s="1"/>
  <c r="X81" i="29"/>
  <c r="J109" i="29"/>
  <c r="J109" i="43" s="1"/>
  <c r="Y109" i="43" s="1"/>
  <c r="X135" i="29"/>
  <c r="Y31" i="29"/>
  <c r="Y70" i="29"/>
  <c r="M94" i="43"/>
  <c r="N81" i="43"/>
  <c r="Y112" i="29"/>
  <c r="J89" i="29"/>
  <c r="J89" i="43" s="1"/>
  <c r="Y89" i="43" s="1"/>
  <c r="J81" i="29"/>
  <c r="J81" i="43" s="1"/>
  <c r="Y81" i="43" s="1"/>
  <c r="X109" i="29"/>
  <c r="J135" i="29"/>
  <c r="J135" i="43" s="1"/>
  <c r="Y135" i="43" s="1"/>
  <c r="Y19" i="29"/>
  <c r="O112" i="43"/>
  <c r="N70" i="43"/>
  <c r="X55" i="29"/>
  <c r="Y48" i="29"/>
  <c r="W68" i="43"/>
  <c r="I138" i="29"/>
  <c r="X98" i="29"/>
  <c r="X77" i="29"/>
  <c r="X128" i="29"/>
  <c r="X92" i="29"/>
  <c r="Y61" i="29"/>
  <c r="Y62" i="29"/>
  <c r="Y58" i="29"/>
  <c r="Y43" i="29"/>
  <c r="O94" i="43"/>
  <c r="M42" i="43"/>
  <c r="Y116" i="29"/>
  <c r="J88" i="29"/>
  <c r="J88" i="43" s="1"/>
  <c r="Y88" i="43" s="1"/>
  <c r="J55" i="29"/>
  <c r="J55" i="43" s="1"/>
  <c r="Y55" i="43" s="1"/>
  <c r="J98" i="29"/>
  <c r="J98" i="43" s="1"/>
  <c r="Y98" i="43" s="1"/>
  <c r="X134" i="29"/>
  <c r="J77" i="29"/>
  <c r="J77" i="43" s="1"/>
  <c r="Y77" i="43" s="1"/>
  <c r="J128" i="29"/>
  <c r="J128" i="43" s="1"/>
  <c r="Y128" i="43" s="1"/>
  <c r="Y41" i="29"/>
  <c r="X46" i="29"/>
  <c r="Y21" i="29"/>
  <c r="N77" i="43"/>
  <c r="I53" i="43"/>
  <c r="J53" i="29"/>
  <c r="O53" i="29" s="1"/>
  <c r="Y32" i="29"/>
  <c r="I69" i="43"/>
  <c r="J69" i="29"/>
  <c r="O69" i="29" s="1"/>
  <c r="M34" i="43"/>
  <c r="N58" i="43"/>
  <c r="X92" i="43"/>
  <c r="J80" i="29"/>
  <c r="J80" i="43" s="1"/>
  <c r="Y80" i="43" s="1"/>
  <c r="X120" i="29"/>
  <c r="Y30" i="29"/>
  <c r="O116" i="43"/>
  <c r="N80" i="43"/>
  <c r="I27" i="43"/>
  <c r="X27" i="43" s="1"/>
  <c r="I68" i="43"/>
  <c r="J68" i="29"/>
  <c r="O68" i="29" s="1"/>
  <c r="I42" i="43"/>
  <c r="J42" i="29"/>
  <c r="O42" i="29" s="1"/>
  <c r="X80" i="29"/>
  <c r="J120" i="29"/>
  <c r="J120" i="43" s="1"/>
  <c r="Y120" i="43" s="1"/>
  <c r="J92" i="29"/>
  <c r="J92" i="43" s="1"/>
  <c r="Y92" i="43" s="1"/>
  <c r="Y22" i="29"/>
  <c r="X27" i="29"/>
  <c r="N61" i="43"/>
  <c r="K116" i="13"/>
  <c r="U116" i="13" s="1"/>
  <c r="Q84" i="13"/>
  <c r="K152" i="13"/>
  <c r="U152" i="13" s="1"/>
  <c r="H115" i="13"/>
  <c r="AG115" i="13" s="1"/>
  <c r="T84" i="13"/>
  <c r="T120" i="13"/>
  <c r="O98" i="13"/>
  <c r="AE98" i="13" s="1"/>
  <c r="O120" i="13"/>
  <c r="AE120" i="13" s="1"/>
  <c r="Q98" i="13"/>
  <c r="K162" i="13"/>
  <c r="U162" i="13" s="1"/>
  <c r="AB27" i="36"/>
  <c r="AB20" i="36"/>
  <c r="AB23" i="36"/>
  <c r="AB56" i="36"/>
  <c r="M26" i="43"/>
  <c r="M37" i="43"/>
  <c r="M23" i="43"/>
  <c r="AB26" i="36"/>
  <c r="AB19" i="36"/>
  <c r="AB51" i="36"/>
  <c r="O64" i="43"/>
  <c r="AB17" i="36"/>
  <c r="AB60" i="36"/>
  <c r="AB54" i="36"/>
  <c r="M111" i="43"/>
  <c r="M50" i="43"/>
  <c r="M39" i="43"/>
  <c r="AC17" i="36"/>
  <c r="M35" i="43"/>
  <c r="AC20" i="36"/>
  <c r="O70" i="43"/>
  <c r="AC52" i="36"/>
  <c r="H154" i="51"/>
  <c r="M14" i="43"/>
  <c r="M49" i="43"/>
  <c r="W47" i="43"/>
  <c r="AB41" i="36"/>
  <c r="AB42" i="36"/>
  <c r="AB34" i="36"/>
  <c r="AB31" i="36"/>
  <c r="AB30" i="36"/>
  <c r="AB68" i="36"/>
  <c r="AB28" i="36"/>
  <c r="AC21" i="36"/>
  <c r="AC57" i="36"/>
  <c r="AB49" i="36"/>
  <c r="AB55" i="36"/>
  <c r="AB18" i="36"/>
  <c r="AB57" i="36"/>
  <c r="AB35" i="36"/>
  <c r="AB48" i="36"/>
  <c r="AB61" i="36"/>
  <c r="AB29" i="36"/>
  <c r="AB66" i="36"/>
  <c r="AB37" i="36"/>
  <c r="AB65" i="36"/>
  <c r="AB25" i="36"/>
  <c r="AB24" i="36"/>
  <c r="AB14" i="36"/>
  <c r="AC35" i="36"/>
  <c r="AC41" i="36"/>
  <c r="AC33" i="36"/>
  <c r="AC55" i="36"/>
  <c r="M13" i="43"/>
  <c r="O43" i="43"/>
  <c r="M25" i="43"/>
  <c r="G165" i="51"/>
  <c r="H165" i="51"/>
  <c r="H84" i="51"/>
  <c r="AB21" i="36"/>
  <c r="AB40" i="36"/>
  <c r="AB64" i="36"/>
  <c r="AB33" i="36"/>
  <c r="AB59" i="36"/>
  <c r="AB58" i="36"/>
  <c r="AB67" i="36"/>
  <c r="AC37" i="36"/>
  <c r="AC34" i="36"/>
  <c r="AB22" i="36"/>
  <c r="AB70" i="36"/>
  <c r="AB69" i="36"/>
  <c r="AB46" i="36"/>
  <c r="AB38" i="36"/>
  <c r="AB47" i="36"/>
  <c r="AB62" i="36"/>
  <c r="AB32" i="36"/>
  <c r="AB45" i="36"/>
  <c r="AB16" i="36"/>
  <c r="AB44" i="36"/>
  <c r="AB15" i="36"/>
  <c r="AB39" i="36"/>
  <c r="AB63" i="36"/>
  <c r="AC67" i="36"/>
  <c r="AC22" i="36"/>
  <c r="AC47" i="36"/>
  <c r="M36" i="43"/>
  <c r="N62" i="43"/>
  <c r="M51" i="43"/>
  <c r="I84" i="51"/>
  <c r="G187" i="51"/>
  <c r="V67" i="36"/>
  <c r="V51" i="36"/>
  <c r="V35" i="36"/>
  <c r="V19" i="36"/>
  <c r="AD14" i="36"/>
  <c r="AD55" i="36"/>
  <c r="AD39" i="36"/>
  <c r="AD23" i="36"/>
  <c r="M106" i="43"/>
  <c r="M17" i="43"/>
  <c r="V63" i="36"/>
  <c r="V47" i="36"/>
  <c r="V31" i="36"/>
  <c r="V15" i="36"/>
  <c r="AD67" i="36"/>
  <c r="AD51" i="36"/>
  <c r="AD35" i="36"/>
  <c r="AD19" i="36"/>
  <c r="M126" i="43"/>
  <c r="M20" i="43"/>
  <c r="N64" i="43"/>
  <c r="O61" i="43"/>
  <c r="W45" i="43"/>
  <c r="V59" i="36"/>
  <c r="V43" i="36"/>
  <c r="V27" i="36"/>
  <c r="AD63" i="36"/>
  <c r="AD47" i="36"/>
  <c r="AD31" i="36"/>
  <c r="AD15" i="36"/>
  <c r="E82" i="22"/>
  <c r="G54" i="49"/>
  <c r="G18" i="49"/>
  <c r="G8" i="49"/>
  <c r="K173" i="51"/>
  <c r="K176" i="51" s="1"/>
  <c r="K24" i="1"/>
  <c r="K61" i="51" s="1"/>
  <c r="L34" i="1"/>
  <c r="M34" i="1" s="1"/>
  <c r="G143" i="51"/>
  <c r="J90" i="34"/>
  <c r="K94" i="34"/>
  <c r="J200" i="34"/>
  <c r="J30" i="34" s="1"/>
  <c r="K27" i="1"/>
  <c r="L27" i="1" s="1"/>
  <c r="M27" i="1" s="1"/>
  <c r="H38" i="1"/>
  <c r="H108" i="1" s="1"/>
  <c r="F56" i="49"/>
  <c r="L14" i="35"/>
  <c r="L21" i="35" s="1"/>
  <c r="G132" i="51"/>
  <c r="F63" i="49"/>
  <c r="I72" i="49"/>
  <c r="G72" i="49"/>
  <c r="H72" i="49"/>
  <c r="F72" i="49"/>
  <c r="O83" i="13"/>
  <c r="K101" i="13"/>
  <c r="H50" i="49" s="1"/>
  <c r="M175" i="34"/>
  <c r="M166" i="34"/>
  <c r="J154" i="51"/>
  <c r="I117" i="51"/>
  <c r="I62" i="51"/>
  <c r="H187" i="51"/>
  <c r="G154" i="51"/>
  <c r="M78" i="34"/>
  <c r="M79" i="34"/>
  <c r="M86" i="34"/>
  <c r="M88" i="34" s="1"/>
  <c r="M165" i="34"/>
  <c r="M176" i="34"/>
  <c r="O261" i="31"/>
  <c r="O297" i="31"/>
  <c r="O215" i="31"/>
  <c r="N198" i="18"/>
  <c r="O87" i="18"/>
  <c r="O92" i="18" s="1"/>
  <c r="I63" i="38"/>
  <c r="L197" i="18"/>
  <c r="N67" i="18"/>
  <c r="N197" i="18" s="1"/>
  <c r="K20" i="38" s="1"/>
  <c r="O62" i="18"/>
  <c r="O67" i="18" s="1"/>
  <c r="AC51" i="36"/>
  <c r="AC43" i="36"/>
  <c r="AC53" i="36"/>
  <c r="AC61" i="36"/>
  <c r="AC48" i="36"/>
  <c r="AC42" i="36"/>
  <c r="AC45" i="36"/>
  <c r="AC65" i="36"/>
  <c r="AC59" i="36"/>
  <c r="AC63" i="36"/>
  <c r="AC39" i="36"/>
  <c r="AC24" i="36"/>
  <c r="AC58" i="36"/>
  <c r="AC27" i="36"/>
  <c r="M40" i="43"/>
  <c r="Y58" i="43"/>
  <c r="H117" i="51"/>
  <c r="AC49" i="36"/>
  <c r="AC36" i="36"/>
  <c r="AC30" i="36"/>
  <c r="AC29" i="36"/>
  <c r="AC66" i="36"/>
  <c r="AC32" i="36"/>
  <c r="AC46" i="36"/>
  <c r="AC25" i="36"/>
  <c r="AC31" i="36"/>
  <c r="AC68" i="36"/>
  <c r="AC69" i="36"/>
  <c r="AC64" i="36"/>
  <c r="AC18" i="36"/>
  <c r="AC56" i="36"/>
  <c r="G95" i="51"/>
  <c r="G62" i="51"/>
  <c r="I40" i="51"/>
  <c r="Y12" i="36"/>
  <c r="AC62" i="36"/>
  <c r="AC40" i="36"/>
  <c r="AC70" i="36"/>
  <c r="AC44" i="36"/>
  <c r="AC16" i="36"/>
  <c r="AC19" i="36"/>
  <c r="AC54" i="36"/>
  <c r="AC14" i="36"/>
  <c r="AC26" i="36"/>
  <c r="AC60" i="36"/>
  <c r="AC50" i="36"/>
  <c r="AC23" i="36"/>
  <c r="AC38" i="36"/>
  <c r="AC15" i="36"/>
  <c r="M108" i="43"/>
  <c r="I143" i="51"/>
  <c r="H40" i="51"/>
  <c r="H143" i="51"/>
  <c r="H106" i="51"/>
  <c r="G106" i="51"/>
  <c r="H95" i="51"/>
  <c r="G84" i="51"/>
  <c r="K132" i="51"/>
  <c r="H176" i="51"/>
  <c r="J106" i="51"/>
  <c r="G29" i="51"/>
  <c r="J165" i="51"/>
  <c r="I176" i="51"/>
  <c r="G117" i="51"/>
  <c r="I165" i="51"/>
  <c r="I73" i="51"/>
  <c r="H138" i="18"/>
  <c r="I51" i="51"/>
  <c r="O62" i="43"/>
  <c r="G51" i="51"/>
  <c r="M52" i="43"/>
  <c r="G73" i="51"/>
  <c r="G40" i="51"/>
  <c r="AI69" i="13"/>
  <c r="V70" i="36"/>
  <c r="V66" i="36"/>
  <c r="V62" i="36"/>
  <c r="V58" i="36"/>
  <c r="V54" i="36"/>
  <c r="V50" i="36"/>
  <c r="V46" i="36"/>
  <c r="V42" i="36"/>
  <c r="V38" i="36"/>
  <c r="V34" i="36"/>
  <c r="V30" i="36"/>
  <c r="V26" i="36"/>
  <c r="V22" i="36"/>
  <c r="V18" i="36"/>
  <c r="V14" i="36"/>
  <c r="AD70" i="36"/>
  <c r="AD62" i="36"/>
  <c r="AD54" i="36"/>
  <c r="AD22" i="36"/>
  <c r="V69" i="36"/>
  <c r="V65" i="36"/>
  <c r="V61" i="36"/>
  <c r="V57" i="36"/>
  <c r="V53" i="36"/>
  <c r="V49" i="36"/>
  <c r="V45" i="36"/>
  <c r="V41" i="36"/>
  <c r="V37" i="36"/>
  <c r="V33" i="36"/>
  <c r="V29" i="36"/>
  <c r="V25" i="36"/>
  <c r="V21" i="36"/>
  <c r="V17" i="36"/>
  <c r="AD69" i="36"/>
  <c r="AD65" i="36"/>
  <c r="AD61" i="36"/>
  <c r="AD57" i="36"/>
  <c r="AD53" i="36"/>
  <c r="AD49" i="36"/>
  <c r="AD45" i="36"/>
  <c r="AD41" i="36"/>
  <c r="AD37" i="36"/>
  <c r="AD33" i="36"/>
  <c r="AD29" i="36"/>
  <c r="AD25" i="36"/>
  <c r="AD21" i="36"/>
  <c r="AD17" i="36"/>
  <c r="AD66" i="36"/>
  <c r="AD58" i="36"/>
  <c r="AD50" i="36"/>
  <c r="AD46" i="36"/>
  <c r="AD42" i="36"/>
  <c r="AD38" i="36"/>
  <c r="AD34" i="36"/>
  <c r="AD30" i="36"/>
  <c r="AD26" i="36"/>
  <c r="AD18" i="36"/>
  <c r="V68" i="36"/>
  <c r="V64" i="36"/>
  <c r="V60" i="36"/>
  <c r="V56" i="36"/>
  <c r="V52" i="36"/>
  <c r="V48" i="36"/>
  <c r="V44" i="36"/>
  <c r="V40" i="36"/>
  <c r="V36" i="36"/>
  <c r="V32" i="36"/>
  <c r="V28" i="36"/>
  <c r="V24" i="36"/>
  <c r="V20" i="36"/>
  <c r="V16" i="36"/>
  <c r="AD68" i="36"/>
  <c r="AD64" i="36"/>
  <c r="AD60" i="36"/>
  <c r="AD56" i="36"/>
  <c r="AD52" i="36"/>
  <c r="AD48" i="36"/>
  <c r="AD44" i="36"/>
  <c r="AD40" i="36"/>
  <c r="AD36" i="36"/>
  <c r="AD32" i="36"/>
  <c r="AD28" i="36"/>
  <c r="AD24" i="36"/>
  <c r="AD20" i="36"/>
  <c r="I214" i="48"/>
  <c r="I39" i="48"/>
  <c r="I59" i="48" s="1"/>
  <c r="I79" i="48" s="1"/>
  <c r="I99" i="48" s="1"/>
  <c r="I123" i="48" s="1"/>
  <c r="I143" i="48" s="1"/>
  <c r="I163" i="48" s="1"/>
  <c r="I183" i="48" s="1"/>
  <c r="I203" i="48" s="1"/>
  <c r="J215" i="48"/>
  <c r="H198" i="35"/>
  <c r="T51" i="13"/>
  <c r="U51" i="13" s="1"/>
  <c r="AE51" i="13"/>
  <c r="O82" i="13"/>
  <c r="O69" i="13"/>
  <c r="S83" i="13"/>
  <c r="P83" i="13"/>
  <c r="Z83" i="13"/>
  <c r="AB51" i="13"/>
  <c r="AC51" i="13"/>
  <c r="AD18" i="13"/>
  <c r="M101" i="13"/>
  <c r="M113" i="13"/>
  <c r="E131" i="13"/>
  <c r="AI131" i="13" s="1"/>
  <c r="L190" i="18"/>
  <c r="K70" i="18"/>
  <c r="K163" i="18"/>
  <c r="E155" i="13"/>
  <c r="AI155" i="13" s="1"/>
  <c r="T160" i="13"/>
  <c r="Q160" i="13"/>
  <c r="O160" i="13"/>
  <c r="T152" i="13"/>
  <c r="H148" i="13"/>
  <c r="AG148" i="13" s="1"/>
  <c r="H149" i="13"/>
  <c r="AG149" i="13" s="1"/>
  <c r="AI148" i="13"/>
  <c r="J148" i="13"/>
  <c r="S148" i="13" s="1"/>
  <c r="E180" i="13"/>
  <c r="E212" i="13" s="1"/>
  <c r="K146" i="13"/>
  <c r="O114" i="13"/>
  <c r="H154" i="13"/>
  <c r="AG154" i="13" s="1"/>
  <c r="K163" i="13"/>
  <c r="U163" i="13" s="1"/>
  <c r="T131" i="13"/>
  <c r="Q131" i="13"/>
  <c r="O131" i="13"/>
  <c r="AE131" i="13" s="1"/>
  <c r="H160" i="13"/>
  <c r="AG160" i="13" s="1"/>
  <c r="H152" i="13"/>
  <c r="AG152" i="13" s="1"/>
  <c r="H158" i="13"/>
  <c r="AG158" i="13" s="1"/>
  <c r="O128" i="13"/>
  <c r="T128" i="13"/>
  <c r="Q128" i="13"/>
  <c r="H155" i="13"/>
  <c r="AG155" i="13" s="1"/>
  <c r="H150" i="13"/>
  <c r="AG150" i="13" s="1"/>
  <c r="Q121" i="13"/>
  <c r="O121" i="13"/>
  <c r="T121" i="13"/>
  <c r="K153" i="13"/>
  <c r="U153" i="13" s="1"/>
  <c r="T127" i="13"/>
  <c r="Q127" i="13"/>
  <c r="O127" i="13"/>
  <c r="AE127" i="13" s="1"/>
  <c r="K159" i="13"/>
  <c r="U159" i="13" s="1"/>
  <c r="H161" i="13"/>
  <c r="AG161" i="13" s="1"/>
  <c r="AI152" i="13"/>
  <c r="J152" i="13"/>
  <c r="S152" i="13" s="1"/>
  <c r="Q162" i="13"/>
  <c r="O162" i="13"/>
  <c r="T162" i="13"/>
  <c r="Q130" i="13"/>
  <c r="O130" i="13"/>
  <c r="T130" i="13"/>
  <c r="H156" i="13"/>
  <c r="AG156" i="13" s="1"/>
  <c r="K151" i="13"/>
  <c r="U151" i="13" s="1"/>
  <c r="T119" i="13"/>
  <c r="Q119" i="13"/>
  <c r="O119" i="13"/>
  <c r="AE119" i="13" s="1"/>
  <c r="K145" i="13"/>
  <c r="O113" i="13"/>
  <c r="H164" i="13"/>
  <c r="AG164" i="13" s="1"/>
  <c r="H157" i="13"/>
  <c r="AG157" i="13" s="1"/>
  <c r="K157" i="13"/>
  <c r="U157" i="13" s="1"/>
  <c r="Q125" i="13"/>
  <c r="O125" i="13"/>
  <c r="AE125" i="13" s="1"/>
  <c r="T125" i="13"/>
  <c r="K156" i="13"/>
  <c r="U156" i="13" s="1"/>
  <c r="O124" i="13"/>
  <c r="AE124" i="13" s="1"/>
  <c r="T124" i="13"/>
  <c r="Q124" i="13"/>
  <c r="K147" i="13"/>
  <c r="O115" i="13"/>
  <c r="AH101" i="13"/>
  <c r="K149" i="13"/>
  <c r="U149" i="13" s="1"/>
  <c r="Q117" i="13"/>
  <c r="O117" i="13"/>
  <c r="T117" i="13"/>
  <c r="K155" i="13"/>
  <c r="U155" i="13" s="1"/>
  <c r="T123" i="13"/>
  <c r="Q123" i="13"/>
  <c r="O123" i="13"/>
  <c r="AE123" i="13" s="1"/>
  <c r="Q116" i="13"/>
  <c r="H159" i="13"/>
  <c r="AG159" i="13" s="1"/>
  <c r="O132" i="13"/>
  <c r="T132" i="13"/>
  <c r="Q132" i="13"/>
  <c r="K164" i="13"/>
  <c r="U164" i="13" s="1"/>
  <c r="T150" i="13"/>
  <c r="E146" i="13"/>
  <c r="AI114" i="13"/>
  <c r="H29" i="51"/>
  <c r="I113" i="13"/>
  <c r="J185" i="51"/>
  <c r="J187" i="51" s="1"/>
  <c r="J98" i="34"/>
  <c r="I25" i="35"/>
  <c r="J21" i="24" s="1"/>
  <c r="K35" i="1"/>
  <c r="K184" i="51" s="1"/>
  <c r="G196" i="51"/>
  <c r="G14" i="51" s="1"/>
  <c r="G40" i="1"/>
  <c r="G52" i="1" s="1"/>
  <c r="G145" i="51" s="1"/>
  <c r="G107" i="1"/>
  <c r="J71" i="51"/>
  <c r="J73" i="51" s="1"/>
  <c r="J23" i="31"/>
  <c r="J24" i="31" s="1"/>
  <c r="J31" i="18" s="1"/>
  <c r="K190" i="18"/>
  <c r="H19" i="38" s="1"/>
  <c r="AF87" i="13"/>
  <c r="AF150" i="13"/>
  <c r="AF122" i="13"/>
  <c r="AF118" i="13"/>
  <c r="AF127" i="13"/>
  <c r="AF85" i="13"/>
  <c r="E132" i="13"/>
  <c r="AI132" i="13" s="1"/>
  <c r="AE100" i="13"/>
  <c r="J100" i="13"/>
  <c r="S100" i="13" s="1"/>
  <c r="AF154" i="13"/>
  <c r="J123" i="13"/>
  <c r="S123" i="13" s="1"/>
  <c r="J126" i="13"/>
  <c r="S126" i="13" s="1"/>
  <c r="AF98" i="13"/>
  <c r="E158" i="13"/>
  <c r="AI158" i="13" s="1"/>
  <c r="AF94" i="13"/>
  <c r="AF123" i="13"/>
  <c r="AF95" i="13"/>
  <c r="AF125" i="13"/>
  <c r="G116" i="13"/>
  <c r="AH116" i="13" s="1"/>
  <c r="G128" i="13"/>
  <c r="AH128" i="13" s="1"/>
  <c r="AF114" i="13"/>
  <c r="AF100" i="13"/>
  <c r="E129" i="13"/>
  <c r="AI129" i="13" s="1"/>
  <c r="J97" i="13"/>
  <c r="S97" i="13" s="1"/>
  <c r="AE97" i="13"/>
  <c r="G124" i="13"/>
  <c r="AH124" i="13" s="1"/>
  <c r="G152" i="13"/>
  <c r="AH152" i="13" s="1"/>
  <c r="G132" i="13"/>
  <c r="AH132" i="13" s="1"/>
  <c r="J98" i="13"/>
  <c r="S98" i="13" s="1"/>
  <c r="E130" i="13"/>
  <c r="AI130" i="13" s="1"/>
  <c r="I33" i="43"/>
  <c r="J33" i="29"/>
  <c r="O33" i="29" s="1"/>
  <c r="J15" i="29"/>
  <c r="I15" i="43"/>
  <c r="I39" i="43"/>
  <c r="J39" i="29"/>
  <c r="O39" i="29" s="1"/>
  <c r="G126" i="13"/>
  <c r="AH126" i="13" s="1"/>
  <c r="AF88" i="13"/>
  <c r="AF81" i="13"/>
  <c r="J37" i="29"/>
  <c r="O37" i="29" s="1"/>
  <c r="I37" i="43"/>
  <c r="J45" i="29"/>
  <c r="O45" i="29" s="1"/>
  <c r="I45" i="43"/>
  <c r="I17" i="43"/>
  <c r="J17" i="29"/>
  <c r="O17" i="29" s="1"/>
  <c r="G122" i="13"/>
  <c r="AH122" i="13" s="1"/>
  <c r="I36" i="43"/>
  <c r="J36" i="29"/>
  <c r="O36" i="29" s="1"/>
  <c r="I16" i="43"/>
  <c r="J16" i="29"/>
  <c r="O16" i="29" s="1"/>
  <c r="L34" i="37"/>
  <c r="M114" i="43"/>
  <c r="M104" i="43"/>
  <c r="J93" i="51"/>
  <c r="J95" i="51" s="1"/>
  <c r="AF84" i="13"/>
  <c r="I52" i="43"/>
  <c r="J52" i="29"/>
  <c r="O52" i="29" s="1"/>
  <c r="I20" i="43"/>
  <c r="J20" i="29"/>
  <c r="O20" i="29" s="1"/>
  <c r="I50" i="43"/>
  <c r="J50" i="29"/>
  <c r="O50" i="29" s="1"/>
  <c r="I67" i="43"/>
  <c r="J67" i="29"/>
  <c r="O67" i="29" s="1"/>
  <c r="AF129" i="13"/>
  <c r="K17" i="1"/>
  <c r="I55" i="49" s="1"/>
  <c r="L22" i="31"/>
  <c r="H38" i="40"/>
  <c r="K16" i="39"/>
  <c r="L16" i="39" s="1"/>
  <c r="J38" i="40" s="1"/>
  <c r="J111" i="29"/>
  <c r="O111" i="29" s="1"/>
  <c r="I111" i="43"/>
  <c r="I26" i="43"/>
  <c r="J26" i="29"/>
  <c r="O26" i="29" s="1"/>
  <c r="H25" i="40"/>
  <c r="H26" i="40" s="1"/>
  <c r="F12" i="34"/>
  <c r="H62" i="51"/>
  <c r="I51" i="43"/>
  <c r="J51" i="29"/>
  <c r="O51" i="29" s="1"/>
  <c r="J25" i="29"/>
  <c r="O25" i="29" s="1"/>
  <c r="I25" i="43"/>
  <c r="I49" i="43"/>
  <c r="J49" i="29"/>
  <c r="O49" i="29" s="1"/>
  <c r="J13" i="29"/>
  <c r="O13" i="29" s="1"/>
  <c r="I13" i="43"/>
  <c r="G118" i="13"/>
  <c r="AH118" i="13" s="1"/>
  <c r="I23" i="43"/>
  <c r="J23" i="29"/>
  <c r="O23" i="29" s="1"/>
  <c r="E147" i="13"/>
  <c r="AI147" i="13" s="1"/>
  <c r="J115" i="13"/>
  <c r="J47" i="29"/>
  <c r="O47" i="29" s="1"/>
  <c r="I47" i="43"/>
  <c r="G147" i="13"/>
  <c r="AH147" i="13" s="1"/>
  <c r="I35" i="43"/>
  <c r="J35" i="29"/>
  <c r="O35" i="29" s="1"/>
  <c r="G130" i="13"/>
  <c r="AH130" i="13" s="1"/>
  <c r="G114" i="13"/>
  <c r="AH114" i="13" s="1"/>
  <c r="I28" i="43"/>
  <c r="J28" i="29"/>
  <c r="O28" i="29" s="1"/>
  <c r="AF92" i="13"/>
  <c r="M78" i="43"/>
  <c r="AF128" i="13"/>
  <c r="AF131" i="13"/>
  <c r="I108" i="43"/>
  <c r="J108" i="29"/>
  <c r="I40" i="43"/>
  <c r="J40" i="29"/>
  <c r="O40" i="29" s="1"/>
  <c r="I34" i="43"/>
  <c r="J34" i="29"/>
  <c r="I14" i="43"/>
  <c r="J14" i="29"/>
  <c r="O14" i="29" s="1"/>
  <c r="J22" i="54"/>
  <c r="L83" i="18"/>
  <c r="H27" i="38"/>
  <c r="J205" i="35"/>
  <c r="G70" i="38" s="1"/>
  <c r="M119" i="35"/>
  <c r="L122" i="35"/>
  <c r="L125" i="35" s="1"/>
  <c r="J63" i="38"/>
  <c r="G62" i="38"/>
  <c r="M32" i="35"/>
  <c r="L35" i="35"/>
  <c r="F20" i="38"/>
  <c r="J20" i="38"/>
  <c r="G19" i="38"/>
  <c r="H20" i="38"/>
  <c r="N117" i="18"/>
  <c r="O117" i="18" s="1"/>
  <c r="G20" i="38"/>
  <c r="I20" i="38"/>
  <c r="M105" i="43"/>
  <c r="M91" i="43"/>
  <c r="N46" i="43"/>
  <c r="O18" i="43"/>
  <c r="O21" i="43"/>
  <c r="H105" i="34"/>
  <c r="H22" i="34" s="1"/>
  <c r="H26" i="38"/>
  <c r="H197" i="51"/>
  <c r="H15" i="51" s="1"/>
  <c r="H196" i="51"/>
  <c r="H14" i="51" s="1"/>
  <c r="J117" i="51"/>
  <c r="J164" i="51"/>
  <c r="K33" i="1"/>
  <c r="J180" i="34"/>
  <c r="J141" i="51"/>
  <c r="J143" i="51" s="1"/>
  <c r="K31" i="1"/>
  <c r="J170" i="34"/>
  <c r="J186" i="51"/>
  <c r="J190" i="34"/>
  <c r="K175" i="51"/>
  <c r="K185" i="34"/>
  <c r="K116" i="51"/>
  <c r="K115" i="51"/>
  <c r="K114" i="51"/>
  <c r="J50" i="51"/>
  <c r="J49" i="51"/>
  <c r="J51" i="51" s="1"/>
  <c r="L131" i="51"/>
  <c r="L129" i="51"/>
  <c r="L130" i="51"/>
  <c r="L153" i="51"/>
  <c r="L152" i="51"/>
  <c r="L151" i="51"/>
  <c r="K154" i="51"/>
  <c r="K106" i="51"/>
  <c r="J132" i="51"/>
  <c r="I95" i="51"/>
  <c r="J176" i="51"/>
  <c r="L106" i="51"/>
  <c r="K72" i="51"/>
  <c r="K71" i="51"/>
  <c r="K70" i="51"/>
  <c r="J39" i="51"/>
  <c r="J38" i="51"/>
  <c r="J37" i="51"/>
  <c r="K60" i="51"/>
  <c r="J83" i="51"/>
  <c r="J82" i="51"/>
  <c r="J84" i="51" s="1"/>
  <c r="L175" i="51"/>
  <c r="L174" i="51"/>
  <c r="G105" i="34"/>
  <c r="G22" i="34" s="1"/>
  <c r="J61" i="51"/>
  <c r="J60" i="51"/>
  <c r="J59" i="51"/>
  <c r="J135" i="34"/>
  <c r="I28" i="51"/>
  <c r="I197" i="51" s="1"/>
  <c r="I15" i="51" s="1"/>
  <c r="I27" i="51"/>
  <c r="I196" i="51" s="1"/>
  <c r="I14" i="51" s="1"/>
  <c r="I37" i="38"/>
  <c r="H40" i="38"/>
  <c r="I38" i="38"/>
  <c r="I195" i="51"/>
  <c r="I13" i="51" s="1"/>
  <c r="H195" i="51"/>
  <c r="H13" i="51" s="1"/>
  <c r="I34" i="37"/>
  <c r="H19" i="40" s="1"/>
  <c r="M136" i="43"/>
  <c r="M122" i="43"/>
  <c r="M85" i="43"/>
  <c r="O48" i="43"/>
  <c r="G195" i="51"/>
  <c r="G13" i="51" s="1"/>
  <c r="AA38" i="36"/>
  <c r="AA36" i="36"/>
  <c r="AA33" i="36"/>
  <c r="AA32" i="36"/>
  <c r="AA26" i="36"/>
  <c r="AA34" i="36"/>
  <c r="AA58" i="36"/>
  <c r="AA31" i="36"/>
  <c r="AA24" i="36"/>
  <c r="AA62" i="36"/>
  <c r="AA57" i="36"/>
  <c r="AA27" i="36"/>
  <c r="AA51" i="36"/>
  <c r="AA64" i="36"/>
  <c r="AA52" i="36"/>
  <c r="AA53" i="36"/>
  <c r="AA48" i="36"/>
  <c r="AA43" i="36"/>
  <c r="AA67" i="36"/>
  <c r="AA45" i="36"/>
  <c r="AA14" i="36"/>
  <c r="AA61" i="36"/>
  <c r="AA41" i="36"/>
  <c r="AA40" i="36"/>
  <c r="AA21" i="36"/>
  <c r="AA22" i="36"/>
  <c r="AA18" i="36"/>
  <c r="AA37" i="36"/>
  <c r="AA63" i="36"/>
  <c r="AA68" i="36"/>
  <c r="AA25" i="36"/>
  <c r="AA29" i="36"/>
  <c r="AA19" i="36"/>
  <c r="AA28" i="36"/>
  <c r="AA23" i="36"/>
  <c r="AA46" i="36"/>
  <c r="AA56" i="36"/>
  <c r="AA16" i="36"/>
  <c r="AA30" i="36"/>
  <c r="AA59" i="36"/>
  <c r="AA55" i="36"/>
  <c r="AA47" i="36"/>
  <c r="AA54" i="36"/>
  <c r="AA20" i="36"/>
  <c r="AA15" i="36"/>
  <c r="AA42" i="36"/>
  <c r="AA39" i="36"/>
  <c r="AA44" i="36"/>
  <c r="AA60" i="36"/>
  <c r="AA70" i="36"/>
  <c r="AA69" i="36"/>
  <c r="AA49" i="36"/>
  <c r="AA50" i="36"/>
  <c r="AA17" i="36"/>
  <c r="AA66" i="36"/>
  <c r="AA65" i="36"/>
  <c r="AA35" i="36"/>
  <c r="T12" i="36"/>
  <c r="R12" i="36"/>
  <c r="M83" i="43"/>
  <c r="N65" i="43"/>
  <c r="O24" i="43"/>
  <c r="S12" i="36"/>
  <c r="I8" i="37"/>
  <c r="H81" i="22"/>
  <c r="N36" i="18" s="1"/>
  <c r="N41" i="18" s="1"/>
  <c r="C81" i="22"/>
  <c r="F198" i="51"/>
  <c r="F16" i="51" s="1"/>
  <c r="F14" i="51"/>
  <c r="J149" i="35"/>
  <c r="K149" i="35" s="1"/>
  <c r="L149" i="35" s="1"/>
  <c r="M149" i="35" s="1"/>
  <c r="N149" i="35" s="1"/>
  <c r="O149" i="35" s="1"/>
  <c r="H40" i="31"/>
  <c r="K18" i="1"/>
  <c r="M16" i="18" s="1"/>
  <c r="H138" i="43"/>
  <c r="H157" i="43" s="1"/>
  <c r="M123" i="43"/>
  <c r="N60" i="43"/>
  <c r="N48" i="43"/>
  <c r="N44" i="43"/>
  <c r="L103" i="1"/>
  <c r="M103" i="1" s="1"/>
  <c r="M133" i="35"/>
  <c r="AE8" i="36"/>
  <c r="W15" i="36"/>
  <c r="W17" i="36"/>
  <c r="W19" i="36"/>
  <c r="W21" i="36"/>
  <c r="W23" i="36"/>
  <c r="W25" i="36"/>
  <c r="W27" i="36"/>
  <c r="W29" i="36"/>
  <c r="W31" i="36"/>
  <c r="W33" i="36"/>
  <c r="W35" i="36"/>
  <c r="W37" i="36"/>
  <c r="W39" i="36"/>
  <c r="W41" i="36"/>
  <c r="W43" i="36"/>
  <c r="W45" i="36"/>
  <c r="W47" i="36"/>
  <c r="W49" i="36"/>
  <c r="W51" i="36"/>
  <c r="W53" i="36"/>
  <c r="W55" i="36"/>
  <c r="W57" i="36"/>
  <c r="W59" i="36"/>
  <c r="W61" i="36"/>
  <c r="W63" i="36"/>
  <c r="W65" i="36"/>
  <c r="W67" i="36"/>
  <c r="W69" i="36"/>
  <c r="W14" i="36"/>
  <c r="W16" i="36"/>
  <c r="W18" i="36"/>
  <c r="W20" i="36"/>
  <c r="W22" i="36"/>
  <c r="W24" i="36"/>
  <c r="W26" i="36"/>
  <c r="W28" i="36"/>
  <c r="W30" i="36"/>
  <c r="W32" i="36"/>
  <c r="W34" i="36"/>
  <c r="W36" i="36"/>
  <c r="W38" i="36"/>
  <c r="W40" i="36"/>
  <c r="W42" i="36"/>
  <c r="W44" i="36"/>
  <c r="W46" i="36"/>
  <c r="W48" i="36"/>
  <c r="W50" i="36"/>
  <c r="W52" i="36"/>
  <c r="W54" i="36"/>
  <c r="W56" i="36"/>
  <c r="W58" i="36"/>
  <c r="W60" i="36"/>
  <c r="W62" i="36"/>
  <c r="W64" i="36"/>
  <c r="W66" i="36"/>
  <c r="W68" i="36"/>
  <c r="W70" i="36"/>
  <c r="M115" i="43"/>
  <c r="N43" i="43"/>
  <c r="N41" i="43"/>
  <c r="N31" i="43"/>
  <c r="N29" i="43"/>
  <c r="N21" i="43"/>
  <c r="N19" i="43"/>
  <c r="M63" i="43"/>
  <c r="N24" i="43"/>
  <c r="N22" i="43"/>
  <c r="N18" i="43"/>
  <c r="G56" i="1"/>
  <c r="F55" i="1"/>
  <c r="F56" i="1"/>
  <c r="G108" i="1"/>
  <c r="H56" i="1"/>
  <c r="L185" i="34"/>
  <c r="L94" i="34"/>
  <c r="H55" i="1"/>
  <c r="F53" i="1"/>
  <c r="F54" i="1"/>
  <c r="G54" i="1"/>
  <c r="H54" i="1"/>
  <c r="L175" i="34"/>
  <c r="L86" i="34"/>
  <c r="G53" i="1"/>
  <c r="F51" i="1"/>
  <c r="F52" i="1"/>
  <c r="G47" i="1"/>
  <c r="G51" i="1"/>
  <c r="F49" i="1"/>
  <c r="F50" i="1"/>
  <c r="H48" i="1"/>
  <c r="G50" i="1"/>
  <c r="G49" i="1"/>
  <c r="F47" i="1"/>
  <c r="F48" i="1"/>
  <c r="G48" i="1"/>
  <c r="H45" i="1"/>
  <c r="H47" i="1"/>
  <c r="K26" i="1"/>
  <c r="J62" i="34"/>
  <c r="J145" i="34"/>
  <c r="L24" i="1"/>
  <c r="M24" i="1" s="1"/>
  <c r="F45" i="1"/>
  <c r="F46" i="1"/>
  <c r="H46" i="1"/>
  <c r="G45" i="1"/>
  <c r="G46" i="1"/>
  <c r="G43" i="1"/>
  <c r="G44" i="1"/>
  <c r="K23" i="1"/>
  <c r="J50" i="34"/>
  <c r="J130" i="34"/>
  <c r="F43" i="1"/>
  <c r="F44" i="1"/>
  <c r="H44" i="1"/>
  <c r="H43" i="1"/>
  <c r="K22" i="1"/>
  <c r="K46" i="34" s="1"/>
  <c r="J125" i="34"/>
  <c r="F199" i="34"/>
  <c r="F42" i="1"/>
  <c r="J21" i="1"/>
  <c r="I42" i="34"/>
  <c r="I105" i="34" s="1"/>
  <c r="I22" i="34" s="1"/>
  <c r="I120" i="34"/>
  <c r="I36" i="1"/>
  <c r="I177" i="34" s="1"/>
  <c r="V157" i="43"/>
  <c r="M131" i="43"/>
  <c r="M119" i="43"/>
  <c r="M124" i="43"/>
  <c r="O32" i="43"/>
  <c r="O30" i="43"/>
  <c r="O22" i="43"/>
  <c r="N38" i="43"/>
  <c r="W138" i="29"/>
  <c r="J436" i="24"/>
  <c r="J20" i="24" s="1"/>
  <c r="L138" i="43"/>
  <c r="O44" i="43"/>
  <c r="O41" i="43"/>
  <c r="N32" i="43"/>
  <c r="O31" i="43"/>
  <c r="N30" i="43"/>
  <c r="O29" i="43"/>
  <c r="U12" i="36"/>
  <c r="O132" i="43"/>
  <c r="O130" i="43"/>
  <c r="O118" i="43"/>
  <c r="O90" i="43"/>
  <c r="O86" i="43"/>
  <c r="O82" i="43"/>
  <c r="I122" i="43"/>
  <c r="X122" i="29"/>
  <c r="J122" i="29"/>
  <c r="O122" i="29" s="1"/>
  <c r="I85" i="43"/>
  <c r="J85" i="29"/>
  <c r="O85" i="29" s="1"/>
  <c r="X85" i="29"/>
  <c r="I136" i="43"/>
  <c r="X136" i="29"/>
  <c r="J136" i="29"/>
  <c r="O136" i="29" s="1"/>
  <c r="AE89" i="13"/>
  <c r="J89" i="13"/>
  <c r="S89" i="13" s="1"/>
  <c r="E121" i="13"/>
  <c r="AI121" i="13" s="1"/>
  <c r="E117" i="13"/>
  <c r="AI117" i="13" s="1"/>
  <c r="AE85" i="13"/>
  <c r="J85" i="13"/>
  <c r="S85" i="13" s="1"/>
  <c r="L78" i="34"/>
  <c r="L165" i="34"/>
  <c r="I123" i="43"/>
  <c r="J123" i="29"/>
  <c r="O123" i="29" s="1"/>
  <c r="I83" i="43"/>
  <c r="J83" i="29"/>
  <c r="O83" i="29" s="1"/>
  <c r="G157" i="13"/>
  <c r="AH157" i="13" s="1"/>
  <c r="G153" i="13"/>
  <c r="AH153" i="13" s="1"/>
  <c r="G149" i="13"/>
  <c r="AH149" i="13" s="1"/>
  <c r="J125" i="13"/>
  <c r="S125" i="13" s="1"/>
  <c r="E157" i="13"/>
  <c r="AI157" i="13" s="1"/>
  <c r="AF89" i="13"/>
  <c r="O137" i="43"/>
  <c r="O127" i="43"/>
  <c r="O125" i="43"/>
  <c r="O113" i="43"/>
  <c r="O76" i="43"/>
  <c r="O74" i="43"/>
  <c r="O103" i="43"/>
  <c r="O101" i="43"/>
  <c r="O97" i="43"/>
  <c r="O79" i="43"/>
  <c r="O75" i="43"/>
  <c r="O73" i="43"/>
  <c r="O71" i="43"/>
  <c r="O59" i="43"/>
  <c r="I131" i="43"/>
  <c r="J131" i="29"/>
  <c r="O131" i="29" s="1"/>
  <c r="I124" i="43"/>
  <c r="J124" i="29"/>
  <c r="O124" i="29" s="1"/>
  <c r="J115" i="29"/>
  <c r="O115" i="29" s="1"/>
  <c r="I115" i="43"/>
  <c r="I106" i="43"/>
  <c r="J106" i="29"/>
  <c r="O106" i="29" s="1"/>
  <c r="I104" i="43"/>
  <c r="J104" i="29"/>
  <c r="O104" i="29" s="1"/>
  <c r="I78" i="43"/>
  <c r="J78" i="29"/>
  <c r="O78" i="29" s="1"/>
  <c r="I63" i="43"/>
  <c r="J63" i="29"/>
  <c r="O63" i="29" s="1"/>
  <c r="G163" i="13"/>
  <c r="AH163" i="13" s="1"/>
  <c r="G155" i="13"/>
  <c r="AH155" i="13" s="1"/>
  <c r="AE96" i="13"/>
  <c r="J96" i="13"/>
  <c r="S96" i="13" s="1"/>
  <c r="E128" i="13"/>
  <c r="AI128" i="13" s="1"/>
  <c r="J90" i="13"/>
  <c r="S90" i="13" s="1"/>
  <c r="E122" i="13"/>
  <c r="AI122" i="13" s="1"/>
  <c r="AF83" i="13"/>
  <c r="J46" i="43"/>
  <c r="Y46" i="29"/>
  <c r="J38" i="43"/>
  <c r="Y38" i="29"/>
  <c r="J27" i="43"/>
  <c r="Y27" i="29"/>
  <c r="J107" i="43"/>
  <c r="Y107" i="29"/>
  <c r="I126" i="43"/>
  <c r="X126" i="29"/>
  <c r="J126" i="29"/>
  <c r="I119" i="43"/>
  <c r="X119" i="29"/>
  <c r="J119" i="29"/>
  <c r="O119" i="29" s="1"/>
  <c r="I114" i="43"/>
  <c r="J114" i="29"/>
  <c r="O114" i="29" s="1"/>
  <c r="X114" i="29"/>
  <c r="I105" i="43"/>
  <c r="J105" i="29"/>
  <c r="X105" i="29"/>
  <c r="I91" i="43"/>
  <c r="J91" i="29"/>
  <c r="O91" i="29" s="1"/>
  <c r="X91" i="29"/>
  <c r="Y24" i="29"/>
  <c r="M155" i="43"/>
  <c r="K55" i="39"/>
  <c r="J25" i="40" s="1"/>
  <c r="J26" i="40" s="1"/>
  <c r="AF182" i="13"/>
  <c r="J188" i="13"/>
  <c r="S188" i="13" s="1"/>
  <c r="M46" i="35"/>
  <c r="L48" i="35"/>
  <c r="L58" i="35" s="1"/>
  <c r="K198" i="35" s="1"/>
  <c r="H60" i="38" s="1"/>
  <c r="E177" i="13"/>
  <c r="E209" i="13" s="1"/>
  <c r="E151" i="13"/>
  <c r="AI151" i="13" s="1"/>
  <c r="J119" i="13"/>
  <c r="S119" i="13" s="1"/>
  <c r="I64" i="38"/>
  <c r="M78" i="18"/>
  <c r="M191" i="18" s="1"/>
  <c r="M184" i="18" s="1"/>
  <c r="K192" i="18"/>
  <c r="K184" i="18"/>
  <c r="L70" i="18"/>
  <c r="L183" i="18" s="1"/>
  <c r="K192" i="13"/>
  <c r="E150" i="13"/>
  <c r="AI150" i="13" s="1"/>
  <c r="J118" i="13"/>
  <c r="S118" i="13" s="1"/>
  <c r="AE118" i="13"/>
  <c r="E191" i="13"/>
  <c r="J159" i="13"/>
  <c r="S159" i="13" s="1"/>
  <c r="AF119" i="13"/>
  <c r="J198" i="35"/>
  <c r="G60" i="38" s="1"/>
  <c r="L191" i="18"/>
  <c r="L184" i="18" s="1"/>
  <c r="F60" i="38"/>
  <c r="J183" i="18"/>
  <c r="N54" i="18"/>
  <c r="M58" i="18"/>
  <c r="I27" i="38"/>
  <c r="K205" i="35"/>
  <c r="H70" i="38" s="1"/>
  <c r="K194" i="13"/>
  <c r="M200" i="35"/>
  <c r="N20" i="18"/>
  <c r="M24" i="18"/>
  <c r="M116" i="48"/>
  <c r="L121" i="48"/>
  <c r="M158" i="18" s="1"/>
  <c r="L177" i="48"/>
  <c r="K181" i="48"/>
  <c r="L161" i="18" s="1"/>
  <c r="N153" i="18"/>
  <c r="L72" i="48"/>
  <c r="K77" i="48"/>
  <c r="L97" i="48"/>
  <c r="M157" i="18" s="1"/>
  <c r="M52" i="48"/>
  <c r="L57" i="48"/>
  <c r="M155" i="18" s="1"/>
  <c r="L81" i="48"/>
  <c r="K85" i="48"/>
  <c r="L166" i="35" s="1"/>
  <c r="M153" i="18"/>
  <c r="M196" i="48"/>
  <c r="L201" i="48"/>
  <c r="M162" i="18" s="1"/>
  <c r="L186" i="48"/>
  <c r="L102" i="48"/>
  <c r="K105" i="48"/>
  <c r="L127" i="48"/>
  <c r="K129" i="48"/>
  <c r="L168" i="35" s="1"/>
  <c r="L205" i="48"/>
  <c r="K209" i="48"/>
  <c r="L172" i="35" s="1"/>
  <c r="M43" i="48"/>
  <c r="L45" i="48"/>
  <c r="K15" i="18"/>
  <c r="K17" i="18" s="1"/>
  <c r="K26" i="18" s="1"/>
  <c r="I15" i="18"/>
  <c r="I17" i="18" s="1"/>
  <c r="I26" i="18" s="1"/>
  <c r="F58" i="38" s="1"/>
  <c r="L14" i="29"/>
  <c r="N14" i="29"/>
  <c r="M15" i="29"/>
  <c r="O15" i="29"/>
  <c r="L16" i="29"/>
  <c r="N16" i="29"/>
  <c r="M17" i="29"/>
  <c r="L18" i="29"/>
  <c r="N18" i="29"/>
  <c r="M19" i="29"/>
  <c r="L20" i="29"/>
  <c r="N20" i="29"/>
  <c r="M21" i="29"/>
  <c r="O21" i="29"/>
  <c r="L22" i="29"/>
  <c r="N22" i="29"/>
  <c r="M23" i="29"/>
  <c r="L24" i="29"/>
  <c r="N24" i="29"/>
  <c r="M25" i="29"/>
  <c r="L26" i="29"/>
  <c r="N26" i="29"/>
  <c r="M27" i="29"/>
  <c r="O27" i="29"/>
  <c r="L28" i="29"/>
  <c r="N28" i="29"/>
  <c r="M29" i="29"/>
  <c r="O29" i="29"/>
  <c r="L30" i="29"/>
  <c r="N30" i="29"/>
  <c r="M31" i="29"/>
  <c r="O31" i="29"/>
  <c r="L32" i="29"/>
  <c r="N32" i="29"/>
  <c r="M33" i="29"/>
  <c r="L34" i="29"/>
  <c r="N34" i="29"/>
  <c r="M35" i="29"/>
  <c r="L36" i="29"/>
  <c r="N36" i="29"/>
  <c r="M37" i="29"/>
  <c r="L38" i="29"/>
  <c r="N38" i="29"/>
  <c r="M39" i="29"/>
  <c r="L40" i="29"/>
  <c r="N40" i="29"/>
  <c r="M41" i="29"/>
  <c r="O41" i="29"/>
  <c r="L42" i="29"/>
  <c r="N42" i="29"/>
  <c r="M43" i="29"/>
  <c r="O43" i="29"/>
  <c r="L44" i="29"/>
  <c r="N44" i="29"/>
  <c r="M45" i="29"/>
  <c r="L46" i="29"/>
  <c r="N46" i="29"/>
  <c r="L15" i="18"/>
  <c r="N15" i="29"/>
  <c r="M16" i="29"/>
  <c r="L17" i="29"/>
  <c r="O18" i="29"/>
  <c r="N19" i="29"/>
  <c r="M20" i="29"/>
  <c r="L21" i="29"/>
  <c r="O22" i="29"/>
  <c r="N23" i="29"/>
  <c r="M24" i="29"/>
  <c r="L25" i="29"/>
  <c r="N27" i="29"/>
  <c r="M28" i="29"/>
  <c r="L29" i="29"/>
  <c r="O30" i="29"/>
  <c r="N31" i="29"/>
  <c r="M32" i="29"/>
  <c r="L33" i="29"/>
  <c r="O34" i="29"/>
  <c r="N35" i="29"/>
  <c r="M36" i="29"/>
  <c r="L37" i="29"/>
  <c r="O38" i="29"/>
  <c r="N39" i="29"/>
  <c r="M40" i="29"/>
  <c r="L41" i="29"/>
  <c r="N43" i="29"/>
  <c r="M44" i="29"/>
  <c r="L45" i="29"/>
  <c r="O46" i="29"/>
  <c r="L47" i="29"/>
  <c r="N47" i="29"/>
  <c r="M48" i="29"/>
  <c r="O48" i="29"/>
  <c r="L49" i="29"/>
  <c r="N49" i="29"/>
  <c r="M50" i="29"/>
  <c r="L51" i="29"/>
  <c r="N51" i="29"/>
  <c r="M52" i="29"/>
  <c r="L53" i="29"/>
  <c r="N53" i="29"/>
  <c r="M54" i="29"/>
  <c r="O54" i="29"/>
  <c r="L55" i="29"/>
  <c r="N55" i="29"/>
  <c r="M56" i="29"/>
  <c r="O56" i="29"/>
  <c r="L57" i="29"/>
  <c r="N57" i="29"/>
  <c r="M58" i="29"/>
  <c r="O58" i="29"/>
  <c r="L59" i="29"/>
  <c r="N59" i="29"/>
  <c r="M60" i="29"/>
  <c r="O60" i="29"/>
  <c r="L61" i="29"/>
  <c r="N61" i="29"/>
  <c r="M62" i="29"/>
  <c r="O62" i="29"/>
  <c r="L63" i="29"/>
  <c r="N63" i="29"/>
  <c r="M64" i="29"/>
  <c r="O64" i="29"/>
  <c r="L65" i="29"/>
  <c r="N65" i="29"/>
  <c r="M66" i="29"/>
  <c r="O66" i="29"/>
  <c r="L67" i="29"/>
  <c r="N67" i="29"/>
  <c r="M68" i="29"/>
  <c r="L69" i="29"/>
  <c r="N69" i="29"/>
  <c r="M70" i="29"/>
  <c r="O70" i="29"/>
  <c r="L71" i="29"/>
  <c r="N71" i="29"/>
  <c r="M72" i="29"/>
  <c r="L73" i="29"/>
  <c r="N73" i="29"/>
  <c r="M74" i="29"/>
  <c r="O74" i="29"/>
  <c r="L75" i="29"/>
  <c r="N75" i="29"/>
  <c r="M76" i="29"/>
  <c r="O76" i="29"/>
  <c r="L77" i="29"/>
  <c r="N77" i="29"/>
  <c r="M78" i="29"/>
  <c r="L79" i="29"/>
  <c r="N79" i="29"/>
  <c r="M80" i="29"/>
  <c r="O80" i="29"/>
  <c r="L81" i="29"/>
  <c r="N81" i="29"/>
  <c r="M82" i="29"/>
  <c r="O82" i="29"/>
  <c r="L83" i="29"/>
  <c r="N83" i="29"/>
  <c r="M84" i="29"/>
  <c r="L85" i="29"/>
  <c r="N85" i="29"/>
  <c r="M86" i="29"/>
  <c r="O86" i="29"/>
  <c r="L87" i="29"/>
  <c r="N87" i="29"/>
  <c r="M88" i="29"/>
  <c r="L89" i="29"/>
  <c r="N89" i="29"/>
  <c r="M90" i="29"/>
  <c r="O90" i="29"/>
  <c r="L91" i="29"/>
  <c r="N91" i="29"/>
  <c r="M92" i="29"/>
  <c r="L93" i="29"/>
  <c r="N93" i="29"/>
  <c r="M94" i="29"/>
  <c r="O94" i="29"/>
  <c r="L95" i="29"/>
  <c r="N95" i="29"/>
  <c r="M96" i="29"/>
  <c r="L97" i="29"/>
  <c r="N97" i="29"/>
  <c r="L15" i="29"/>
  <c r="M18" i="29"/>
  <c r="N21" i="29"/>
  <c r="L23" i="29"/>
  <c r="O24" i="29"/>
  <c r="M26" i="29"/>
  <c r="N29" i="29"/>
  <c r="L31" i="29"/>
  <c r="O32" i="29"/>
  <c r="M34" i="29"/>
  <c r="N37" i="29"/>
  <c r="L39" i="29"/>
  <c r="M42" i="29"/>
  <c r="N45" i="29"/>
  <c r="N48" i="29"/>
  <c r="M49" i="29"/>
  <c r="L50" i="29"/>
  <c r="N52" i="29"/>
  <c r="M53" i="29"/>
  <c r="L54" i="29"/>
  <c r="O55" i="29"/>
  <c r="N56" i="29"/>
  <c r="M57" i="29"/>
  <c r="L58" i="29"/>
  <c r="O59" i="29"/>
  <c r="N60" i="29"/>
  <c r="M61" i="29"/>
  <c r="L62" i="29"/>
  <c r="N64" i="29"/>
  <c r="M65" i="29"/>
  <c r="L66" i="29"/>
  <c r="N68" i="29"/>
  <c r="M69" i="29"/>
  <c r="L70" i="29"/>
  <c r="O71" i="29"/>
  <c r="N72" i="29"/>
  <c r="M73" i="29"/>
  <c r="L74" i="29"/>
  <c r="O75" i="29"/>
  <c r="N76" i="29"/>
  <c r="M77" i="29"/>
  <c r="L78" i="29"/>
  <c r="O79" i="29"/>
  <c r="N80" i="29"/>
  <c r="M81" i="29"/>
  <c r="L82" i="29"/>
  <c r="N84" i="29"/>
  <c r="M85" i="29"/>
  <c r="L86" i="29"/>
  <c r="O87" i="29"/>
  <c r="N88" i="29"/>
  <c r="M89" i="29"/>
  <c r="L90" i="29"/>
  <c r="N92" i="29"/>
  <c r="M93" i="29"/>
  <c r="L94" i="29"/>
  <c r="N96" i="29"/>
  <c r="M97" i="29"/>
  <c r="M98" i="29"/>
  <c r="L99" i="29"/>
  <c r="N99" i="29"/>
  <c r="M100" i="29"/>
  <c r="O100" i="29"/>
  <c r="L101" i="29"/>
  <c r="N101" i="29"/>
  <c r="M102" i="29"/>
  <c r="O102" i="29"/>
  <c r="L103" i="29"/>
  <c r="N103" i="29"/>
  <c r="M104" i="29"/>
  <c r="L105" i="29"/>
  <c r="N105" i="29"/>
  <c r="M106" i="29"/>
  <c r="L107" i="29"/>
  <c r="N107" i="29"/>
  <c r="M108" i="29"/>
  <c r="O108" i="29"/>
  <c r="L109" i="29"/>
  <c r="N109" i="29"/>
  <c r="M110" i="29"/>
  <c r="O110" i="29"/>
  <c r="L111" i="29"/>
  <c r="N111" i="29"/>
  <c r="M112" i="29"/>
  <c r="O112" i="29"/>
  <c r="L113" i="29"/>
  <c r="N113" i="29"/>
  <c r="M114" i="29"/>
  <c r="L115" i="29"/>
  <c r="N115" i="29"/>
  <c r="M116" i="29"/>
  <c r="O116" i="29"/>
  <c r="L117" i="29"/>
  <c r="N117" i="29"/>
  <c r="M118" i="29"/>
  <c r="O118" i="29"/>
  <c r="L119" i="29"/>
  <c r="N119" i="29"/>
  <c r="M120" i="29"/>
  <c r="L121" i="29"/>
  <c r="N121" i="29"/>
  <c r="M122" i="29"/>
  <c r="L123" i="29"/>
  <c r="N123" i="29"/>
  <c r="M124" i="29"/>
  <c r="L125" i="29"/>
  <c r="N125" i="29"/>
  <c r="M126" i="29"/>
  <c r="O126" i="29"/>
  <c r="L127" i="29"/>
  <c r="N127" i="29"/>
  <c r="M128" i="29"/>
  <c r="L129" i="29"/>
  <c r="N129" i="29"/>
  <c r="M130" i="29"/>
  <c r="O130" i="29"/>
  <c r="L131" i="29"/>
  <c r="N131" i="29"/>
  <c r="M132" i="29"/>
  <c r="O132" i="29"/>
  <c r="L133" i="29"/>
  <c r="N133" i="29"/>
  <c r="M134" i="29"/>
  <c r="O134" i="29"/>
  <c r="L135" i="29"/>
  <c r="N135" i="29"/>
  <c r="M136" i="29"/>
  <c r="L137" i="29"/>
  <c r="N137" i="29"/>
  <c r="M13" i="29"/>
  <c r="J15" i="18"/>
  <c r="J17" i="18" s="1"/>
  <c r="J26" i="18" s="1"/>
  <c r="G58" i="38" s="1"/>
  <c r="M14" i="29"/>
  <c r="N17" i="29"/>
  <c r="L19" i="29"/>
  <c r="M22" i="29"/>
  <c r="N25" i="29"/>
  <c r="L27" i="29"/>
  <c r="M30" i="29"/>
  <c r="N33" i="29"/>
  <c r="L35" i="29"/>
  <c r="M38" i="29"/>
  <c r="N41" i="29"/>
  <c r="L43" i="29"/>
  <c r="O44" i="29"/>
  <c r="M46" i="29"/>
  <c r="M47" i="29"/>
  <c r="L48" i="29"/>
  <c r="N50" i="29"/>
  <c r="M51" i="29"/>
  <c r="L52" i="29"/>
  <c r="N54" i="29"/>
  <c r="M55" i="29"/>
  <c r="L56" i="29"/>
  <c r="O57" i="29"/>
  <c r="N58" i="29"/>
  <c r="M59" i="29"/>
  <c r="L60" i="29"/>
  <c r="O61" i="29"/>
  <c r="N62" i="29"/>
  <c r="M63" i="29"/>
  <c r="L64" i="29"/>
  <c r="O65" i="29"/>
  <c r="N66" i="29"/>
  <c r="M67" i="29"/>
  <c r="L68" i="29"/>
  <c r="N70" i="29"/>
  <c r="M71" i="29"/>
  <c r="L72" i="29"/>
  <c r="O73" i="29"/>
  <c r="N74" i="29"/>
  <c r="M75" i="29"/>
  <c r="L76" i="29"/>
  <c r="N78" i="29"/>
  <c r="M79" i="29"/>
  <c r="L80" i="29"/>
  <c r="N82" i="29"/>
  <c r="M83" i="29"/>
  <c r="L84" i="29"/>
  <c r="N86" i="29"/>
  <c r="M87" i="29"/>
  <c r="L88" i="29"/>
  <c r="N90" i="29"/>
  <c r="M91" i="29"/>
  <c r="L92" i="29"/>
  <c r="O93" i="29"/>
  <c r="N94" i="29"/>
  <c r="M95" i="29"/>
  <c r="L96" i="29"/>
  <c r="O97" i="29"/>
  <c r="L98" i="29"/>
  <c r="N98" i="29"/>
  <c r="M99" i="29"/>
  <c r="O99" i="29"/>
  <c r="L100" i="29"/>
  <c r="N100" i="29"/>
  <c r="M101" i="29"/>
  <c r="O101" i="29"/>
  <c r="L102" i="29"/>
  <c r="N102" i="29"/>
  <c r="M103" i="29"/>
  <c r="O103" i="29"/>
  <c r="L104" i="29"/>
  <c r="N104" i="29"/>
  <c r="M105" i="29"/>
  <c r="O105" i="29"/>
  <c r="L106" i="29"/>
  <c r="N106" i="29"/>
  <c r="M107" i="29"/>
  <c r="O107" i="29"/>
  <c r="L108" i="29"/>
  <c r="N108" i="29"/>
  <c r="M109" i="29"/>
  <c r="L110" i="29"/>
  <c r="N110" i="29"/>
  <c r="M111" i="29"/>
  <c r="L112" i="29"/>
  <c r="N112" i="29"/>
  <c r="M113" i="29"/>
  <c r="O113" i="29"/>
  <c r="L114" i="29"/>
  <c r="N114" i="29"/>
  <c r="M115" i="29"/>
  <c r="L116" i="29"/>
  <c r="N116" i="29"/>
  <c r="M117" i="29"/>
  <c r="O117" i="29"/>
  <c r="L118" i="29"/>
  <c r="N118" i="29"/>
  <c r="M119" i="29"/>
  <c r="L120" i="29"/>
  <c r="N120" i="29"/>
  <c r="M121" i="29"/>
  <c r="O121" i="29"/>
  <c r="L122" i="29"/>
  <c r="N122" i="29"/>
  <c r="M123" i="29"/>
  <c r="L124" i="29"/>
  <c r="N124" i="29"/>
  <c r="M125" i="29"/>
  <c r="L126" i="29"/>
  <c r="O127" i="29"/>
  <c r="N128" i="29"/>
  <c r="M129" i="29"/>
  <c r="L130" i="29"/>
  <c r="N132" i="29"/>
  <c r="M133" i="29"/>
  <c r="L134" i="29"/>
  <c r="N136" i="29"/>
  <c r="M137" i="29"/>
  <c r="N13" i="29"/>
  <c r="O125" i="29"/>
  <c r="N126" i="29"/>
  <c r="M127" i="29"/>
  <c r="L128" i="29"/>
  <c r="N130" i="29"/>
  <c r="M131" i="29"/>
  <c r="L132" i="29"/>
  <c r="N134" i="29"/>
  <c r="M135" i="29"/>
  <c r="L136" i="29"/>
  <c r="O137" i="29"/>
  <c r="L13" i="29"/>
  <c r="X145" i="43"/>
  <c r="N145" i="43"/>
  <c r="J145" i="43"/>
  <c r="S155" i="43"/>
  <c r="S157" i="43" s="1"/>
  <c r="T140" i="43"/>
  <c r="T155" i="43" s="1"/>
  <c r="T157" i="43" s="1"/>
  <c r="X142" i="43"/>
  <c r="N142" i="43"/>
  <c r="J142" i="43"/>
  <c r="N140" i="43"/>
  <c r="X140" i="43"/>
  <c r="Y144" i="43"/>
  <c r="O144" i="43"/>
  <c r="X141" i="43"/>
  <c r="N141" i="43"/>
  <c r="J141" i="43"/>
  <c r="L156" i="31"/>
  <c r="I35" i="31"/>
  <c r="L220" i="31"/>
  <c r="L204" i="31"/>
  <c r="I37" i="31"/>
  <c r="I41" i="31"/>
  <c r="M61" i="31"/>
  <c r="N161" i="31"/>
  <c r="O161" i="31" s="1"/>
  <c r="N110" i="31"/>
  <c r="O110" i="31" s="1"/>
  <c r="L286" i="31"/>
  <c r="L155" i="43"/>
  <c r="W155" i="43"/>
  <c r="I155" i="43"/>
  <c r="J140" i="43"/>
  <c r="N77" i="31"/>
  <c r="O77" i="31" s="1"/>
  <c r="M65" i="35"/>
  <c r="M72" i="35" s="1"/>
  <c r="M77" i="18"/>
  <c r="M83" i="18" s="1"/>
  <c r="L61" i="1"/>
  <c r="M61" i="1" s="1"/>
  <c r="L60" i="1"/>
  <c r="M60" i="1" s="1"/>
  <c r="K75" i="1"/>
  <c r="K140" i="34"/>
  <c r="L25" i="1"/>
  <c r="M25" i="1" s="1"/>
  <c r="K58" i="34"/>
  <c r="K160" i="34"/>
  <c r="L29" i="1"/>
  <c r="M29" i="1" s="1"/>
  <c r="K74" i="34"/>
  <c r="H41" i="31"/>
  <c r="H43" i="18"/>
  <c r="G13" i="54" s="1"/>
  <c r="K31" i="37"/>
  <c r="F25" i="37"/>
  <c r="F40" i="37"/>
  <c r="K22" i="37"/>
  <c r="K25" i="37" s="1"/>
  <c r="J36" i="40" s="1"/>
  <c r="J40" i="40" s="1"/>
  <c r="K69" i="38"/>
  <c r="K26" i="38"/>
  <c r="G22" i="37"/>
  <c r="G25" i="37" s="1"/>
  <c r="F36" i="40" s="1"/>
  <c r="F40" i="40" s="1"/>
  <c r="Z12" i="36"/>
  <c r="J34" i="37"/>
  <c r="I19" i="40" s="1"/>
  <c r="L101" i="35"/>
  <c r="L105" i="35" s="1"/>
  <c r="G34" i="37"/>
  <c r="F19" i="40" s="1"/>
  <c r="I101" i="35"/>
  <c r="I105" i="35" s="1"/>
  <c r="J101" i="35"/>
  <c r="J105" i="35" s="1"/>
  <c r="H34" i="37"/>
  <c r="G19" i="40" s="1"/>
  <c r="L196" i="31"/>
  <c r="L270" i="31"/>
  <c r="L230" i="31"/>
  <c r="L214" i="31"/>
  <c r="L294" i="31"/>
  <c r="M166" i="31"/>
  <c r="M247" i="31"/>
  <c r="L198" i="31"/>
  <c r="L260" i="31"/>
  <c r="L292" i="31"/>
  <c r="L158" i="31"/>
  <c r="L197" i="31"/>
  <c r="L229" i="31"/>
  <c r="L237" i="31"/>
  <c r="M189" i="31"/>
  <c r="M105" i="31"/>
  <c r="K29" i="31"/>
  <c r="K31" i="31" s="1"/>
  <c r="N52" i="31"/>
  <c r="M149" i="31"/>
  <c r="M84" i="31"/>
  <c r="M75" i="31"/>
  <c r="M180" i="31"/>
  <c r="M118" i="31"/>
  <c r="M117" i="31"/>
  <c r="V138" i="29"/>
  <c r="H110" i="18"/>
  <c r="G39" i="37"/>
  <c r="H25" i="37"/>
  <c r="G36" i="40" s="1"/>
  <c r="G40" i="40" s="1"/>
  <c r="I22" i="37"/>
  <c r="I25" i="37" s="1"/>
  <c r="H36" i="40" s="1"/>
  <c r="H40" i="40" s="1"/>
  <c r="G30" i="34"/>
  <c r="G167" i="34"/>
  <c r="G187" i="34"/>
  <c r="G152" i="34"/>
  <c r="G127" i="34"/>
  <c r="G172" i="34"/>
  <c r="G147" i="34"/>
  <c r="G182" i="34"/>
  <c r="G132" i="34"/>
  <c r="G162" i="34"/>
  <c r="G122" i="34"/>
  <c r="G137" i="34"/>
  <c r="G177" i="34"/>
  <c r="G142" i="34"/>
  <c r="G192" i="34"/>
  <c r="G157" i="34"/>
  <c r="J22" i="37"/>
  <c r="J25" i="37" s="1"/>
  <c r="I36" i="40" s="1"/>
  <c r="I30" i="34"/>
  <c r="H127" i="34"/>
  <c r="H157" i="34"/>
  <c r="H122" i="34"/>
  <c r="H177" i="34"/>
  <c r="H162" i="34"/>
  <c r="H137" i="34"/>
  <c r="H142" i="34"/>
  <c r="H182" i="34"/>
  <c r="H192" i="34"/>
  <c r="H30" i="34"/>
  <c r="H172" i="34"/>
  <c r="H147" i="34"/>
  <c r="H167" i="34"/>
  <c r="H187" i="34"/>
  <c r="H152" i="34"/>
  <c r="H132" i="34"/>
  <c r="K436" i="24"/>
  <c r="K20" i="24" s="1"/>
  <c r="K234" i="24"/>
  <c r="K14" i="24" s="1"/>
  <c r="Y97" i="29"/>
  <c r="Y118" i="29"/>
  <c r="Y113" i="29"/>
  <c r="Y101" i="29"/>
  <c r="Y76" i="29"/>
  <c r="I25" i="40"/>
  <c r="I26" i="40" s="1"/>
  <c r="L54" i="31"/>
  <c r="K27" i="31"/>
  <c r="L185" i="31"/>
  <c r="M185" i="31" s="1"/>
  <c r="L164" i="31"/>
  <c r="M164" i="31" s="1"/>
  <c r="L132" i="31"/>
  <c r="M132" i="31" s="1"/>
  <c r="J28" i="31"/>
  <c r="F58" i="49" s="1"/>
  <c r="K300" i="31"/>
  <c r="K342" i="24"/>
  <c r="K30" i="24"/>
  <c r="F4" i="22"/>
  <c r="J19" i="48"/>
  <c r="L241" i="24"/>
  <c r="I27" i="34"/>
  <c r="X10" i="43"/>
  <c r="K180" i="18"/>
  <c r="H8" i="38"/>
  <c r="H8" i="40"/>
  <c r="I114" i="34"/>
  <c r="J8" i="39"/>
  <c r="K8" i="35"/>
  <c r="K95" i="35" s="1"/>
  <c r="AC10" i="29"/>
  <c r="AC10" i="43"/>
  <c r="X10" i="29"/>
  <c r="Y127" i="29"/>
  <c r="Y103" i="29"/>
  <c r="Y100" i="29"/>
  <c r="Y73" i="29"/>
  <c r="Y121" i="29"/>
  <c r="Y86" i="29"/>
  <c r="Y79" i="29"/>
  <c r="L94" i="31"/>
  <c r="M94" i="31" s="1"/>
  <c r="L182" i="31"/>
  <c r="M182" i="31" s="1"/>
  <c r="L134" i="31"/>
  <c r="M134" i="31" s="1"/>
  <c r="L96" i="31"/>
  <c r="M96" i="31" s="1"/>
  <c r="L125" i="31"/>
  <c r="M125" i="31" s="1"/>
  <c r="L188" i="31"/>
  <c r="M188" i="31" s="1"/>
  <c r="L116" i="31"/>
  <c r="M116" i="31" s="1"/>
  <c r="L53" i="31"/>
  <c r="K32" i="31"/>
  <c r="Y132" i="29"/>
  <c r="Y75" i="29"/>
  <c r="Y71" i="29"/>
  <c r="Y74" i="29"/>
  <c r="K183" i="18"/>
  <c r="L108" i="31"/>
  <c r="M108" i="31" s="1"/>
  <c r="L129" i="31"/>
  <c r="M129" i="31" s="1"/>
  <c r="L93" i="31"/>
  <c r="M93" i="31" s="1"/>
  <c r="L181" i="31"/>
  <c r="M181" i="31" s="1"/>
  <c r="L109" i="31"/>
  <c r="M109" i="31" s="1"/>
  <c r="J31" i="31"/>
  <c r="F59" i="49" s="1"/>
  <c r="L76" i="31"/>
  <c r="M76" i="31" s="1"/>
  <c r="L83" i="31"/>
  <c r="M83" i="31" s="1"/>
  <c r="K26" i="31"/>
  <c r="Y90" i="29"/>
  <c r="Y82" i="29"/>
  <c r="Y137" i="29"/>
  <c r="Y130" i="29"/>
  <c r="Y125" i="29"/>
  <c r="Y59" i="29"/>
  <c r="L190" i="31"/>
  <c r="M190" i="31" s="1"/>
  <c r="L150" i="31"/>
  <c r="M150" i="31" s="1"/>
  <c r="L126" i="31"/>
  <c r="M126" i="31" s="1"/>
  <c r="L88" i="31"/>
  <c r="M88" i="31" s="1"/>
  <c r="K33" i="31"/>
  <c r="L64" i="31"/>
  <c r="M64" i="31" s="1"/>
  <c r="L157" i="31"/>
  <c r="M157" i="31" s="1"/>
  <c r="L92" i="31"/>
  <c r="L148" i="31"/>
  <c r="M148" i="31" s="1"/>
  <c r="J34" i="31"/>
  <c r="F60" i="49" s="1"/>
  <c r="L173" i="51" l="1"/>
  <c r="H145" i="13"/>
  <c r="AG145" i="13" s="1"/>
  <c r="N107" i="43"/>
  <c r="I36" i="18"/>
  <c r="I41" i="18" s="1"/>
  <c r="G79" i="22"/>
  <c r="G81" i="22" s="1"/>
  <c r="M36" i="18" s="1"/>
  <c r="M41" i="18" s="1"/>
  <c r="F79" i="22"/>
  <c r="F81" i="22" s="1"/>
  <c r="L36" i="18" s="1"/>
  <c r="L41" i="18" s="1"/>
  <c r="E79" i="22"/>
  <c r="E81" i="22" s="1"/>
  <c r="K36" i="18" s="1"/>
  <c r="K41" i="18" s="1"/>
  <c r="D79" i="22"/>
  <c r="D81" i="22" s="1"/>
  <c r="J36" i="18" s="1"/>
  <c r="J41" i="18" s="1"/>
  <c r="N49" i="24"/>
  <c r="N251" i="24"/>
  <c r="N56" i="31"/>
  <c r="N55" i="31"/>
  <c r="N250" i="24"/>
  <c r="N48" i="24"/>
  <c r="M30" i="31"/>
  <c r="M54" i="31"/>
  <c r="M249" i="24"/>
  <c r="M47" i="24"/>
  <c r="O52" i="31"/>
  <c r="O247" i="24"/>
  <c r="O45" i="24"/>
  <c r="N247" i="24"/>
  <c r="N45" i="24"/>
  <c r="M53" i="31"/>
  <c r="N53" i="31" s="1"/>
  <c r="M46" i="24"/>
  <c r="M248" i="24"/>
  <c r="P246" i="24"/>
  <c r="P44" i="24"/>
  <c r="N200" i="35"/>
  <c r="O72" i="35"/>
  <c r="O85" i="35" s="1"/>
  <c r="O201" i="35" s="1"/>
  <c r="T129" i="13"/>
  <c r="H162" i="13"/>
  <c r="AG162" i="13" s="1"/>
  <c r="K154" i="13"/>
  <c r="U154" i="13" s="1"/>
  <c r="G151" i="13"/>
  <c r="AH151" i="13" s="1"/>
  <c r="K158" i="13"/>
  <c r="U158" i="13" s="1"/>
  <c r="H146" i="13"/>
  <c r="AG146" i="13" s="1"/>
  <c r="G159" i="13"/>
  <c r="AH159" i="13" s="1"/>
  <c r="Q122" i="13"/>
  <c r="K133" i="13"/>
  <c r="I50" i="49" s="1"/>
  <c r="O129" i="13"/>
  <c r="J158" i="13"/>
  <c r="S158" i="13" s="1"/>
  <c r="O116" i="13"/>
  <c r="AE116" i="13" s="1"/>
  <c r="Q129" i="13"/>
  <c r="O126" i="13"/>
  <c r="AE126" i="13" s="1"/>
  <c r="H163" i="13"/>
  <c r="AG163" i="13" s="1"/>
  <c r="H151" i="13"/>
  <c r="AG151" i="13" s="1"/>
  <c r="T122" i="13"/>
  <c r="T116" i="13"/>
  <c r="T126" i="13"/>
  <c r="E190" i="13"/>
  <c r="J190" i="13" s="1"/>
  <c r="S190" i="13" s="1"/>
  <c r="G145" i="13"/>
  <c r="AH145" i="13" s="1"/>
  <c r="AI145" i="13" s="1"/>
  <c r="G161" i="13"/>
  <c r="AH161" i="13" s="1"/>
  <c r="K148" i="13"/>
  <c r="U148" i="13" s="1"/>
  <c r="K161" i="13"/>
  <c r="U161" i="13" s="1"/>
  <c r="Q126" i="13"/>
  <c r="O122" i="13"/>
  <c r="AE122" i="13" s="1"/>
  <c r="H153" i="13"/>
  <c r="AG153" i="13" s="1"/>
  <c r="O150" i="13"/>
  <c r="AE150" i="13" s="1"/>
  <c r="Q150" i="13"/>
  <c r="K182" i="13"/>
  <c r="Q182" i="13" s="1"/>
  <c r="U194" i="13"/>
  <c r="K226" i="13"/>
  <c r="J220" i="13"/>
  <c r="S220" i="13" s="1"/>
  <c r="AI220" i="13"/>
  <c r="AI191" i="13"/>
  <c r="E223" i="13"/>
  <c r="U192" i="13"/>
  <c r="K224" i="13"/>
  <c r="J212" i="13"/>
  <c r="S212" i="13" s="1"/>
  <c r="AI212" i="13"/>
  <c r="J216" i="13"/>
  <c r="S216" i="13" s="1"/>
  <c r="AI216" i="13"/>
  <c r="K184" i="13"/>
  <c r="Q184" i="13" s="1"/>
  <c r="AI190" i="13"/>
  <c r="E222" i="13"/>
  <c r="E187" i="13"/>
  <c r="J187" i="13" s="1"/>
  <c r="S187" i="13" s="1"/>
  <c r="O152" i="13"/>
  <c r="AE152" i="13" s="1"/>
  <c r="O101" i="13"/>
  <c r="Q152" i="13"/>
  <c r="O197" i="18"/>
  <c r="M136" i="18"/>
  <c r="N136" i="18" s="1"/>
  <c r="O136" i="18" s="1"/>
  <c r="M201" i="48"/>
  <c r="N162" i="18" s="1"/>
  <c r="N196" i="48"/>
  <c r="N201" i="48" s="1"/>
  <c r="O162" i="18" s="1"/>
  <c r="M121" i="48"/>
  <c r="N158" i="18" s="1"/>
  <c r="N116" i="48"/>
  <c r="N121" i="48" s="1"/>
  <c r="O158" i="18" s="1"/>
  <c r="M97" i="48"/>
  <c r="N157" i="18" s="1"/>
  <c r="N97" i="48"/>
  <c r="O157" i="18" s="1"/>
  <c r="M57" i="48"/>
  <c r="N155" i="18" s="1"/>
  <c r="N52" i="48"/>
  <c r="N57" i="48" s="1"/>
  <c r="O155" i="18" s="1"/>
  <c r="M45" i="48"/>
  <c r="N43" i="48"/>
  <c r="N45" i="48" s="1"/>
  <c r="O164" i="35" s="1"/>
  <c r="O153" i="18"/>
  <c r="O135" i="43"/>
  <c r="O121" i="43"/>
  <c r="O80" i="43"/>
  <c r="O92" i="43"/>
  <c r="O100" i="43"/>
  <c r="Y134" i="29"/>
  <c r="O109" i="29"/>
  <c r="O134" i="43"/>
  <c r="J87" i="43"/>
  <c r="Y87" i="29"/>
  <c r="Y109" i="29"/>
  <c r="Y81" i="29"/>
  <c r="O133" i="43"/>
  <c r="X87" i="43"/>
  <c r="N87" i="43"/>
  <c r="Y133" i="29"/>
  <c r="O133" i="29"/>
  <c r="O81" i="29"/>
  <c r="O81" i="43"/>
  <c r="O109" i="43"/>
  <c r="W138" i="43"/>
  <c r="W157" i="43" s="1"/>
  <c r="Y129" i="29"/>
  <c r="Y96" i="29"/>
  <c r="O19" i="29"/>
  <c r="O129" i="43"/>
  <c r="O96" i="43"/>
  <c r="Y98" i="29"/>
  <c r="Y110" i="29"/>
  <c r="O96" i="29"/>
  <c r="O92" i="29"/>
  <c r="O19" i="43"/>
  <c r="Y92" i="29"/>
  <c r="Y80" i="29"/>
  <c r="O129" i="29"/>
  <c r="O110" i="43"/>
  <c r="Y95" i="29"/>
  <c r="Y72" i="29"/>
  <c r="O72" i="29"/>
  <c r="J60" i="43"/>
  <c r="Y60" i="29"/>
  <c r="O135" i="29"/>
  <c r="O95" i="29"/>
  <c r="O95" i="43"/>
  <c r="O128" i="43"/>
  <c r="O72" i="43"/>
  <c r="O88" i="29"/>
  <c r="O84" i="29"/>
  <c r="Y77" i="29"/>
  <c r="O84" i="43"/>
  <c r="Y84" i="29"/>
  <c r="O89" i="29"/>
  <c r="O98" i="43"/>
  <c r="Y128" i="29"/>
  <c r="O98" i="29"/>
  <c r="O89" i="43"/>
  <c r="O65" i="43"/>
  <c r="Y135" i="29"/>
  <c r="Y89" i="29"/>
  <c r="Y55" i="29"/>
  <c r="O128" i="29"/>
  <c r="O55" i="43"/>
  <c r="J138" i="29"/>
  <c r="Y65" i="29"/>
  <c r="Y88" i="29"/>
  <c r="O77" i="29"/>
  <c r="O88" i="43"/>
  <c r="N27" i="43"/>
  <c r="O77" i="43"/>
  <c r="X69" i="43"/>
  <c r="N69" i="43"/>
  <c r="J53" i="43"/>
  <c r="Y53" i="29"/>
  <c r="J69" i="43"/>
  <c r="Y69" i="29"/>
  <c r="X53" i="43"/>
  <c r="N53" i="43"/>
  <c r="Y120" i="29"/>
  <c r="N68" i="43"/>
  <c r="X68" i="43"/>
  <c r="J42" i="43"/>
  <c r="Y42" i="29"/>
  <c r="J68" i="43"/>
  <c r="Y68" i="29"/>
  <c r="O120" i="29"/>
  <c r="O120" i="43"/>
  <c r="X42" i="43"/>
  <c r="N42" i="43"/>
  <c r="J131" i="13"/>
  <c r="S131" i="13" s="1"/>
  <c r="H147" i="13"/>
  <c r="AG147" i="13" s="1"/>
  <c r="E163" i="13"/>
  <c r="AI163" i="13" s="1"/>
  <c r="AH133" i="13"/>
  <c r="AB12" i="36"/>
  <c r="H58" i="38"/>
  <c r="L157" i="43"/>
  <c r="F82" i="22"/>
  <c r="H8" i="49"/>
  <c r="H18" i="49"/>
  <c r="H54" i="49"/>
  <c r="AC12" i="36"/>
  <c r="G59" i="49"/>
  <c r="K135" i="34"/>
  <c r="K186" i="51"/>
  <c r="L35" i="1"/>
  <c r="M35" i="1" s="1"/>
  <c r="M56" i="1" s="1"/>
  <c r="K59" i="51"/>
  <c r="K62" i="51" s="1"/>
  <c r="K54" i="34"/>
  <c r="K150" i="34"/>
  <c r="K93" i="51"/>
  <c r="K92" i="51"/>
  <c r="K66" i="34"/>
  <c r="K94" i="51"/>
  <c r="H109" i="1"/>
  <c r="L176" i="51"/>
  <c r="F57" i="49"/>
  <c r="K98" i="34"/>
  <c r="H107" i="1"/>
  <c r="G56" i="49"/>
  <c r="M15" i="18"/>
  <c r="M17" i="18" s="1"/>
  <c r="M26" i="18" s="1"/>
  <c r="K190" i="34"/>
  <c r="K185" i="51"/>
  <c r="K187" i="51" s="1"/>
  <c r="H40" i="1"/>
  <c r="H199" i="34" s="1"/>
  <c r="H29" i="34" s="1"/>
  <c r="G63" i="49"/>
  <c r="M80" i="34"/>
  <c r="M46" i="1"/>
  <c r="M140" i="34"/>
  <c r="M58" i="34"/>
  <c r="M190" i="34"/>
  <c r="M98" i="34"/>
  <c r="M48" i="1"/>
  <c r="M150" i="34"/>
  <c r="M66" i="34"/>
  <c r="M45" i="1"/>
  <c r="M135" i="34"/>
  <c r="M54" i="34"/>
  <c r="M50" i="1"/>
  <c r="M160" i="34"/>
  <c r="M74" i="34"/>
  <c r="G42" i="1"/>
  <c r="G33" i="51" s="1"/>
  <c r="M55" i="1"/>
  <c r="M185" i="34"/>
  <c r="M94" i="34"/>
  <c r="M75" i="1"/>
  <c r="O133" i="35"/>
  <c r="O115" i="18"/>
  <c r="H26" i="54"/>
  <c r="K63" i="38"/>
  <c r="O198" i="18"/>
  <c r="N58" i="18"/>
  <c r="O54" i="18"/>
  <c r="O58" i="18" s="1"/>
  <c r="O70" i="18" s="1"/>
  <c r="L192" i="18"/>
  <c r="N24" i="18"/>
  <c r="O20" i="18"/>
  <c r="O24" i="18" s="1"/>
  <c r="AD12" i="36"/>
  <c r="V12" i="36"/>
  <c r="J214" i="48"/>
  <c r="J39" i="48"/>
  <c r="J59" i="48" s="1"/>
  <c r="J79" i="48" s="1"/>
  <c r="J99" i="48" s="1"/>
  <c r="J123" i="48" s="1"/>
  <c r="J143" i="48" s="1"/>
  <c r="J163" i="48" s="1"/>
  <c r="J183" i="48" s="1"/>
  <c r="J203" i="48" s="1"/>
  <c r="AD51" i="13"/>
  <c r="AE83" i="13"/>
  <c r="Q83" i="13"/>
  <c r="S115" i="13"/>
  <c r="Z115" i="13"/>
  <c r="P115" i="13"/>
  <c r="AE115" i="13" s="1"/>
  <c r="AC83" i="13"/>
  <c r="AB83" i="13"/>
  <c r="M133" i="13"/>
  <c r="M145" i="13"/>
  <c r="J155" i="13"/>
  <c r="S155" i="13" s="1"/>
  <c r="AI146" i="13"/>
  <c r="E178" i="13"/>
  <c r="H191" i="13"/>
  <c r="O161" i="13"/>
  <c r="T161" i="13"/>
  <c r="O158" i="13"/>
  <c r="AE158" i="13" s="1"/>
  <c r="H194" i="13"/>
  <c r="H189" i="13"/>
  <c r="O145" i="13"/>
  <c r="K177" i="13"/>
  <c r="H193" i="13"/>
  <c r="H182" i="13"/>
  <c r="H183" i="13"/>
  <c r="K195" i="13"/>
  <c r="Q163" i="13"/>
  <c r="O163" i="13"/>
  <c r="AE163" i="13" s="1"/>
  <c r="T163" i="13"/>
  <c r="H180" i="13"/>
  <c r="Q194" i="13"/>
  <c r="O194" i="13"/>
  <c r="T194" i="13"/>
  <c r="K187" i="13"/>
  <c r="Q155" i="13"/>
  <c r="O155" i="13"/>
  <c r="AE155" i="13" s="1"/>
  <c r="T155" i="13"/>
  <c r="K179" i="13"/>
  <c r="K211" i="13" s="1"/>
  <c r="O147" i="13"/>
  <c r="K183" i="13"/>
  <c r="Q151" i="13"/>
  <c r="O151" i="13"/>
  <c r="AE151" i="13" s="1"/>
  <c r="T151" i="13"/>
  <c r="K191" i="13"/>
  <c r="Q159" i="13"/>
  <c r="O159" i="13"/>
  <c r="AE159" i="13" s="1"/>
  <c r="T159" i="13"/>
  <c r="H184" i="13"/>
  <c r="H179" i="13"/>
  <c r="K186" i="13"/>
  <c r="Q154" i="13"/>
  <c r="O154" i="13"/>
  <c r="T154" i="13"/>
  <c r="T192" i="13"/>
  <c r="Q192" i="13"/>
  <c r="O192" i="13"/>
  <c r="K196" i="13"/>
  <c r="T164" i="13"/>
  <c r="Q164" i="13"/>
  <c r="O164" i="13"/>
  <c r="H177" i="13"/>
  <c r="K181" i="13"/>
  <c r="Q149" i="13"/>
  <c r="O149" i="13"/>
  <c r="T149" i="13"/>
  <c r="H178" i="13"/>
  <c r="K189" i="13"/>
  <c r="O157" i="13"/>
  <c r="AE157" i="13" s="1"/>
  <c r="T157" i="13"/>
  <c r="Q157" i="13"/>
  <c r="H196" i="13"/>
  <c r="K185" i="13"/>
  <c r="O153" i="13"/>
  <c r="T153" i="13"/>
  <c r="Q153" i="13"/>
  <c r="H187" i="13"/>
  <c r="H190" i="13"/>
  <c r="H186" i="13"/>
  <c r="AI180" i="13"/>
  <c r="J180" i="13"/>
  <c r="S180" i="13" s="1"/>
  <c r="H181" i="13"/>
  <c r="T184" i="13"/>
  <c r="O184" i="13"/>
  <c r="AE184" i="13" s="1"/>
  <c r="O148" i="13"/>
  <c r="AE148" i="13" s="1"/>
  <c r="Q148" i="13"/>
  <c r="K188" i="13"/>
  <c r="T156" i="13"/>
  <c r="Q156" i="13"/>
  <c r="O156" i="13"/>
  <c r="AE156" i="13" s="1"/>
  <c r="H188" i="13"/>
  <c r="H192" i="13"/>
  <c r="O146" i="13"/>
  <c r="K178" i="13"/>
  <c r="K210" i="13" s="1"/>
  <c r="I145" i="13"/>
  <c r="I177" i="13" s="1"/>
  <c r="I209" i="13" s="1"/>
  <c r="G12" i="34"/>
  <c r="F13" i="34"/>
  <c r="F14" i="34" s="1"/>
  <c r="G199" i="34"/>
  <c r="G29" i="34" s="1"/>
  <c r="G55" i="1"/>
  <c r="G179" i="51" s="1"/>
  <c r="J37" i="31"/>
  <c r="J25" i="35"/>
  <c r="J41" i="31"/>
  <c r="I132" i="34"/>
  <c r="H49" i="1"/>
  <c r="H110" i="51" s="1"/>
  <c r="H52" i="1"/>
  <c r="G146" i="51" s="1"/>
  <c r="G148" i="51" s="1"/>
  <c r="H51" i="1"/>
  <c r="H79" i="34" s="1"/>
  <c r="H80" i="34" s="1"/>
  <c r="H50" i="1"/>
  <c r="H161" i="34" s="1"/>
  <c r="H163" i="34" s="1"/>
  <c r="H53" i="1"/>
  <c r="H156" i="51" s="1"/>
  <c r="G147" i="51"/>
  <c r="AF186" i="13"/>
  <c r="AF159" i="13"/>
  <c r="AF117" i="13"/>
  <c r="AE132" i="13"/>
  <c r="E164" i="13"/>
  <c r="AI164" i="13" s="1"/>
  <c r="J132" i="13"/>
  <c r="S132" i="13" s="1"/>
  <c r="AF155" i="13"/>
  <c r="AF126" i="13"/>
  <c r="AF130" i="13"/>
  <c r="AF160" i="13"/>
  <c r="AF157" i="13"/>
  <c r="G156" i="13"/>
  <c r="AH156" i="13" s="1"/>
  <c r="AF146" i="13"/>
  <c r="G148" i="13"/>
  <c r="AH148" i="13" s="1"/>
  <c r="G164" i="13"/>
  <c r="AH164" i="13" s="1"/>
  <c r="G160" i="13"/>
  <c r="AH160" i="13" s="1"/>
  <c r="E162" i="13"/>
  <c r="AI162" i="13" s="1"/>
  <c r="J130" i="13"/>
  <c r="S130" i="13" s="1"/>
  <c r="AE130" i="13"/>
  <c r="G184" i="13"/>
  <c r="AE129" i="13"/>
  <c r="J129" i="13"/>
  <c r="S129" i="13" s="1"/>
  <c r="E161" i="13"/>
  <c r="AI161" i="13" s="1"/>
  <c r="AF132" i="13"/>
  <c r="X14" i="43"/>
  <c r="N14" i="43"/>
  <c r="J40" i="43"/>
  <c r="Y40" i="29"/>
  <c r="AF124" i="13"/>
  <c r="G146" i="13"/>
  <c r="AH146" i="13" s="1"/>
  <c r="J35" i="43"/>
  <c r="Y35" i="29"/>
  <c r="N47" i="43"/>
  <c r="X47" i="43"/>
  <c r="X23" i="43"/>
  <c r="N23" i="43"/>
  <c r="J13" i="43"/>
  <c r="Y13" i="29"/>
  <c r="J25" i="43"/>
  <c r="Y25" i="29"/>
  <c r="X111" i="43"/>
  <c r="N111" i="43"/>
  <c r="J50" i="43"/>
  <c r="Y50" i="29"/>
  <c r="J52" i="43"/>
  <c r="Y52" i="29"/>
  <c r="N16" i="43"/>
  <c r="X16" i="43"/>
  <c r="J45" i="43"/>
  <c r="Y45" i="29"/>
  <c r="J15" i="43"/>
  <c r="Y15" i="29"/>
  <c r="J34" i="43"/>
  <c r="Y34" i="29"/>
  <c r="N40" i="43"/>
  <c r="X40" i="43"/>
  <c r="N35" i="43"/>
  <c r="X35" i="43"/>
  <c r="J47" i="43"/>
  <c r="Y47" i="29"/>
  <c r="E179" i="13"/>
  <c r="J147" i="13"/>
  <c r="G150" i="13"/>
  <c r="AH150" i="13" s="1"/>
  <c r="J49" i="43"/>
  <c r="Y49" i="29"/>
  <c r="J51" i="43"/>
  <c r="Y51" i="29"/>
  <c r="J111" i="43"/>
  <c r="Y111" i="29"/>
  <c r="X50" i="43"/>
  <c r="N50" i="43"/>
  <c r="X52" i="43"/>
  <c r="N52" i="43"/>
  <c r="J36" i="43"/>
  <c r="Y36" i="29"/>
  <c r="J17" i="43"/>
  <c r="Y17" i="29"/>
  <c r="X37" i="43"/>
  <c r="N37" i="43"/>
  <c r="AF120" i="13"/>
  <c r="J39" i="43"/>
  <c r="Y39" i="29"/>
  <c r="J33" i="43"/>
  <c r="Y33" i="29"/>
  <c r="N34" i="43"/>
  <c r="X34" i="43"/>
  <c r="J108" i="43"/>
  <c r="Y108" i="29"/>
  <c r="J28" i="43"/>
  <c r="Y28" i="29"/>
  <c r="G162" i="13"/>
  <c r="AH162" i="13" s="1"/>
  <c r="G179" i="13"/>
  <c r="X49" i="43"/>
  <c r="N49" i="43"/>
  <c r="X51" i="43"/>
  <c r="N51" i="43"/>
  <c r="J26" i="43"/>
  <c r="Y26" i="29"/>
  <c r="I38" i="40"/>
  <c r="I40" i="40" s="1"/>
  <c r="M22" i="31"/>
  <c r="L17" i="1"/>
  <c r="M17" i="1" s="1"/>
  <c r="M14" i="35"/>
  <c r="M21" i="35" s="1"/>
  <c r="K200" i="34"/>
  <c r="K30" i="34" s="1"/>
  <c r="J67" i="43"/>
  <c r="Y67" i="29"/>
  <c r="J20" i="43"/>
  <c r="Y20" i="29"/>
  <c r="AF116" i="13"/>
  <c r="N36" i="43"/>
  <c r="X36" i="43"/>
  <c r="X17" i="43"/>
  <c r="N17" i="43"/>
  <c r="J37" i="43"/>
  <c r="Y37" i="29"/>
  <c r="N39" i="43"/>
  <c r="X39" i="43"/>
  <c r="X33" i="43"/>
  <c r="N33" i="43"/>
  <c r="J14" i="43"/>
  <c r="Y14" i="29"/>
  <c r="X108" i="43"/>
  <c r="N108" i="43"/>
  <c r="AF163" i="13"/>
  <c r="X28" i="43"/>
  <c r="N28" i="43"/>
  <c r="J23" i="43"/>
  <c r="Y23" i="29"/>
  <c r="X13" i="43"/>
  <c r="N13" i="43"/>
  <c r="N25" i="43"/>
  <c r="X25" i="43"/>
  <c r="X26" i="43"/>
  <c r="N26" i="43"/>
  <c r="AF161" i="13"/>
  <c r="N67" i="43"/>
  <c r="X67" i="43"/>
  <c r="X20" i="43"/>
  <c r="N20" i="43"/>
  <c r="J16" i="43"/>
  <c r="Y16" i="29"/>
  <c r="G154" i="13"/>
  <c r="AH154" i="13" s="1"/>
  <c r="N45" i="43"/>
  <c r="X45" i="43"/>
  <c r="AF113" i="13"/>
  <c r="G158" i="13"/>
  <c r="AH158" i="13" s="1"/>
  <c r="X15" i="43"/>
  <c r="N15" i="43"/>
  <c r="H38" i="35"/>
  <c r="K22" i="54"/>
  <c r="H21" i="38"/>
  <c r="J21" i="38"/>
  <c r="I21" i="38"/>
  <c r="J133" i="18"/>
  <c r="N119" i="35"/>
  <c r="O119" i="35" s="1"/>
  <c r="O122" i="35" s="1"/>
  <c r="O125" i="35" s="1"/>
  <c r="O205" i="35" s="1"/>
  <c r="M122" i="35"/>
  <c r="M125" i="35" s="1"/>
  <c r="I19" i="38"/>
  <c r="H62" i="38"/>
  <c r="N32" i="35"/>
  <c r="M35" i="35"/>
  <c r="H17" i="38"/>
  <c r="I17" i="38"/>
  <c r="G17" i="38"/>
  <c r="N70" i="18"/>
  <c r="F17" i="38"/>
  <c r="J137" i="18"/>
  <c r="K204" i="35"/>
  <c r="H69" i="38" s="1"/>
  <c r="J138" i="18"/>
  <c r="K73" i="51"/>
  <c r="L154" i="51"/>
  <c r="J62" i="51"/>
  <c r="J40" i="51"/>
  <c r="K142" i="51"/>
  <c r="K170" i="34"/>
  <c r="K82" i="34"/>
  <c r="K141" i="51"/>
  <c r="K140" i="51"/>
  <c r="L31" i="1"/>
  <c r="M31" i="1" s="1"/>
  <c r="K164" i="51"/>
  <c r="K180" i="34"/>
  <c r="K90" i="34"/>
  <c r="L33" i="1"/>
  <c r="M33" i="1" s="1"/>
  <c r="K163" i="51"/>
  <c r="K162" i="51"/>
  <c r="L116" i="51"/>
  <c r="L115" i="51"/>
  <c r="L114" i="51"/>
  <c r="L94" i="51"/>
  <c r="L93" i="51"/>
  <c r="L92" i="51"/>
  <c r="K125" i="34"/>
  <c r="K39" i="51"/>
  <c r="K38" i="51"/>
  <c r="K37" i="51"/>
  <c r="K50" i="51"/>
  <c r="K48" i="51"/>
  <c r="K49" i="51"/>
  <c r="L61" i="51"/>
  <c r="L59" i="51"/>
  <c r="L60" i="51"/>
  <c r="L186" i="51"/>
  <c r="L185" i="51"/>
  <c r="L72" i="51"/>
  <c r="L71" i="51"/>
  <c r="L70" i="51"/>
  <c r="K83" i="51"/>
  <c r="K82" i="51"/>
  <c r="K81" i="51"/>
  <c r="L132" i="51"/>
  <c r="K117" i="51"/>
  <c r="J28" i="51"/>
  <c r="J197" i="51" s="1"/>
  <c r="J15" i="51" s="1"/>
  <c r="J27" i="51"/>
  <c r="J196" i="51" s="1"/>
  <c r="J14" i="51" s="1"/>
  <c r="J26" i="51"/>
  <c r="H55" i="51"/>
  <c r="H53" i="51"/>
  <c r="F54" i="51"/>
  <c r="F55" i="51"/>
  <c r="F53" i="51"/>
  <c r="G44" i="51"/>
  <c r="G42" i="51"/>
  <c r="G43" i="51"/>
  <c r="G66" i="51"/>
  <c r="G64" i="51"/>
  <c r="G65" i="51"/>
  <c r="F76" i="51"/>
  <c r="F77" i="51"/>
  <c r="F75" i="51"/>
  <c r="H88" i="51"/>
  <c r="H86" i="51"/>
  <c r="G99" i="51"/>
  <c r="G97" i="51"/>
  <c r="G98" i="51"/>
  <c r="F87" i="51"/>
  <c r="F88" i="51"/>
  <c r="F86" i="51"/>
  <c r="F120" i="51"/>
  <c r="F121" i="51"/>
  <c r="F119" i="51"/>
  <c r="G136" i="51"/>
  <c r="G134" i="51"/>
  <c r="F135" i="51"/>
  <c r="F136" i="51"/>
  <c r="F134" i="51"/>
  <c r="G169" i="51"/>
  <c r="G167" i="51"/>
  <c r="G168" i="51"/>
  <c r="F157" i="51"/>
  <c r="F158" i="51"/>
  <c r="F156" i="51"/>
  <c r="F180" i="51"/>
  <c r="F178" i="51"/>
  <c r="I29" i="51"/>
  <c r="K23" i="31"/>
  <c r="K24" i="31" s="1"/>
  <c r="K31" i="18" s="1"/>
  <c r="L15" i="24" s="1"/>
  <c r="F33" i="51"/>
  <c r="F43" i="34"/>
  <c r="F121" i="34"/>
  <c r="F123" i="34" s="1"/>
  <c r="F31" i="51"/>
  <c r="H44" i="51"/>
  <c r="H42" i="51"/>
  <c r="F43" i="51"/>
  <c r="F44" i="51"/>
  <c r="F42" i="51"/>
  <c r="G55" i="51"/>
  <c r="G53" i="51"/>
  <c r="G54" i="51"/>
  <c r="G77" i="51"/>
  <c r="G75" i="51"/>
  <c r="G76" i="51"/>
  <c r="H77" i="51"/>
  <c r="H75" i="51"/>
  <c r="F65" i="51"/>
  <c r="F66" i="51"/>
  <c r="F64" i="51"/>
  <c r="H66" i="51"/>
  <c r="H64" i="51"/>
  <c r="F98" i="51"/>
  <c r="F99" i="51"/>
  <c r="F97" i="51"/>
  <c r="G110" i="51"/>
  <c r="G108" i="51"/>
  <c r="G121" i="51"/>
  <c r="G119" i="51"/>
  <c r="H99" i="51"/>
  <c r="H97" i="51"/>
  <c r="F109" i="51"/>
  <c r="F110" i="51"/>
  <c r="F108" i="51"/>
  <c r="G88" i="51"/>
  <c r="G86" i="51"/>
  <c r="G87" i="51"/>
  <c r="F146" i="51"/>
  <c r="F147" i="51"/>
  <c r="F145" i="51"/>
  <c r="G158" i="51"/>
  <c r="G156" i="51"/>
  <c r="H169" i="51"/>
  <c r="H167" i="51"/>
  <c r="F168" i="51"/>
  <c r="F169" i="51"/>
  <c r="F167" i="51"/>
  <c r="H180" i="51"/>
  <c r="H178" i="51"/>
  <c r="H191" i="51"/>
  <c r="H189" i="51"/>
  <c r="F190" i="51"/>
  <c r="F191" i="51"/>
  <c r="F189" i="51"/>
  <c r="G191" i="51"/>
  <c r="G189" i="51"/>
  <c r="G190" i="51"/>
  <c r="H198" i="51"/>
  <c r="H16" i="51" s="1"/>
  <c r="G198" i="51"/>
  <c r="G16" i="51" s="1"/>
  <c r="I198" i="51"/>
  <c r="I16" i="51" s="1"/>
  <c r="J38" i="38"/>
  <c r="J37" i="38"/>
  <c r="I40" i="38"/>
  <c r="I146" i="35"/>
  <c r="AA12" i="36"/>
  <c r="M138" i="43"/>
  <c r="M157" i="43" s="1"/>
  <c r="N138" i="29"/>
  <c r="L17" i="18"/>
  <c r="L26" i="18" s="1"/>
  <c r="X138" i="29"/>
  <c r="J8" i="37"/>
  <c r="H149" i="35"/>
  <c r="L18" i="1"/>
  <c r="H203" i="18"/>
  <c r="I40" i="31"/>
  <c r="I26" i="38"/>
  <c r="N133" i="35"/>
  <c r="N115" i="18"/>
  <c r="W12" i="36"/>
  <c r="AE15" i="36"/>
  <c r="AE17" i="36"/>
  <c r="AE19" i="36"/>
  <c r="AE21" i="36"/>
  <c r="AE23" i="36"/>
  <c r="AE25" i="36"/>
  <c r="AE27" i="36"/>
  <c r="AE29" i="36"/>
  <c r="AE31" i="36"/>
  <c r="AE33" i="36"/>
  <c r="AE35" i="36"/>
  <c r="AE37" i="36"/>
  <c r="AE39" i="36"/>
  <c r="AE41" i="36"/>
  <c r="AE43" i="36"/>
  <c r="AE45" i="36"/>
  <c r="AE47" i="36"/>
  <c r="AE49" i="36"/>
  <c r="AE51" i="36"/>
  <c r="AE53" i="36"/>
  <c r="AE55" i="36"/>
  <c r="AE57" i="36"/>
  <c r="AE59" i="36"/>
  <c r="AE61" i="36"/>
  <c r="AE63" i="36"/>
  <c r="AE65" i="36"/>
  <c r="AE67" i="36"/>
  <c r="AE69" i="36"/>
  <c r="AE14" i="36"/>
  <c r="AE16" i="36"/>
  <c r="AE18" i="36"/>
  <c r="AE20" i="36"/>
  <c r="AE22" i="36"/>
  <c r="AE24" i="36"/>
  <c r="AE26" i="36"/>
  <c r="AE28" i="36"/>
  <c r="AE30" i="36"/>
  <c r="AE32" i="36"/>
  <c r="AE34" i="36"/>
  <c r="AE36" i="36"/>
  <c r="AE38" i="36"/>
  <c r="AE40" i="36"/>
  <c r="AE42" i="36"/>
  <c r="AE44" i="36"/>
  <c r="AE46" i="36"/>
  <c r="AE48" i="36"/>
  <c r="AE50" i="36"/>
  <c r="AE52" i="36"/>
  <c r="AE54" i="36"/>
  <c r="AE56" i="36"/>
  <c r="AE58" i="36"/>
  <c r="AE60" i="36"/>
  <c r="AE62" i="36"/>
  <c r="AE64" i="36"/>
  <c r="AE66" i="36"/>
  <c r="AE68" i="36"/>
  <c r="AE70" i="36"/>
  <c r="L98" i="34"/>
  <c r="I162" i="34"/>
  <c r="I127" i="34"/>
  <c r="I192" i="34"/>
  <c r="I187" i="34"/>
  <c r="I167" i="34"/>
  <c r="I182" i="34"/>
  <c r="I142" i="34"/>
  <c r="K62" i="34"/>
  <c r="K145" i="34"/>
  <c r="L26" i="1"/>
  <c r="M26" i="1" s="1"/>
  <c r="L54" i="34"/>
  <c r="L135" i="34"/>
  <c r="N155" i="43"/>
  <c r="I157" i="34"/>
  <c r="I172" i="34"/>
  <c r="I122" i="34"/>
  <c r="I152" i="34"/>
  <c r="I137" i="34"/>
  <c r="I147" i="34"/>
  <c r="L23" i="1"/>
  <c r="M23" i="1" s="1"/>
  <c r="K50" i="34"/>
  <c r="K130" i="34"/>
  <c r="L22" i="1"/>
  <c r="M22" i="1" s="1"/>
  <c r="M43" i="1" s="1"/>
  <c r="M47" i="34" s="1"/>
  <c r="I198" i="34"/>
  <c r="I28" i="34" s="1"/>
  <c r="I38" i="1"/>
  <c r="G57" i="49" s="1"/>
  <c r="K21" i="1"/>
  <c r="J120" i="34"/>
  <c r="J36" i="1"/>
  <c r="H56" i="49" s="1"/>
  <c r="J42" i="34"/>
  <c r="J105" i="34" s="1"/>
  <c r="J22" i="34" s="1"/>
  <c r="I42" i="39"/>
  <c r="G28" i="40" s="1"/>
  <c r="H59" i="34"/>
  <c r="H60" i="34" s="1"/>
  <c r="H141" i="34"/>
  <c r="H143" i="34" s="1"/>
  <c r="H55" i="34"/>
  <c r="H56" i="34" s="1"/>
  <c r="H136" i="34"/>
  <c r="H138" i="34" s="1"/>
  <c r="H95" i="34"/>
  <c r="H96" i="34" s="1"/>
  <c r="H186" i="34"/>
  <c r="H188" i="34" s="1"/>
  <c r="H47" i="34"/>
  <c r="H48" i="34" s="1"/>
  <c r="H126" i="34"/>
  <c r="H128" i="34" s="1"/>
  <c r="H63" i="34"/>
  <c r="H64" i="34" s="1"/>
  <c r="H146" i="34"/>
  <c r="H148" i="34" s="1"/>
  <c r="H91" i="34"/>
  <c r="H92" i="34" s="1"/>
  <c r="H181" i="34"/>
  <c r="H183" i="34" s="1"/>
  <c r="H67" i="34"/>
  <c r="H68" i="34" s="1"/>
  <c r="H151" i="34"/>
  <c r="H153" i="34" s="1"/>
  <c r="H99" i="34"/>
  <c r="H100" i="34" s="1"/>
  <c r="H191" i="34"/>
  <c r="H193" i="34" s="1"/>
  <c r="H51" i="34"/>
  <c r="H52" i="34" s="1"/>
  <c r="H131" i="34"/>
  <c r="H133" i="34" s="1"/>
  <c r="X91" i="43"/>
  <c r="N91" i="43"/>
  <c r="J105" i="43"/>
  <c r="Y105" i="29"/>
  <c r="X114" i="43"/>
  <c r="N114" i="43"/>
  <c r="J126" i="43"/>
  <c r="Y126" i="29"/>
  <c r="X126" i="43"/>
  <c r="N126" i="43"/>
  <c r="Y107" i="43"/>
  <c r="O107" i="43"/>
  <c r="Y27" i="43"/>
  <c r="O27" i="43"/>
  <c r="Y38" i="43"/>
  <c r="O38" i="43"/>
  <c r="Y46" i="43"/>
  <c r="O46" i="43"/>
  <c r="E154" i="13"/>
  <c r="AI154" i="13" s="1"/>
  <c r="J122" i="13"/>
  <c r="S122" i="13" s="1"/>
  <c r="E160" i="13"/>
  <c r="AI160" i="13" s="1"/>
  <c r="J128" i="13"/>
  <c r="S128" i="13" s="1"/>
  <c r="AE128" i="13"/>
  <c r="G191" i="13"/>
  <c r="J63" i="43"/>
  <c r="Y63" i="29"/>
  <c r="J78" i="43"/>
  <c r="Y78" i="29"/>
  <c r="J104" i="43"/>
  <c r="Y104" i="29"/>
  <c r="J106" i="43"/>
  <c r="Y106" i="29"/>
  <c r="X115" i="43"/>
  <c r="N115" i="43"/>
  <c r="J124" i="43"/>
  <c r="Y124" i="29"/>
  <c r="J131" i="43"/>
  <c r="Y131" i="29"/>
  <c r="J83" i="43"/>
  <c r="Y83" i="29"/>
  <c r="J123" i="43"/>
  <c r="Y123" i="29"/>
  <c r="J136" i="43"/>
  <c r="Y136" i="29"/>
  <c r="X136" i="43"/>
  <c r="N136" i="43"/>
  <c r="J85" i="43"/>
  <c r="Y85" i="29"/>
  <c r="J122" i="43"/>
  <c r="Y122" i="29"/>
  <c r="X122" i="43"/>
  <c r="N122" i="43"/>
  <c r="J91" i="43"/>
  <c r="Y91" i="29"/>
  <c r="X105" i="43"/>
  <c r="N105" i="43"/>
  <c r="J114" i="43"/>
  <c r="Y114" i="29"/>
  <c r="J119" i="43"/>
  <c r="Y119" i="29"/>
  <c r="X119" i="43"/>
  <c r="N119" i="43"/>
  <c r="AF115" i="13"/>
  <c r="G183" i="13"/>
  <c r="G187" i="13"/>
  <c r="G195" i="13"/>
  <c r="X63" i="43"/>
  <c r="N63" i="43"/>
  <c r="I138" i="43"/>
  <c r="I157" i="43" s="1"/>
  <c r="X78" i="43"/>
  <c r="N78" i="43"/>
  <c r="X104" i="43"/>
  <c r="N104" i="43"/>
  <c r="X106" i="43"/>
  <c r="N106" i="43"/>
  <c r="J115" i="43"/>
  <c r="Y115" i="29"/>
  <c r="X124" i="43"/>
  <c r="N124" i="43"/>
  <c r="X131" i="43"/>
  <c r="N131" i="43"/>
  <c r="AF121" i="13"/>
  <c r="J157" i="13"/>
  <c r="S157" i="13" s="1"/>
  <c r="E189" i="13"/>
  <c r="G181" i="13"/>
  <c r="G185" i="13"/>
  <c r="G189" i="13"/>
  <c r="X83" i="43"/>
  <c r="N83" i="43"/>
  <c r="X123" i="43"/>
  <c r="N123" i="43"/>
  <c r="E149" i="13"/>
  <c r="AI149" i="13" s="1"/>
  <c r="AE117" i="13"/>
  <c r="J117" i="13"/>
  <c r="S117" i="13" s="1"/>
  <c r="E153" i="13"/>
  <c r="AI153" i="13" s="1"/>
  <c r="J121" i="13"/>
  <c r="S121" i="13" s="1"/>
  <c r="AE121" i="13"/>
  <c r="X85" i="43"/>
  <c r="N85" i="43"/>
  <c r="X155" i="43"/>
  <c r="H196" i="18"/>
  <c r="E182" i="13"/>
  <c r="J150" i="13"/>
  <c r="S150" i="13" s="1"/>
  <c r="AF191" i="13"/>
  <c r="N46" i="35"/>
  <c r="M48" i="35"/>
  <c r="M58" i="35" s="1"/>
  <c r="M70" i="18"/>
  <c r="N190" i="18"/>
  <c r="AF151" i="13"/>
  <c r="J191" i="13"/>
  <c r="S191" i="13" s="1"/>
  <c r="M190" i="18"/>
  <c r="N78" i="18"/>
  <c r="J64" i="38"/>
  <c r="E183" i="13"/>
  <c r="J151" i="13"/>
  <c r="S151" i="13" s="1"/>
  <c r="L198" i="35"/>
  <c r="I60" i="38" s="1"/>
  <c r="M72" i="48"/>
  <c r="L77" i="48"/>
  <c r="M177" i="48"/>
  <c r="L181" i="48"/>
  <c r="M161" i="18" s="1"/>
  <c r="M81" i="48"/>
  <c r="L85" i="48"/>
  <c r="M166" i="35" s="1"/>
  <c r="L156" i="18"/>
  <c r="L163" i="18" s="1"/>
  <c r="K215" i="48"/>
  <c r="N164" i="35"/>
  <c r="L167" i="35"/>
  <c r="M164" i="35"/>
  <c r="M205" i="48"/>
  <c r="L209" i="48"/>
  <c r="M172" i="35" s="1"/>
  <c r="M127" i="48"/>
  <c r="L129" i="48"/>
  <c r="M168" i="35" s="1"/>
  <c r="M102" i="48"/>
  <c r="L105" i="48"/>
  <c r="M167" i="35" s="1"/>
  <c r="M186" i="48"/>
  <c r="N186" i="48" s="1"/>
  <c r="Y140" i="43"/>
  <c r="O140" i="43"/>
  <c r="Y142" i="43"/>
  <c r="O142" i="43"/>
  <c r="Y141" i="43"/>
  <c r="O141" i="43"/>
  <c r="Y145" i="43"/>
  <c r="O145" i="43"/>
  <c r="M156" i="31"/>
  <c r="M220" i="31"/>
  <c r="M204" i="31"/>
  <c r="N61" i="31"/>
  <c r="O61" i="31" s="1"/>
  <c r="N126" i="31"/>
  <c r="O126" i="31" s="1"/>
  <c r="N150" i="31"/>
  <c r="O150" i="31" s="1"/>
  <c r="N190" i="31"/>
  <c r="O190" i="31" s="1"/>
  <c r="N109" i="31"/>
  <c r="O109" i="31" s="1"/>
  <c r="N93" i="31"/>
  <c r="O93" i="31" s="1"/>
  <c r="N116" i="31"/>
  <c r="O116" i="31" s="1"/>
  <c r="N125" i="31"/>
  <c r="O125" i="31" s="1"/>
  <c r="N96" i="31"/>
  <c r="O96" i="31" s="1"/>
  <c r="N182" i="31"/>
  <c r="O182" i="31" s="1"/>
  <c r="N185" i="31"/>
  <c r="O185" i="31" s="1"/>
  <c r="N118" i="31"/>
  <c r="O118" i="31" s="1"/>
  <c r="N149" i="31"/>
  <c r="O149" i="31" s="1"/>
  <c r="N189" i="31"/>
  <c r="O189" i="31" s="1"/>
  <c r="N247" i="31"/>
  <c r="O247" i="31" s="1"/>
  <c r="N166" i="31"/>
  <c r="O166" i="31" s="1"/>
  <c r="N148" i="31"/>
  <c r="O148" i="31" s="1"/>
  <c r="N157" i="31"/>
  <c r="O157" i="31" s="1"/>
  <c r="N76" i="31"/>
  <c r="O76" i="31" s="1"/>
  <c r="N181" i="31"/>
  <c r="O181" i="31" s="1"/>
  <c r="N129" i="31"/>
  <c r="O129" i="31" s="1"/>
  <c r="N188" i="31"/>
  <c r="O188" i="31" s="1"/>
  <c r="N134" i="31"/>
  <c r="O134" i="31" s="1"/>
  <c r="N132" i="31"/>
  <c r="O132" i="31" s="1"/>
  <c r="N164" i="31"/>
  <c r="O164" i="31" s="1"/>
  <c r="N117" i="31"/>
  <c r="O117" i="31" s="1"/>
  <c r="N180" i="31"/>
  <c r="O180" i="31" s="1"/>
  <c r="N105" i="31"/>
  <c r="O105" i="31" s="1"/>
  <c r="M286" i="31"/>
  <c r="J155" i="43"/>
  <c r="H46" i="18"/>
  <c r="N108" i="31"/>
  <c r="O108" i="31" s="1"/>
  <c r="N94" i="31"/>
  <c r="O94" i="31" s="1"/>
  <c r="N88" i="31"/>
  <c r="O88" i="31" s="1"/>
  <c r="N84" i="31"/>
  <c r="O84" i="31" s="1"/>
  <c r="N83" i="31"/>
  <c r="O83" i="31" s="1"/>
  <c r="N77" i="18"/>
  <c r="N65" i="35"/>
  <c r="N72" i="35" s="1"/>
  <c r="M192" i="18"/>
  <c r="L75" i="1"/>
  <c r="L160" i="34"/>
  <c r="L74" i="34"/>
  <c r="L140" i="34"/>
  <c r="L58" i="34"/>
  <c r="G151" i="34"/>
  <c r="G153" i="34" s="1"/>
  <c r="G67" i="34"/>
  <c r="G68" i="34" s="1"/>
  <c r="G136" i="34"/>
  <c r="G138" i="34" s="1"/>
  <c r="G55" i="34"/>
  <c r="G56" i="34" s="1"/>
  <c r="G131" i="34"/>
  <c r="G133" i="34" s="1"/>
  <c r="G51" i="34"/>
  <c r="G52" i="34" s="1"/>
  <c r="G146" i="34"/>
  <c r="G148" i="34" s="1"/>
  <c r="G63" i="34"/>
  <c r="G64" i="34" s="1"/>
  <c r="G171" i="34"/>
  <c r="G173" i="34" s="1"/>
  <c r="G83" i="34"/>
  <c r="G84" i="34" s="1"/>
  <c r="G161" i="34"/>
  <c r="G163" i="34" s="1"/>
  <c r="G75" i="34"/>
  <c r="G76" i="34" s="1"/>
  <c r="L150" i="34"/>
  <c r="L66" i="34"/>
  <c r="G141" i="34"/>
  <c r="G143" i="34" s="1"/>
  <c r="G59" i="34"/>
  <c r="G60" i="34" s="1"/>
  <c r="G156" i="34"/>
  <c r="G158" i="34" s="1"/>
  <c r="G71" i="34"/>
  <c r="G72" i="34" s="1"/>
  <c r="G126" i="34"/>
  <c r="G128" i="34" s="1"/>
  <c r="G47" i="34"/>
  <c r="G48" i="34" s="1"/>
  <c r="G181" i="34"/>
  <c r="G183" i="34" s="1"/>
  <c r="G91" i="34"/>
  <c r="G92" i="34" s="1"/>
  <c r="G176" i="34"/>
  <c r="G178" i="34" s="1"/>
  <c r="G87" i="34"/>
  <c r="G88" i="34" s="1"/>
  <c r="G166" i="34"/>
  <c r="G168" i="34" s="1"/>
  <c r="G79" i="34"/>
  <c r="G80" i="34" s="1"/>
  <c r="G191" i="34"/>
  <c r="G193" i="34" s="1"/>
  <c r="G99" i="34"/>
  <c r="G100" i="34" s="1"/>
  <c r="I15" i="24"/>
  <c r="F43" i="37"/>
  <c r="G15" i="39" s="1"/>
  <c r="M101" i="35"/>
  <c r="M105" i="35" s="1"/>
  <c r="K34" i="37"/>
  <c r="J19" i="40" s="1"/>
  <c r="G26" i="38"/>
  <c r="J204" i="35"/>
  <c r="G69" i="38" s="1"/>
  <c r="H204" i="35"/>
  <c r="I204" i="35"/>
  <c r="F69" i="38" s="1"/>
  <c r="F26" i="38"/>
  <c r="J146" i="35"/>
  <c r="M270" i="31"/>
  <c r="M196" i="31"/>
  <c r="M197" i="31"/>
  <c r="M260" i="31"/>
  <c r="M214" i="31"/>
  <c r="M230" i="31"/>
  <c r="M237" i="31"/>
  <c r="M229" i="31"/>
  <c r="M158" i="31"/>
  <c r="M292" i="31"/>
  <c r="M198" i="31"/>
  <c r="M294" i="31"/>
  <c r="L29" i="31"/>
  <c r="L31" i="31" s="1"/>
  <c r="H59" i="49" s="1"/>
  <c r="M92" i="31"/>
  <c r="N54" i="31"/>
  <c r="M27" i="31"/>
  <c r="N75" i="31"/>
  <c r="O75" i="31" s="1"/>
  <c r="N64" i="31"/>
  <c r="O64" i="31" s="1"/>
  <c r="M33" i="31"/>
  <c r="H12" i="37"/>
  <c r="M138" i="29"/>
  <c r="L138" i="29"/>
  <c r="J189" i="18"/>
  <c r="K189" i="18"/>
  <c r="L234" i="24"/>
  <c r="L14" i="24" s="1"/>
  <c r="F71" i="34"/>
  <c r="F72" i="34" s="1"/>
  <c r="F156" i="34"/>
  <c r="F158" i="34" s="1"/>
  <c r="L33" i="31"/>
  <c r="K28" i="31"/>
  <c r="G58" i="49" s="1"/>
  <c r="L26" i="31"/>
  <c r="K34" i="31"/>
  <c r="G60" i="49" s="1"/>
  <c r="L436" i="24"/>
  <c r="L20" i="24" s="1"/>
  <c r="L342" i="24"/>
  <c r="L30" i="24"/>
  <c r="G4" i="22"/>
  <c r="K19" i="48"/>
  <c r="J27" i="34"/>
  <c r="M241" i="24"/>
  <c r="K8" i="39"/>
  <c r="I8" i="38"/>
  <c r="Y10" i="29"/>
  <c r="Y10" i="43"/>
  <c r="J114" i="34"/>
  <c r="I8" i="40"/>
  <c r="AD10" i="29"/>
  <c r="L8" i="35"/>
  <c r="L95" i="35" s="1"/>
  <c r="L180" i="18"/>
  <c r="AD10" i="43"/>
  <c r="F47" i="34"/>
  <c r="F48" i="34" s="1"/>
  <c r="F126" i="34"/>
  <c r="F128" i="34" s="1"/>
  <c r="F95" i="34"/>
  <c r="F96" i="34" s="1"/>
  <c r="F186" i="34"/>
  <c r="F188" i="34" s="1"/>
  <c r="F99" i="34"/>
  <c r="F100" i="34" s="1"/>
  <c r="F191" i="34"/>
  <c r="F193" i="34" s="1"/>
  <c r="F83" i="34"/>
  <c r="F84" i="34" s="1"/>
  <c r="F171" i="34"/>
  <c r="F173" i="34" s="1"/>
  <c r="F79" i="34"/>
  <c r="F80" i="34" s="1"/>
  <c r="F166" i="34"/>
  <c r="F168" i="34" s="1"/>
  <c r="F141" i="34"/>
  <c r="F143" i="34" s="1"/>
  <c r="F59" i="34"/>
  <c r="F60" i="34" s="1"/>
  <c r="F87" i="34"/>
  <c r="F88" i="34" s="1"/>
  <c r="F176" i="34"/>
  <c r="F178" i="34" s="1"/>
  <c r="F51" i="34"/>
  <c r="F52" i="34" s="1"/>
  <c r="F131" i="34"/>
  <c r="F133" i="34" s="1"/>
  <c r="F29" i="34"/>
  <c r="F201" i="34"/>
  <c r="H132" i="35" s="1"/>
  <c r="F151" i="34"/>
  <c r="F153" i="34" s="1"/>
  <c r="F67" i="34"/>
  <c r="F68" i="34" s="1"/>
  <c r="F91" i="34"/>
  <c r="F92" i="34" s="1"/>
  <c r="F181" i="34"/>
  <c r="F183" i="34" s="1"/>
  <c r="F63" i="34"/>
  <c r="F64" i="34" s="1"/>
  <c r="F146" i="34"/>
  <c r="F148" i="34" s="1"/>
  <c r="F75" i="34"/>
  <c r="F76" i="34" s="1"/>
  <c r="F161" i="34"/>
  <c r="F163" i="34" s="1"/>
  <c r="F55" i="34"/>
  <c r="F56" i="34" s="1"/>
  <c r="F136" i="34"/>
  <c r="F138" i="34" s="1"/>
  <c r="L300" i="31"/>
  <c r="L32" i="31"/>
  <c r="J35" i="31"/>
  <c r="F61" i="49" s="1"/>
  <c r="L27" i="31"/>
  <c r="H13" i="54" l="1"/>
  <c r="I13" i="54"/>
  <c r="J15" i="24"/>
  <c r="K15" i="24"/>
  <c r="K16" i="24" s="1"/>
  <c r="J32" i="18" s="1"/>
  <c r="L190" i="34"/>
  <c r="L184" i="51"/>
  <c r="M18" i="1"/>
  <c r="O16" i="18" s="1"/>
  <c r="N16" i="18"/>
  <c r="H63" i="49"/>
  <c r="O56" i="31"/>
  <c r="O49" i="24"/>
  <c r="O251" i="24"/>
  <c r="O55" i="31"/>
  <c r="O250" i="24"/>
  <c r="O48" i="24"/>
  <c r="N30" i="31"/>
  <c r="O54" i="31"/>
  <c r="O249" i="24"/>
  <c r="O47" i="24"/>
  <c r="N47" i="24"/>
  <c r="N249" i="24"/>
  <c r="P247" i="24"/>
  <c r="P45" i="24"/>
  <c r="O53" i="31"/>
  <c r="O46" i="24"/>
  <c r="O248" i="24"/>
  <c r="N248" i="24"/>
  <c r="N46" i="24"/>
  <c r="N48" i="35"/>
  <c r="N58" i="35" s="1"/>
  <c r="O46" i="35"/>
  <c r="O48" i="35" s="1"/>
  <c r="O58" i="35" s="1"/>
  <c r="O198" i="35" s="1"/>
  <c r="N35" i="35"/>
  <c r="O32" i="35"/>
  <c r="O35" i="35" s="1"/>
  <c r="G177" i="13"/>
  <c r="AH177" i="13" s="1"/>
  <c r="AI177" i="13" s="1"/>
  <c r="K165" i="13"/>
  <c r="J50" i="49" s="1"/>
  <c r="I63" i="49" s="1"/>
  <c r="K190" i="13"/>
  <c r="K197" i="13" s="1"/>
  <c r="K193" i="13"/>
  <c r="K225" i="13" s="1"/>
  <c r="Q158" i="13"/>
  <c r="T158" i="13"/>
  <c r="Q161" i="13"/>
  <c r="G193" i="13"/>
  <c r="AH193" i="13" s="1"/>
  <c r="O133" i="13"/>
  <c r="K214" i="13"/>
  <c r="T182" i="13"/>
  <c r="T148" i="13"/>
  <c r="H185" i="13"/>
  <c r="AG185" i="13" s="1"/>
  <c r="K180" i="13"/>
  <c r="H195" i="13"/>
  <c r="AG195" i="13" s="1"/>
  <c r="O182" i="13"/>
  <c r="U182" i="13"/>
  <c r="E195" i="13"/>
  <c r="J163" i="13"/>
  <c r="S163" i="13" s="1"/>
  <c r="AG187" i="13"/>
  <c r="H219" i="13"/>
  <c r="AG219" i="13" s="1"/>
  <c r="U195" i="13"/>
  <c r="K227" i="13"/>
  <c r="AH185" i="13"/>
  <c r="G217" i="13"/>
  <c r="AH217" i="13" s="1"/>
  <c r="AH191" i="13"/>
  <c r="G223" i="13"/>
  <c r="AH223" i="13" s="1"/>
  <c r="AG192" i="13"/>
  <c r="H224" i="13"/>
  <c r="AG224" i="13" s="1"/>
  <c r="AG196" i="13"/>
  <c r="H228" i="13"/>
  <c r="AG228" i="13" s="1"/>
  <c r="U189" i="13"/>
  <c r="K221" i="13"/>
  <c r="H217" i="13"/>
  <c r="AG217" i="13" s="1"/>
  <c r="AG179" i="13"/>
  <c r="H211" i="13"/>
  <c r="AG211" i="13" s="1"/>
  <c r="U211" i="13"/>
  <c r="T211" i="13"/>
  <c r="O211" i="13"/>
  <c r="AE211" i="13" s="1"/>
  <c r="Q211" i="13"/>
  <c r="U187" i="13"/>
  <c r="K219" i="13"/>
  <c r="AG183" i="13"/>
  <c r="H215" i="13"/>
  <c r="AG215" i="13" s="1"/>
  <c r="AI178" i="13"/>
  <c r="E210" i="13"/>
  <c r="U184" i="13"/>
  <c r="K216" i="13"/>
  <c r="AH189" i="13"/>
  <c r="G221" i="13"/>
  <c r="AH221" i="13" s="1"/>
  <c r="AH183" i="13"/>
  <c r="G215" i="13"/>
  <c r="AH215" i="13" s="1"/>
  <c r="AG177" i="13"/>
  <c r="H209" i="13"/>
  <c r="AG209" i="13" s="1"/>
  <c r="U186" i="13"/>
  <c r="K218" i="13"/>
  <c r="AG180" i="13"/>
  <c r="H212" i="13"/>
  <c r="AG212" i="13" s="1"/>
  <c r="AG191" i="13"/>
  <c r="H223" i="13"/>
  <c r="AG223" i="13" s="1"/>
  <c r="Q224" i="13"/>
  <c r="O224" i="13"/>
  <c r="AE224" i="13" s="1"/>
  <c r="T224" i="13"/>
  <c r="U224" i="13"/>
  <c r="AI183" i="13"/>
  <c r="E215" i="13"/>
  <c r="AH181" i="13"/>
  <c r="G213" i="13"/>
  <c r="AH213" i="13" s="1"/>
  <c r="AH195" i="13"/>
  <c r="G227" i="13"/>
  <c r="AH227" i="13" s="1"/>
  <c r="AG188" i="13"/>
  <c r="H220" i="13"/>
  <c r="AG220" i="13" s="1"/>
  <c r="AG186" i="13"/>
  <c r="H218" i="13"/>
  <c r="AG218" i="13" s="1"/>
  <c r="AG178" i="13"/>
  <c r="H210" i="13"/>
  <c r="AG210" i="13" s="1"/>
  <c r="AG184" i="13"/>
  <c r="H216" i="13"/>
  <c r="AG216" i="13" s="1"/>
  <c r="U191" i="13"/>
  <c r="K223" i="13"/>
  <c r="U183" i="13"/>
  <c r="K215" i="13"/>
  <c r="AG182" i="13"/>
  <c r="H214" i="13"/>
  <c r="AG214" i="13" s="1"/>
  <c r="AG189" i="13"/>
  <c r="H221" i="13"/>
  <c r="AG221" i="13" s="1"/>
  <c r="Q214" i="13"/>
  <c r="U214" i="13"/>
  <c r="O214" i="13"/>
  <c r="AE214" i="13" s="1"/>
  <c r="T214" i="13"/>
  <c r="AI187" i="13"/>
  <c r="E219" i="13"/>
  <c r="J223" i="13"/>
  <c r="S223" i="13" s="1"/>
  <c r="AI223" i="13"/>
  <c r="Q226" i="13"/>
  <c r="O226" i="13"/>
  <c r="AE226" i="13" s="1"/>
  <c r="T226" i="13"/>
  <c r="U226" i="13"/>
  <c r="AH179" i="13"/>
  <c r="G211" i="13"/>
  <c r="AH211" i="13" s="1"/>
  <c r="AH184" i="13"/>
  <c r="G216" i="13"/>
  <c r="AH216" i="13" s="1"/>
  <c r="AI195" i="13"/>
  <c r="E227" i="13"/>
  <c r="U185" i="13"/>
  <c r="K217" i="13"/>
  <c r="U196" i="13"/>
  <c r="K228" i="13"/>
  <c r="O177" i="13"/>
  <c r="K209" i="13"/>
  <c r="AI182" i="13"/>
  <c r="E214" i="13"/>
  <c r="G225" i="13"/>
  <c r="AH225" i="13" s="1"/>
  <c r="AI189" i="13"/>
  <c r="E221" i="13"/>
  <c r="AH187" i="13"/>
  <c r="G219" i="13"/>
  <c r="AH219" i="13" s="1"/>
  <c r="AI179" i="13"/>
  <c r="E211" i="13"/>
  <c r="T210" i="13"/>
  <c r="U210" i="13"/>
  <c r="O210" i="13"/>
  <c r="AE210" i="13" s="1"/>
  <c r="Q210" i="13"/>
  <c r="U188" i="13"/>
  <c r="K220" i="13"/>
  <c r="U180" i="13"/>
  <c r="K212" i="13"/>
  <c r="AG181" i="13"/>
  <c r="H213" i="13"/>
  <c r="AG213" i="13" s="1"/>
  <c r="AG190" i="13"/>
  <c r="H222" i="13"/>
  <c r="AG222" i="13" s="1"/>
  <c r="U181" i="13"/>
  <c r="K213" i="13"/>
  <c r="AG193" i="13"/>
  <c r="H225" i="13"/>
  <c r="AG225" i="13" s="1"/>
  <c r="AG194" i="13"/>
  <c r="H226" i="13"/>
  <c r="AG226" i="13" s="1"/>
  <c r="K222" i="13"/>
  <c r="U193" i="13"/>
  <c r="J222" i="13"/>
  <c r="S222" i="13" s="1"/>
  <c r="AI222" i="13"/>
  <c r="I37" i="49"/>
  <c r="M85" i="48"/>
  <c r="N166" i="35" s="1"/>
  <c r="N81" i="48"/>
  <c r="N85" i="48" s="1"/>
  <c r="O166" i="35" s="1"/>
  <c r="M105" i="48"/>
  <c r="N167" i="35" s="1"/>
  <c r="N102" i="48"/>
  <c r="N105" i="48" s="1"/>
  <c r="O167" i="35" s="1"/>
  <c r="M129" i="48"/>
  <c r="N168" i="35" s="1"/>
  <c r="N127" i="48"/>
  <c r="N129" i="48" s="1"/>
  <c r="O168" i="35" s="1"/>
  <c r="M209" i="48"/>
  <c r="N172" i="35" s="1"/>
  <c r="N205" i="48"/>
  <c r="N209" i="48" s="1"/>
  <c r="O172" i="35" s="1"/>
  <c r="M181" i="48"/>
  <c r="N161" i="18" s="1"/>
  <c r="N177" i="48"/>
  <c r="N181" i="48" s="1"/>
  <c r="O161" i="18" s="1"/>
  <c r="M77" i="48"/>
  <c r="N156" i="18" s="1"/>
  <c r="N72" i="48"/>
  <c r="N77" i="48" s="1"/>
  <c r="Y87" i="43"/>
  <c r="O87" i="43"/>
  <c r="Y60" i="43"/>
  <c r="O60" i="43"/>
  <c r="O138" i="29"/>
  <c r="Y53" i="43"/>
  <c r="O53" i="43"/>
  <c r="Y69" i="43"/>
  <c r="O69" i="43"/>
  <c r="Y42" i="43"/>
  <c r="O42" i="43"/>
  <c r="Y68" i="43"/>
  <c r="O68" i="43"/>
  <c r="K95" i="51"/>
  <c r="F36" i="49"/>
  <c r="G71" i="49"/>
  <c r="H71" i="49"/>
  <c r="I71" i="49"/>
  <c r="F71" i="49"/>
  <c r="F35" i="49"/>
  <c r="G82" i="22"/>
  <c r="I54" i="49"/>
  <c r="I18" i="49"/>
  <c r="I8" i="49"/>
  <c r="G67" i="49"/>
  <c r="I67" i="49"/>
  <c r="F67" i="49"/>
  <c r="H67" i="49"/>
  <c r="L125" i="34"/>
  <c r="L46" i="34"/>
  <c r="F32" i="51"/>
  <c r="H12" i="34"/>
  <c r="G13" i="34"/>
  <c r="G14" i="34" s="1"/>
  <c r="H201" i="34"/>
  <c r="J40" i="31"/>
  <c r="F62" i="49"/>
  <c r="H158" i="51"/>
  <c r="H145" i="51"/>
  <c r="H42" i="1"/>
  <c r="G32" i="51" s="1"/>
  <c r="K41" i="31"/>
  <c r="M46" i="34"/>
  <c r="M48" i="34" s="1"/>
  <c r="O22" i="31"/>
  <c r="M200" i="34"/>
  <c r="O14" i="35"/>
  <c r="O21" i="35" s="1"/>
  <c r="O15" i="18"/>
  <c r="O17" i="18" s="1"/>
  <c r="O26" i="18" s="1"/>
  <c r="M99" i="34"/>
  <c r="M100" i="34" s="1"/>
  <c r="M191" i="34"/>
  <c r="G43" i="34"/>
  <c r="G44" i="34" s="1"/>
  <c r="M44" i="1"/>
  <c r="M130" i="34"/>
  <c r="M50" i="34"/>
  <c r="M126" i="34"/>
  <c r="M67" i="34"/>
  <c r="M68" i="34" s="1"/>
  <c r="M151" i="34"/>
  <c r="G121" i="34"/>
  <c r="G123" i="34" s="1"/>
  <c r="G31" i="51"/>
  <c r="M54" i="1"/>
  <c r="M90" i="34"/>
  <c r="M180" i="34"/>
  <c r="M52" i="1"/>
  <c r="M170" i="34"/>
  <c r="M82" i="34"/>
  <c r="M55" i="34"/>
  <c r="M56" i="34" s="1"/>
  <c r="M136" i="34"/>
  <c r="M47" i="1"/>
  <c r="M145" i="34"/>
  <c r="M62" i="34"/>
  <c r="M95" i="34"/>
  <c r="M96" i="34" s="1"/>
  <c r="M186" i="34"/>
  <c r="M75" i="34"/>
  <c r="M76" i="34" s="1"/>
  <c r="M161" i="34"/>
  <c r="M125" i="34"/>
  <c r="M59" i="34"/>
  <c r="M60" i="34" s="1"/>
  <c r="M141" i="34"/>
  <c r="O27" i="31"/>
  <c r="O33" i="31"/>
  <c r="K64" i="38"/>
  <c r="O78" i="18"/>
  <c r="O83" i="18" s="1"/>
  <c r="O95" i="18" s="1"/>
  <c r="O183" i="18"/>
  <c r="O190" i="18"/>
  <c r="J8" i="40"/>
  <c r="L8" i="39"/>
  <c r="K214" i="48"/>
  <c r="K39" i="48"/>
  <c r="K59" i="48" s="1"/>
  <c r="K79" i="48" s="1"/>
  <c r="K99" i="48" s="1"/>
  <c r="K123" i="48" s="1"/>
  <c r="K143" i="48" s="1"/>
  <c r="K163" i="48" s="1"/>
  <c r="K183" i="48" s="1"/>
  <c r="K203" i="48" s="1"/>
  <c r="I58" i="38"/>
  <c r="AD83" i="13"/>
  <c r="U115" i="13"/>
  <c r="T83" i="13"/>
  <c r="U83" i="13" s="1"/>
  <c r="Q115" i="13"/>
  <c r="T115" i="13" s="1"/>
  <c r="AC115" i="13"/>
  <c r="AB115" i="13"/>
  <c r="S147" i="13"/>
  <c r="P147" i="13"/>
  <c r="AE147" i="13" s="1"/>
  <c r="Z147" i="13"/>
  <c r="M165" i="13"/>
  <c r="M177" i="13"/>
  <c r="M209" i="13" s="1"/>
  <c r="AH165" i="13"/>
  <c r="T196" i="13"/>
  <c r="Q196" i="13"/>
  <c r="O196" i="13"/>
  <c r="Q191" i="13"/>
  <c r="O191" i="13"/>
  <c r="AE191" i="13" s="1"/>
  <c r="T191" i="13"/>
  <c r="O179" i="13"/>
  <c r="T188" i="13"/>
  <c r="Q188" i="13"/>
  <c r="O188" i="13"/>
  <c r="AE188" i="13" s="1"/>
  <c r="O189" i="13"/>
  <c r="AE189" i="13" s="1"/>
  <c r="T189" i="13"/>
  <c r="Q189" i="13"/>
  <c r="O181" i="13"/>
  <c r="T181" i="13"/>
  <c r="Q181" i="13"/>
  <c r="Q183" i="13"/>
  <c r="O183" i="13"/>
  <c r="AE183" i="13" s="1"/>
  <c r="T183" i="13"/>
  <c r="Q187" i="13"/>
  <c r="O187" i="13"/>
  <c r="AE187" i="13" s="1"/>
  <c r="T187" i="13"/>
  <c r="Q195" i="13"/>
  <c r="O195" i="13"/>
  <c r="AE195" i="13" s="1"/>
  <c r="T195" i="13"/>
  <c r="O165" i="13"/>
  <c r="AI165" i="13"/>
  <c r="T180" i="13"/>
  <c r="Q180" i="13"/>
  <c r="O180" i="13"/>
  <c r="AE180" i="13" s="1"/>
  <c r="O185" i="13"/>
  <c r="T185" i="13"/>
  <c r="Q185" i="13"/>
  <c r="Q190" i="13"/>
  <c r="O178" i="13"/>
  <c r="Q186" i="13"/>
  <c r="O186" i="13"/>
  <c r="T186" i="13"/>
  <c r="T193" i="13"/>
  <c r="G201" i="34"/>
  <c r="I132" i="35" s="1"/>
  <c r="I142" i="35" s="1"/>
  <c r="G95" i="34"/>
  <c r="G96" i="34" s="1"/>
  <c r="H166" i="34"/>
  <c r="H168" i="34" s="1"/>
  <c r="G178" i="51"/>
  <c r="G181" i="51" s="1"/>
  <c r="G186" i="34"/>
  <c r="G188" i="34" s="1"/>
  <c r="G180" i="51"/>
  <c r="G202" i="51" s="1"/>
  <c r="G20" i="51" s="1"/>
  <c r="G135" i="51"/>
  <c r="G137" i="51" s="1"/>
  <c r="H156" i="34"/>
  <c r="H158" i="34" s="1"/>
  <c r="H75" i="34"/>
  <c r="H76" i="34" s="1"/>
  <c r="F179" i="51"/>
  <c r="G109" i="51"/>
  <c r="G111" i="51" s="1"/>
  <c r="H119" i="51"/>
  <c r="H71" i="34"/>
  <c r="H72" i="34" s="1"/>
  <c r="G120" i="51"/>
  <c r="G122" i="51" s="1"/>
  <c r="H121" i="51"/>
  <c r="H108" i="51"/>
  <c r="H147" i="51"/>
  <c r="H171" i="34"/>
  <c r="H173" i="34" s="1"/>
  <c r="H83" i="34"/>
  <c r="H84" i="34" s="1"/>
  <c r="I26" i="54"/>
  <c r="K37" i="31"/>
  <c r="G62" i="49" s="1"/>
  <c r="K25" i="35"/>
  <c r="L21" i="24" s="1"/>
  <c r="G157" i="51"/>
  <c r="G159" i="51" s="1"/>
  <c r="H176" i="34"/>
  <c r="H178" i="34" s="1"/>
  <c r="H134" i="51"/>
  <c r="H136" i="51"/>
  <c r="H87" i="34"/>
  <c r="H88" i="34" s="1"/>
  <c r="F56" i="51"/>
  <c r="F100" i="51"/>
  <c r="F45" i="51"/>
  <c r="F137" i="51"/>
  <c r="F122" i="51"/>
  <c r="F148" i="51"/>
  <c r="F78" i="51"/>
  <c r="N83" i="18"/>
  <c r="N191" i="18"/>
  <c r="N184" i="18" s="1"/>
  <c r="K21" i="38" s="1"/>
  <c r="L189" i="18"/>
  <c r="I15" i="38" s="1"/>
  <c r="AF149" i="13"/>
  <c r="J164" i="13"/>
  <c r="S164" i="13" s="1"/>
  <c r="E196" i="13"/>
  <c r="AE164" i="13"/>
  <c r="AF162" i="13"/>
  <c r="AF158" i="13"/>
  <c r="AF187" i="13"/>
  <c r="AF189" i="13"/>
  <c r="E194" i="13"/>
  <c r="J162" i="13"/>
  <c r="S162" i="13" s="1"/>
  <c r="AE162" i="13"/>
  <c r="G196" i="13"/>
  <c r="AF164" i="13"/>
  <c r="G192" i="13"/>
  <c r="G180" i="13"/>
  <c r="J195" i="13"/>
  <c r="S195" i="13" s="1"/>
  <c r="G188" i="13"/>
  <c r="AE161" i="13"/>
  <c r="E193" i="13"/>
  <c r="J161" i="13"/>
  <c r="S161" i="13" s="1"/>
  <c r="AF178" i="13"/>
  <c r="F89" i="51"/>
  <c r="F159" i="51"/>
  <c r="F181" i="51"/>
  <c r="Y14" i="43"/>
  <c r="O14" i="43"/>
  <c r="Y37" i="43"/>
  <c r="O37" i="43"/>
  <c r="O67" i="43"/>
  <c r="Y67" i="43"/>
  <c r="Y28" i="43"/>
  <c r="O28" i="43"/>
  <c r="Y39" i="43"/>
  <c r="O39" i="43"/>
  <c r="AF156" i="13"/>
  <c r="G190" i="13"/>
  <c r="O16" i="43"/>
  <c r="Y16" i="43"/>
  <c r="Y26" i="43"/>
  <c r="O26" i="43"/>
  <c r="O36" i="43"/>
  <c r="Y36" i="43"/>
  <c r="Y51" i="43"/>
  <c r="O51" i="43"/>
  <c r="G182" i="13"/>
  <c r="Y47" i="43"/>
  <c r="O47" i="43"/>
  <c r="O15" i="43"/>
  <c r="Y15" i="43"/>
  <c r="Y50" i="43"/>
  <c r="O50" i="43"/>
  <c r="Y25" i="43"/>
  <c r="O25" i="43"/>
  <c r="G178" i="13"/>
  <c r="Y40" i="43"/>
  <c r="O40" i="43"/>
  <c r="AF193" i="13"/>
  <c r="AF195" i="13"/>
  <c r="Y20" i="43"/>
  <c r="O20" i="43"/>
  <c r="G194" i="13"/>
  <c r="O108" i="43"/>
  <c r="Y108" i="43"/>
  <c r="Y33" i="43"/>
  <c r="O33" i="43"/>
  <c r="N163" i="18"/>
  <c r="F111" i="51"/>
  <c r="F67" i="51"/>
  <c r="AF145" i="13"/>
  <c r="G186" i="13"/>
  <c r="O23" i="43"/>
  <c r="Y23" i="43"/>
  <c r="AF148" i="13"/>
  <c r="N22" i="31"/>
  <c r="N14" i="35"/>
  <c r="N21" i="35" s="1"/>
  <c r="J58" i="38" s="1"/>
  <c r="L200" i="34"/>
  <c r="L30" i="34" s="1"/>
  <c r="N15" i="18"/>
  <c r="AF152" i="13"/>
  <c r="Y17" i="43"/>
  <c r="O17" i="43"/>
  <c r="O111" i="43"/>
  <c r="Y111" i="43"/>
  <c r="Y49" i="43"/>
  <c r="O49" i="43"/>
  <c r="J179" i="13"/>
  <c r="Y34" i="43"/>
  <c r="O34" i="43"/>
  <c r="Y45" i="43"/>
  <c r="O45" i="43"/>
  <c r="Y52" i="43"/>
  <c r="O52" i="43"/>
  <c r="O13" i="43"/>
  <c r="Y13" i="43"/>
  <c r="Y35" i="43"/>
  <c r="O35" i="43"/>
  <c r="L22" i="54"/>
  <c r="J13" i="54"/>
  <c r="K133" i="18"/>
  <c r="K62" i="38"/>
  <c r="J27" i="38"/>
  <c r="L205" i="35"/>
  <c r="I70" i="38" s="1"/>
  <c r="I62" i="38"/>
  <c r="J62" i="38"/>
  <c r="N122" i="35"/>
  <c r="N125" i="35" s="1"/>
  <c r="N205" i="35" s="1"/>
  <c r="K19" i="38"/>
  <c r="J19" i="38"/>
  <c r="K138" i="18"/>
  <c r="G15" i="38"/>
  <c r="H15" i="38"/>
  <c r="M204" i="35"/>
  <c r="J69" i="38" s="1"/>
  <c r="I21" i="24"/>
  <c r="Y138" i="29"/>
  <c r="G192" i="51"/>
  <c r="G170" i="51"/>
  <c r="K137" i="18"/>
  <c r="G35" i="49" s="1"/>
  <c r="F192" i="51"/>
  <c r="K84" i="51"/>
  <c r="L187" i="51"/>
  <c r="L62" i="51"/>
  <c r="L117" i="51"/>
  <c r="K143" i="51"/>
  <c r="F170" i="51"/>
  <c r="K165" i="51"/>
  <c r="L162" i="51"/>
  <c r="L163" i="51"/>
  <c r="L180" i="34"/>
  <c r="L164" i="51"/>
  <c r="L90" i="34"/>
  <c r="L140" i="51"/>
  <c r="L141" i="51"/>
  <c r="L170" i="34"/>
  <c r="L142" i="51"/>
  <c r="L82" i="34"/>
  <c r="G56" i="51"/>
  <c r="L50" i="51"/>
  <c r="L49" i="51"/>
  <c r="L48" i="51"/>
  <c r="L83" i="51"/>
  <c r="L81" i="51"/>
  <c r="L82" i="51"/>
  <c r="G89" i="51"/>
  <c r="G67" i="51"/>
  <c r="L73" i="51"/>
  <c r="K51" i="51"/>
  <c r="K40" i="51"/>
  <c r="L95" i="51"/>
  <c r="L39" i="51"/>
  <c r="L38" i="51"/>
  <c r="L37" i="51"/>
  <c r="G78" i="51"/>
  <c r="F200" i="51"/>
  <c r="F34" i="51"/>
  <c r="G100" i="51"/>
  <c r="G45" i="51"/>
  <c r="L23" i="31"/>
  <c r="L24" i="31" s="1"/>
  <c r="L31" i="18" s="1"/>
  <c r="M15" i="24" s="1"/>
  <c r="K28" i="51"/>
  <c r="K197" i="51" s="1"/>
  <c r="K15" i="51" s="1"/>
  <c r="K26" i="51"/>
  <c r="K27" i="51"/>
  <c r="K196" i="51" s="1"/>
  <c r="K14" i="51" s="1"/>
  <c r="F202" i="51"/>
  <c r="F20" i="51" s="1"/>
  <c r="J29" i="51"/>
  <c r="J195" i="51"/>
  <c r="H182" i="18"/>
  <c r="K37" i="38"/>
  <c r="J40" i="38"/>
  <c r="K38" i="38"/>
  <c r="H159" i="35"/>
  <c r="I16" i="24"/>
  <c r="I17" i="24" s="1"/>
  <c r="J138" i="43"/>
  <c r="J157" i="43" s="1"/>
  <c r="G17" i="39"/>
  <c r="G25" i="39" s="1"/>
  <c r="G32" i="39" s="1"/>
  <c r="M189" i="18"/>
  <c r="AE12" i="36"/>
  <c r="L145" i="34"/>
  <c r="L62" i="34"/>
  <c r="L130" i="34"/>
  <c r="L50" i="34"/>
  <c r="L21" i="1"/>
  <c r="M21" i="1" s="1"/>
  <c r="K42" i="34"/>
  <c r="K105" i="34" s="1"/>
  <c r="K22" i="34" s="1"/>
  <c r="K36" i="1"/>
  <c r="I56" i="49" s="1"/>
  <c r="K120" i="34"/>
  <c r="J198" i="34"/>
  <c r="J28" i="34" s="1"/>
  <c r="J152" i="34"/>
  <c r="J172" i="34"/>
  <c r="J127" i="34"/>
  <c r="J187" i="34"/>
  <c r="J162" i="34"/>
  <c r="J182" i="34"/>
  <c r="J192" i="34"/>
  <c r="J38" i="1"/>
  <c r="H57" i="49" s="1"/>
  <c r="J142" i="34"/>
  <c r="J147" i="34"/>
  <c r="J177" i="34"/>
  <c r="J137" i="34"/>
  <c r="J132" i="34"/>
  <c r="J167" i="34"/>
  <c r="J122" i="34"/>
  <c r="J157" i="34"/>
  <c r="I108" i="1"/>
  <c r="I109" i="1"/>
  <c r="I40" i="1"/>
  <c r="I107" i="1"/>
  <c r="O155" i="43"/>
  <c r="Y155" i="43"/>
  <c r="E185" i="13"/>
  <c r="J153" i="13"/>
  <c r="S153" i="13" s="1"/>
  <c r="AE153" i="13"/>
  <c r="X138" i="43"/>
  <c r="X157" i="43" s="1"/>
  <c r="Y119" i="43"/>
  <c r="O119" i="43"/>
  <c r="Y114" i="43"/>
  <c r="O114" i="43"/>
  <c r="Y91" i="43"/>
  <c r="O91" i="43"/>
  <c r="Y122" i="43"/>
  <c r="O122" i="43"/>
  <c r="Y85" i="43"/>
  <c r="O85" i="43"/>
  <c r="Y136" i="43"/>
  <c r="O136" i="43"/>
  <c r="Y131" i="43"/>
  <c r="O131" i="43"/>
  <c r="Y124" i="43"/>
  <c r="O124" i="43"/>
  <c r="Y106" i="43"/>
  <c r="O106" i="43"/>
  <c r="Y104" i="43"/>
  <c r="O104" i="43"/>
  <c r="Y78" i="43"/>
  <c r="O78" i="43"/>
  <c r="Y63" i="43"/>
  <c r="O63" i="43"/>
  <c r="J160" i="13"/>
  <c r="S160" i="13" s="1"/>
  <c r="E192" i="13"/>
  <c r="AE160" i="13"/>
  <c r="J154" i="13"/>
  <c r="S154" i="13" s="1"/>
  <c r="E186" i="13"/>
  <c r="AE154" i="13"/>
  <c r="Y126" i="43"/>
  <c r="O126" i="43"/>
  <c r="Y105" i="43"/>
  <c r="O105" i="43"/>
  <c r="AF192" i="13"/>
  <c r="E181" i="13"/>
  <c r="J149" i="13"/>
  <c r="S149" i="13" s="1"/>
  <c r="AE149" i="13"/>
  <c r="J189" i="13"/>
  <c r="S189" i="13" s="1"/>
  <c r="AF153" i="13"/>
  <c r="Y115" i="43"/>
  <c r="O115" i="43"/>
  <c r="N138" i="43"/>
  <c r="N157" i="43" s="1"/>
  <c r="AF147" i="13"/>
  <c r="Y123" i="43"/>
  <c r="O123" i="43"/>
  <c r="Y83" i="43"/>
  <c r="O83" i="43"/>
  <c r="M215" i="48"/>
  <c r="M198" i="35"/>
  <c r="J60" i="38" s="1"/>
  <c r="J183" i="13"/>
  <c r="S183" i="13" s="1"/>
  <c r="AF183" i="13"/>
  <c r="M183" i="18"/>
  <c r="J182" i="13"/>
  <c r="S182" i="13" s="1"/>
  <c r="AE182" i="13"/>
  <c r="N183" i="18"/>
  <c r="M156" i="18"/>
  <c r="M163" i="18" s="1"/>
  <c r="L215" i="48"/>
  <c r="M26" i="31"/>
  <c r="M28" i="31" s="1"/>
  <c r="I58" i="49" s="1"/>
  <c r="N156" i="31"/>
  <c r="O156" i="31" s="1"/>
  <c r="M29" i="31"/>
  <c r="M31" i="31" s="1"/>
  <c r="I59" i="49" s="1"/>
  <c r="N220" i="31"/>
  <c r="O220" i="31" s="1"/>
  <c r="N204" i="31"/>
  <c r="O204" i="31" s="1"/>
  <c r="M32" i="31"/>
  <c r="M34" i="31" s="1"/>
  <c r="I60" i="49" s="1"/>
  <c r="N92" i="31"/>
  <c r="O92" i="31" s="1"/>
  <c r="N158" i="31"/>
  <c r="O158" i="31" s="1"/>
  <c r="N229" i="31"/>
  <c r="O229" i="31" s="1"/>
  <c r="N230" i="31"/>
  <c r="O230" i="31" s="1"/>
  <c r="N214" i="31"/>
  <c r="O214" i="31" s="1"/>
  <c r="N294" i="31"/>
  <c r="O294" i="31" s="1"/>
  <c r="N198" i="31"/>
  <c r="O198" i="31" s="1"/>
  <c r="N292" i="31"/>
  <c r="O292" i="31" s="1"/>
  <c r="N237" i="31"/>
  <c r="O237" i="31" s="1"/>
  <c r="N260" i="31"/>
  <c r="O260" i="31" s="1"/>
  <c r="N197" i="31"/>
  <c r="O197" i="31" s="1"/>
  <c r="N196" i="31"/>
  <c r="O196" i="31" s="1"/>
  <c r="N286" i="31"/>
  <c r="O286" i="31" s="1"/>
  <c r="J8" i="38"/>
  <c r="K8" i="37"/>
  <c r="L19" i="48"/>
  <c r="M180" i="18"/>
  <c r="M8" i="35"/>
  <c r="M95" i="35" s="1"/>
  <c r="N241" i="24"/>
  <c r="K27" i="34"/>
  <c r="K114" i="34"/>
  <c r="L204" i="35"/>
  <c r="I69" i="38" s="1"/>
  <c r="N270" i="31"/>
  <c r="O270" i="31" s="1"/>
  <c r="N33" i="31"/>
  <c r="N27" i="31"/>
  <c r="J26" i="38"/>
  <c r="G40" i="37"/>
  <c r="G16" i="37"/>
  <c r="M300" i="31"/>
  <c r="H39" i="37"/>
  <c r="M436" i="24"/>
  <c r="M20" i="24" s="1"/>
  <c r="L34" i="31"/>
  <c r="H60" i="49" s="1"/>
  <c r="M234" i="24"/>
  <c r="M14" i="24" s="1"/>
  <c r="H4" i="22"/>
  <c r="H82" i="22" s="1"/>
  <c r="L28" i="31"/>
  <c r="H58" i="49" s="1"/>
  <c r="K35" i="31"/>
  <c r="G61" i="49" s="1"/>
  <c r="H142" i="35"/>
  <c r="F31" i="34"/>
  <c r="F106" i="34"/>
  <c r="F23" i="34" s="1"/>
  <c r="F44" i="34"/>
  <c r="F107" i="34" s="1"/>
  <c r="M342" i="24"/>
  <c r="M30" i="24"/>
  <c r="K146" i="35"/>
  <c r="G209" i="13" l="1"/>
  <c r="AH209" i="13" s="1"/>
  <c r="F201" i="51"/>
  <c r="F19" i="51" s="1"/>
  <c r="P49" i="24"/>
  <c r="P251" i="24"/>
  <c r="P250" i="24"/>
  <c r="P48" i="24"/>
  <c r="O30" i="31"/>
  <c r="P47" i="24"/>
  <c r="P249" i="24"/>
  <c r="P248" i="24"/>
  <c r="P46" i="24"/>
  <c r="N198" i="35"/>
  <c r="K60" i="38" s="1"/>
  <c r="O193" i="13"/>
  <c r="T190" i="13"/>
  <c r="U190" i="13"/>
  <c r="Q193" i="13"/>
  <c r="O190" i="13"/>
  <c r="AE190" i="13" s="1"/>
  <c r="H227" i="13"/>
  <c r="AG227" i="13" s="1"/>
  <c r="AH196" i="13"/>
  <c r="G228" i="13"/>
  <c r="AH228" i="13" s="1"/>
  <c r="M229" i="13"/>
  <c r="AF209" i="13"/>
  <c r="U227" i="13"/>
  <c r="T227" i="13"/>
  <c r="O227" i="13"/>
  <c r="AE227" i="13" s="1"/>
  <c r="Q227" i="13"/>
  <c r="AI192" i="13"/>
  <c r="E224" i="13"/>
  <c r="AH186" i="13"/>
  <c r="G218" i="13"/>
  <c r="AH218" i="13" s="1"/>
  <c r="AH178" i="13"/>
  <c r="G210" i="13"/>
  <c r="AH210" i="13" s="1"/>
  <c r="AI193" i="13"/>
  <c r="E225" i="13"/>
  <c r="AH180" i="13"/>
  <c r="G212" i="13"/>
  <c r="AH212" i="13" s="1"/>
  <c r="AI196" i="13"/>
  <c r="E228" i="13"/>
  <c r="Q222" i="13"/>
  <c r="T222" i="13"/>
  <c r="U222" i="13"/>
  <c r="O222" i="13"/>
  <c r="AE222" i="13" s="1"/>
  <c r="U213" i="13"/>
  <c r="T213" i="13"/>
  <c r="O213" i="13"/>
  <c r="AE213" i="13" s="1"/>
  <c r="Q213" i="13"/>
  <c r="Q220" i="13"/>
  <c r="O220" i="13"/>
  <c r="AE220" i="13" s="1"/>
  <c r="T220" i="13"/>
  <c r="U220" i="13"/>
  <c r="K229" i="13"/>
  <c r="O209" i="13"/>
  <c r="U217" i="13"/>
  <c r="T217" i="13"/>
  <c r="O217" i="13"/>
  <c r="AE217" i="13" s="1"/>
  <c r="Q217" i="13"/>
  <c r="U215" i="13"/>
  <c r="T215" i="13"/>
  <c r="O215" i="13"/>
  <c r="AE215" i="13" s="1"/>
  <c r="Q215" i="13"/>
  <c r="J215" i="13"/>
  <c r="S215" i="13" s="1"/>
  <c r="AI215" i="13"/>
  <c r="J210" i="13"/>
  <c r="S210" i="13" s="1"/>
  <c r="AI210" i="13"/>
  <c r="U219" i="13"/>
  <c r="T219" i="13"/>
  <c r="O219" i="13"/>
  <c r="AE219" i="13" s="1"/>
  <c r="Q219" i="13"/>
  <c r="AI209" i="13"/>
  <c r="AI186" i="13"/>
  <c r="E218" i="13"/>
  <c r="AI185" i="13"/>
  <c r="E217" i="13"/>
  <c r="AH194" i="13"/>
  <c r="G226" i="13"/>
  <c r="AH226" i="13" s="1"/>
  <c r="AH182" i="13"/>
  <c r="G214" i="13"/>
  <c r="AH214" i="13" s="1"/>
  <c r="AH192" i="13"/>
  <c r="G224" i="13"/>
  <c r="AH224" i="13" s="1"/>
  <c r="AI181" i="13"/>
  <c r="E213" i="13"/>
  <c r="AH190" i="13"/>
  <c r="G222" i="13"/>
  <c r="AH222" i="13" s="1"/>
  <c r="AH188" i="13"/>
  <c r="G220" i="13"/>
  <c r="AH220" i="13" s="1"/>
  <c r="AI194" i="13"/>
  <c r="E226" i="13"/>
  <c r="U225" i="13"/>
  <c r="T225" i="13"/>
  <c r="O225" i="13"/>
  <c r="AE225" i="13" s="1"/>
  <c r="Q225" i="13"/>
  <c r="U212" i="13"/>
  <c r="Q212" i="13"/>
  <c r="T212" i="13"/>
  <c r="O212" i="13"/>
  <c r="AE212" i="13" s="1"/>
  <c r="J211" i="13"/>
  <c r="S211" i="13" s="1"/>
  <c r="AI211" i="13"/>
  <c r="J221" i="13"/>
  <c r="S221" i="13" s="1"/>
  <c r="AI221" i="13"/>
  <c r="J214" i="13"/>
  <c r="S214" i="13" s="1"/>
  <c r="AI214" i="13"/>
  <c r="Q228" i="13"/>
  <c r="O228" i="13"/>
  <c r="AE228" i="13" s="1"/>
  <c r="U228" i="13"/>
  <c r="T228" i="13"/>
  <c r="J227" i="13"/>
  <c r="S227" i="13" s="1"/>
  <c r="AI227" i="13"/>
  <c r="J219" i="13"/>
  <c r="S219" i="13" s="1"/>
  <c r="AI219" i="13"/>
  <c r="U223" i="13"/>
  <c r="T223" i="13"/>
  <c r="O223" i="13"/>
  <c r="AE223" i="13" s="1"/>
  <c r="Q223" i="13"/>
  <c r="Q218" i="13"/>
  <c r="O218" i="13"/>
  <c r="AE218" i="13" s="1"/>
  <c r="T218" i="13"/>
  <c r="U218" i="13"/>
  <c r="Q216" i="13"/>
  <c r="O216" i="13"/>
  <c r="AE216" i="13" s="1"/>
  <c r="T216" i="13"/>
  <c r="U216" i="13"/>
  <c r="U221" i="13"/>
  <c r="T221" i="13"/>
  <c r="O221" i="13"/>
  <c r="AE221" i="13" s="1"/>
  <c r="Q221" i="13"/>
  <c r="O156" i="18"/>
  <c r="O163" i="18" s="1"/>
  <c r="N215" i="48"/>
  <c r="G36" i="49"/>
  <c r="G34" i="51"/>
  <c r="H121" i="34"/>
  <c r="H123" i="34" s="1"/>
  <c r="H33" i="51"/>
  <c r="H202" i="51" s="1"/>
  <c r="H20" i="51" s="1"/>
  <c r="H31" i="51"/>
  <c r="H200" i="51" s="1"/>
  <c r="H18" i="51" s="1"/>
  <c r="H43" i="34"/>
  <c r="H44" i="34" s="1"/>
  <c r="H107" i="34" s="1"/>
  <c r="H24" i="34" s="1"/>
  <c r="H31" i="34"/>
  <c r="J132" i="35"/>
  <c r="J142" i="35" s="1"/>
  <c r="M36" i="1"/>
  <c r="M177" i="34" s="1"/>
  <c r="M178" i="34" s="1"/>
  <c r="M42" i="34"/>
  <c r="M120" i="34"/>
  <c r="M63" i="34"/>
  <c r="M64" i="34" s="1"/>
  <c r="M146" i="34"/>
  <c r="M91" i="34"/>
  <c r="M92" i="34" s="1"/>
  <c r="M181" i="34"/>
  <c r="M30" i="34"/>
  <c r="M83" i="34"/>
  <c r="M84" i="34" s="1"/>
  <c r="M171" i="34"/>
  <c r="M51" i="34"/>
  <c r="M52" i="34" s="1"/>
  <c r="M131" i="34"/>
  <c r="O29" i="31"/>
  <c r="O31" i="31" s="1"/>
  <c r="O32" i="31"/>
  <c r="O34" i="31" s="1"/>
  <c r="O26" i="31"/>
  <c r="O28" i="31" s="1"/>
  <c r="O300" i="31"/>
  <c r="O191" i="18"/>
  <c r="O184" i="18" s="1"/>
  <c r="G31" i="34"/>
  <c r="L214" i="48"/>
  <c r="L39" i="48"/>
  <c r="L59" i="48" s="1"/>
  <c r="L79" i="48" s="1"/>
  <c r="L99" i="48" s="1"/>
  <c r="L123" i="48" s="1"/>
  <c r="L143" i="48" s="1"/>
  <c r="L163" i="48" s="1"/>
  <c r="L183" i="48" s="1"/>
  <c r="L203" i="48" s="1"/>
  <c r="Q147" i="13"/>
  <c r="T147" i="13" s="1"/>
  <c r="U147" i="13" s="1"/>
  <c r="S179" i="13"/>
  <c r="Z179" i="13"/>
  <c r="P179" i="13"/>
  <c r="AC147" i="13"/>
  <c r="AB147" i="13"/>
  <c r="AD115" i="13"/>
  <c r="M197" i="13"/>
  <c r="AF177" i="13"/>
  <c r="O197" i="13"/>
  <c r="G107" i="34"/>
  <c r="I114" i="18" s="1"/>
  <c r="G106" i="34"/>
  <c r="G23" i="34" s="1"/>
  <c r="J26" i="54"/>
  <c r="G200" i="51"/>
  <c r="G18" i="51" s="1"/>
  <c r="K40" i="31"/>
  <c r="G201" i="51"/>
  <c r="G19" i="51" s="1"/>
  <c r="L41" i="31"/>
  <c r="L37" i="31"/>
  <c r="H62" i="49" s="1"/>
  <c r="L25" i="35"/>
  <c r="M21" i="24" s="1"/>
  <c r="M22" i="24" s="1"/>
  <c r="N17" i="18"/>
  <c r="N26" i="18" s="1"/>
  <c r="N192" i="18"/>
  <c r="AF181" i="13"/>
  <c r="J196" i="13"/>
  <c r="S196" i="13" s="1"/>
  <c r="AE196" i="13"/>
  <c r="AF190" i="13"/>
  <c r="AF194" i="13"/>
  <c r="AF196" i="13"/>
  <c r="J193" i="13"/>
  <c r="S193" i="13" s="1"/>
  <c r="AE193" i="13"/>
  <c r="J194" i="13"/>
  <c r="S194" i="13" s="1"/>
  <c r="AE194" i="13"/>
  <c r="L143" i="51"/>
  <c r="AF184" i="13"/>
  <c r="AF188" i="13"/>
  <c r="AF180" i="13"/>
  <c r="I12" i="34"/>
  <c r="H13" i="34"/>
  <c r="H14" i="34" s="1"/>
  <c r="M22" i="54"/>
  <c r="K13" i="54"/>
  <c r="L133" i="18"/>
  <c r="K70" i="38"/>
  <c r="K27" i="38"/>
  <c r="M205" i="35"/>
  <c r="J70" i="38" s="1"/>
  <c r="K17" i="38"/>
  <c r="J17" i="38"/>
  <c r="K17" i="24"/>
  <c r="I22" i="24"/>
  <c r="I23" i="24" s="1"/>
  <c r="J15" i="38"/>
  <c r="L137" i="18"/>
  <c r="L138" i="18"/>
  <c r="L40" i="51"/>
  <c r="L165" i="51"/>
  <c r="L84" i="51"/>
  <c r="L51" i="51"/>
  <c r="J13" i="51"/>
  <c r="J198" i="51"/>
  <c r="J16" i="51" s="1"/>
  <c r="F18" i="51"/>
  <c r="F203" i="51"/>
  <c r="F21" i="51" s="1"/>
  <c r="M23" i="31"/>
  <c r="M24" i="31" s="1"/>
  <c r="M25" i="35" s="1"/>
  <c r="L28" i="51"/>
  <c r="L197" i="51" s="1"/>
  <c r="L15" i="51" s="1"/>
  <c r="L26" i="51"/>
  <c r="L27" i="51"/>
  <c r="L196" i="51" s="1"/>
  <c r="L14" i="51" s="1"/>
  <c r="K29" i="51"/>
  <c r="K195" i="51"/>
  <c r="K40" i="38"/>
  <c r="L146" i="35"/>
  <c r="G36" i="39"/>
  <c r="I55" i="1"/>
  <c r="I56" i="1"/>
  <c r="I53" i="1"/>
  <c r="I54" i="1"/>
  <c r="I51" i="1"/>
  <c r="I52" i="1"/>
  <c r="I49" i="1"/>
  <c r="I50" i="1"/>
  <c r="I47" i="1"/>
  <c r="I48" i="1"/>
  <c r="L22" i="24"/>
  <c r="I45" i="1"/>
  <c r="I46" i="1"/>
  <c r="I43" i="1"/>
  <c r="I44" i="1"/>
  <c r="I199" i="34"/>
  <c r="I42" i="1"/>
  <c r="J108" i="1"/>
  <c r="J107" i="1"/>
  <c r="J40" i="1"/>
  <c r="I13" i="34" s="1"/>
  <c r="J109" i="1"/>
  <c r="K38" i="1"/>
  <c r="I57" i="49" s="1"/>
  <c r="K172" i="34"/>
  <c r="K132" i="34"/>
  <c r="K167" i="34"/>
  <c r="K127" i="34"/>
  <c r="K162" i="34"/>
  <c r="K122" i="34"/>
  <c r="K157" i="34"/>
  <c r="K198" i="34"/>
  <c r="K28" i="34" s="1"/>
  <c r="K192" i="34"/>
  <c r="K152" i="34"/>
  <c r="K187" i="34"/>
  <c r="K147" i="34"/>
  <c r="K182" i="34"/>
  <c r="K142" i="34"/>
  <c r="K177" i="34"/>
  <c r="K137" i="34"/>
  <c r="L42" i="34"/>
  <c r="L105" i="34" s="1"/>
  <c r="L22" i="34" s="1"/>
  <c r="L120" i="34"/>
  <c r="L36" i="1"/>
  <c r="AF179" i="13"/>
  <c r="AE181" i="13"/>
  <c r="J181" i="13"/>
  <c r="S181" i="13" s="1"/>
  <c r="Y138" i="43"/>
  <c r="Y157" i="43" s="1"/>
  <c r="J185" i="13"/>
  <c r="S185" i="13" s="1"/>
  <c r="AE185" i="13"/>
  <c r="AF185" i="13"/>
  <c r="J186" i="13"/>
  <c r="S186" i="13" s="1"/>
  <c r="AE186" i="13"/>
  <c r="J192" i="13"/>
  <c r="S192" i="13" s="1"/>
  <c r="AE192" i="13"/>
  <c r="O138" i="43"/>
  <c r="O157" i="43" s="1"/>
  <c r="N300" i="31"/>
  <c r="N29" i="31"/>
  <c r="N31" i="31" s="1"/>
  <c r="N436" i="24"/>
  <c r="N20" i="24" s="1"/>
  <c r="N32" i="31"/>
  <c r="N34" i="31" s="1"/>
  <c r="N26" i="31"/>
  <c r="N28" i="31" s="1"/>
  <c r="I31" i="24"/>
  <c r="I32" i="24" s="1"/>
  <c r="N234" i="24"/>
  <c r="N14" i="24" s="1"/>
  <c r="M133" i="18" s="1"/>
  <c r="N8" i="35"/>
  <c r="N95" i="35" s="1"/>
  <c r="L8" i="37"/>
  <c r="M19" i="48"/>
  <c r="N180" i="18"/>
  <c r="K8" i="38"/>
  <c r="O241" i="24"/>
  <c r="L27" i="34"/>
  <c r="L114" i="34"/>
  <c r="N30" i="24"/>
  <c r="N342" i="24"/>
  <c r="H147" i="18"/>
  <c r="H13" i="37"/>
  <c r="G43" i="37"/>
  <c r="H15" i="39" s="1"/>
  <c r="L16" i="24"/>
  <c r="K32" i="18" s="1"/>
  <c r="M35" i="31"/>
  <c r="I61" i="49" s="1"/>
  <c r="I12" i="37"/>
  <c r="L35" i="31"/>
  <c r="H61" i="49" s="1"/>
  <c r="I4" i="22"/>
  <c r="H114" i="18"/>
  <c r="H128" i="18" s="1"/>
  <c r="F24" i="34"/>
  <c r="AI197" i="13" l="1"/>
  <c r="AH229" i="13"/>
  <c r="AH197" i="13"/>
  <c r="J228" i="13"/>
  <c r="S228" i="13" s="1"/>
  <c r="AI228" i="13"/>
  <c r="J225" i="13"/>
  <c r="S225" i="13" s="1"/>
  <c r="AI225" i="13"/>
  <c r="J226" i="13"/>
  <c r="S226" i="13" s="1"/>
  <c r="AI226" i="13"/>
  <c r="J218" i="13"/>
  <c r="S218" i="13" s="1"/>
  <c r="AI218" i="13"/>
  <c r="J213" i="13"/>
  <c r="S213" i="13" s="1"/>
  <c r="AI213" i="13"/>
  <c r="J217" i="13"/>
  <c r="S217" i="13" s="1"/>
  <c r="AI217" i="13"/>
  <c r="O229" i="13"/>
  <c r="J224" i="13"/>
  <c r="S224" i="13" s="1"/>
  <c r="AI224" i="13"/>
  <c r="H36" i="49"/>
  <c r="H35" i="49"/>
  <c r="M142" i="34"/>
  <c r="M143" i="34" s="1"/>
  <c r="M187" i="34"/>
  <c r="M188" i="34" s="1"/>
  <c r="H106" i="34"/>
  <c r="H23" i="34" s="1"/>
  <c r="M127" i="34"/>
  <c r="M128" i="34" s="1"/>
  <c r="M192" i="34"/>
  <c r="M193" i="34" s="1"/>
  <c r="I128" i="18"/>
  <c r="M137" i="34"/>
  <c r="M138" i="34" s="1"/>
  <c r="M172" i="34"/>
  <c r="M173" i="34" s="1"/>
  <c r="M162" i="34"/>
  <c r="M163" i="34" s="1"/>
  <c r="M132" i="34"/>
  <c r="M133" i="34" s="1"/>
  <c r="M167" i="34"/>
  <c r="M168" i="34" s="1"/>
  <c r="M152" i="34"/>
  <c r="M153" i="34" s="1"/>
  <c r="M157" i="34"/>
  <c r="M158" i="34" s="1"/>
  <c r="M147" i="34"/>
  <c r="M148" i="34" s="1"/>
  <c r="M122" i="34"/>
  <c r="M182" i="34"/>
  <c r="M183" i="34" s="1"/>
  <c r="M105" i="34"/>
  <c r="M22" i="34" s="1"/>
  <c r="M38" i="1"/>
  <c r="O23" i="31"/>
  <c r="O24" i="31" s="1"/>
  <c r="M198" i="34"/>
  <c r="M28" i="34" s="1"/>
  <c r="P436" i="24"/>
  <c r="P20" i="24" s="1"/>
  <c r="P234" i="24"/>
  <c r="P14" i="24" s="1"/>
  <c r="O133" i="18" s="1"/>
  <c r="O35" i="31"/>
  <c r="O192" i="18"/>
  <c r="N19" i="48"/>
  <c r="J4" i="22"/>
  <c r="H149" i="18"/>
  <c r="H166" i="18" s="1"/>
  <c r="H193" i="18" s="1"/>
  <c r="O8" i="35"/>
  <c r="O95" i="35" s="1"/>
  <c r="P241" i="24"/>
  <c r="M27" i="34"/>
  <c r="M114" i="34"/>
  <c r="N22" i="54"/>
  <c r="O180" i="18"/>
  <c r="N189" i="18"/>
  <c r="K15" i="38" s="1"/>
  <c r="O189" i="18"/>
  <c r="G24" i="34"/>
  <c r="M214" i="48"/>
  <c r="M39" i="48"/>
  <c r="M59" i="48" s="1"/>
  <c r="M79" i="48" s="1"/>
  <c r="M99" i="48" s="1"/>
  <c r="M123" i="48" s="1"/>
  <c r="M143" i="48" s="1"/>
  <c r="M163" i="48" s="1"/>
  <c r="M183" i="48" s="1"/>
  <c r="M203" i="48" s="1"/>
  <c r="AE179" i="13"/>
  <c r="Q179" i="13"/>
  <c r="T179" i="13" s="1"/>
  <c r="U179" i="13" s="1"/>
  <c r="AD147" i="13"/>
  <c r="AC179" i="13"/>
  <c r="AB179" i="13"/>
  <c r="J114" i="18"/>
  <c r="F38" i="49" s="1"/>
  <c r="K26" i="54"/>
  <c r="L40" i="31"/>
  <c r="G203" i="51"/>
  <c r="G21" i="51" s="1"/>
  <c r="M37" i="31"/>
  <c r="I62" i="49" s="1"/>
  <c r="I14" i="34"/>
  <c r="K58" i="38"/>
  <c r="M31" i="18"/>
  <c r="N15" i="24" s="1"/>
  <c r="J12" i="34"/>
  <c r="M41" i="31"/>
  <c r="N21" i="24"/>
  <c r="M23" i="24"/>
  <c r="L26" i="35"/>
  <c r="K26" i="35"/>
  <c r="L17" i="24"/>
  <c r="L26" i="54"/>
  <c r="M138" i="18"/>
  <c r="I36" i="49" s="1"/>
  <c r="M137" i="18"/>
  <c r="I35" i="49" s="1"/>
  <c r="L23" i="24"/>
  <c r="I44" i="51"/>
  <c r="I42" i="51"/>
  <c r="H43" i="51"/>
  <c r="H45" i="51" s="1"/>
  <c r="I66" i="51"/>
  <c r="I64" i="51"/>
  <c r="H65" i="51"/>
  <c r="H67" i="51" s="1"/>
  <c r="I99" i="51"/>
  <c r="I97" i="51"/>
  <c r="H98" i="51"/>
  <c r="H100" i="51" s="1"/>
  <c r="I121" i="51"/>
  <c r="I119" i="51"/>
  <c r="H120" i="51"/>
  <c r="H122" i="51" s="1"/>
  <c r="I147" i="51"/>
  <c r="I145" i="51"/>
  <c r="H146" i="51"/>
  <c r="H148" i="51" s="1"/>
  <c r="I169" i="51"/>
  <c r="I167" i="51"/>
  <c r="H168" i="51"/>
  <c r="H170" i="51" s="1"/>
  <c r="I191" i="51"/>
  <c r="I189" i="51"/>
  <c r="H190" i="51"/>
  <c r="H192" i="51" s="1"/>
  <c r="L29" i="51"/>
  <c r="L195" i="51"/>
  <c r="N23" i="31"/>
  <c r="N24" i="31" s="1"/>
  <c r="N31" i="18" s="1"/>
  <c r="I33" i="51"/>
  <c r="I31" i="51"/>
  <c r="H32" i="51"/>
  <c r="I55" i="51"/>
  <c r="I53" i="51"/>
  <c r="H54" i="51"/>
  <c r="H56" i="51" s="1"/>
  <c r="I77" i="51"/>
  <c r="I75" i="51"/>
  <c r="H76" i="51"/>
  <c r="H78" i="51" s="1"/>
  <c r="I88" i="51"/>
  <c r="I86" i="51"/>
  <c r="H87" i="51"/>
  <c r="H89" i="51" s="1"/>
  <c r="I110" i="51"/>
  <c r="I108" i="51"/>
  <c r="H109" i="51"/>
  <c r="H111" i="51" s="1"/>
  <c r="I136" i="51"/>
  <c r="I134" i="51"/>
  <c r="H135" i="51"/>
  <c r="H137" i="51" s="1"/>
  <c r="I158" i="51"/>
  <c r="I156" i="51"/>
  <c r="H157" i="51"/>
  <c r="H159" i="51" s="1"/>
  <c r="I180" i="51"/>
  <c r="I178" i="51"/>
  <c r="H179" i="51"/>
  <c r="H181" i="51" s="1"/>
  <c r="K13" i="51"/>
  <c r="K198" i="51"/>
  <c r="K16" i="51" s="1"/>
  <c r="M146" i="35"/>
  <c r="G57" i="39"/>
  <c r="H17" i="39"/>
  <c r="I95" i="34"/>
  <c r="I96" i="34" s="1"/>
  <c r="I186" i="34"/>
  <c r="I188" i="34" s="1"/>
  <c r="J55" i="1"/>
  <c r="J56" i="1"/>
  <c r="I190" i="51" s="1"/>
  <c r="I191" i="34"/>
  <c r="I193" i="34" s="1"/>
  <c r="I99" i="34"/>
  <c r="I100" i="34" s="1"/>
  <c r="J53" i="1"/>
  <c r="J54" i="1"/>
  <c r="I168" i="51" s="1"/>
  <c r="I176" i="34"/>
  <c r="I178" i="34" s="1"/>
  <c r="I87" i="34"/>
  <c r="I88" i="34" s="1"/>
  <c r="I181" i="34"/>
  <c r="I183" i="34" s="1"/>
  <c r="I91" i="34"/>
  <c r="I92" i="34" s="1"/>
  <c r="I166" i="34"/>
  <c r="I168" i="34" s="1"/>
  <c r="I79" i="34"/>
  <c r="I80" i="34" s="1"/>
  <c r="J51" i="1"/>
  <c r="J52" i="1"/>
  <c r="I146" i="51" s="1"/>
  <c r="I171" i="34"/>
  <c r="I173" i="34" s="1"/>
  <c r="I83" i="34"/>
  <c r="I84" i="34" s="1"/>
  <c r="I71" i="34"/>
  <c r="I72" i="34" s="1"/>
  <c r="I156" i="34"/>
  <c r="I158" i="34" s="1"/>
  <c r="J49" i="1"/>
  <c r="J50" i="1"/>
  <c r="I120" i="51" s="1"/>
  <c r="I161" i="34"/>
  <c r="I163" i="34" s="1"/>
  <c r="I75" i="34"/>
  <c r="I76" i="34" s="1"/>
  <c r="I146" i="34"/>
  <c r="I148" i="34" s="1"/>
  <c r="I63" i="34"/>
  <c r="I64" i="34" s="1"/>
  <c r="J47" i="1"/>
  <c r="J48" i="1"/>
  <c r="I98" i="51" s="1"/>
  <c r="I151" i="34"/>
  <c r="I153" i="34" s="1"/>
  <c r="I67" i="34"/>
  <c r="I68" i="34" s="1"/>
  <c r="J45" i="1"/>
  <c r="J46" i="1"/>
  <c r="I59" i="34"/>
  <c r="I60" i="34" s="1"/>
  <c r="I141" i="34"/>
  <c r="I143" i="34" s="1"/>
  <c r="I136" i="34"/>
  <c r="I138" i="34" s="1"/>
  <c r="I55" i="34"/>
  <c r="I56" i="34" s="1"/>
  <c r="J43" i="1"/>
  <c r="J44" i="1"/>
  <c r="I126" i="34"/>
  <c r="I128" i="34" s="1"/>
  <c r="I47" i="34"/>
  <c r="I48" i="34" s="1"/>
  <c r="I51" i="34"/>
  <c r="I52" i="34" s="1"/>
  <c r="I131" i="34"/>
  <c r="I133" i="34" s="1"/>
  <c r="L177" i="34"/>
  <c r="L137" i="34"/>
  <c r="L172" i="34"/>
  <c r="L132" i="34"/>
  <c r="L167" i="34"/>
  <c r="L127" i="34"/>
  <c r="L162" i="34"/>
  <c r="L122" i="34"/>
  <c r="L198" i="34"/>
  <c r="L28" i="34" s="1"/>
  <c r="L38" i="1"/>
  <c r="L157" i="34"/>
  <c r="L192" i="34"/>
  <c r="L152" i="34"/>
  <c r="L187" i="34"/>
  <c r="L147" i="34"/>
  <c r="L182" i="34"/>
  <c r="L142" i="34"/>
  <c r="K109" i="1"/>
  <c r="K107" i="1"/>
  <c r="K108" i="1"/>
  <c r="K40" i="1"/>
  <c r="J199" i="34"/>
  <c r="J42" i="1"/>
  <c r="I201" i="34"/>
  <c r="I29" i="34"/>
  <c r="I43" i="34"/>
  <c r="I121" i="34"/>
  <c r="I123" i="34" s="1"/>
  <c r="H92" i="18"/>
  <c r="O436" i="24"/>
  <c r="O20" i="24" s="1"/>
  <c r="O234" i="24"/>
  <c r="O14" i="24" s="1"/>
  <c r="N133" i="18" s="1"/>
  <c r="O30" i="24"/>
  <c r="O342" i="24"/>
  <c r="M16" i="24"/>
  <c r="L32" i="18" s="1"/>
  <c r="L31" i="24"/>
  <c r="L32" i="24" s="1"/>
  <c r="L27" i="24"/>
  <c r="L28" i="24" s="1"/>
  <c r="H40" i="37"/>
  <c r="H16" i="37"/>
  <c r="N35" i="31"/>
  <c r="I39" i="37"/>
  <c r="AI229" i="13" l="1"/>
  <c r="J128" i="18"/>
  <c r="O37" i="31"/>
  <c r="O40" i="31" s="1"/>
  <c r="O31" i="18"/>
  <c r="P15" i="24" s="1"/>
  <c r="P16" i="24" s="1"/>
  <c r="O25" i="35"/>
  <c r="P21" i="24" s="1"/>
  <c r="P22" i="24" s="1"/>
  <c r="M40" i="1"/>
  <c r="M107" i="1"/>
  <c r="M108" i="1"/>
  <c r="M109" i="1"/>
  <c r="O41" i="31"/>
  <c r="O146" i="35"/>
  <c r="N39" i="48"/>
  <c r="N59" i="48" s="1"/>
  <c r="N79" i="48" s="1"/>
  <c r="N99" i="48" s="1"/>
  <c r="N123" i="48" s="1"/>
  <c r="N143" i="48" s="1"/>
  <c r="N163" i="48" s="1"/>
  <c r="N183" i="48" s="1"/>
  <c r="N203" i="48" s="1"/>
  <c r="N214" i="48"/>
  <c r="H200" i="18"/>
  <c r="P30" i="24"/>
  <c r="P342" i="24"/>
  <c r="AD179" i="13"/>
  <c r="M40" i="31"/>
  <c r="I100" i="51"/>
  <c r="I170" i="51"/>
  <c r="L13" i="54"/>
  <c r="K12" i="34"/>
  <c r="N41" i="31"/>
  <c r="J13" i="34"/>
  <c r="J14" i="34" s="1"/>
  <c r="N137" i="18"/>
  <c r="O137" i="18" s="1"/>
  <c r="N138" i="18"/>
  <c r="O138" i="18" s="1"/>
  <c r="J33" i="51"/>
  <c r="J31" i="51"/>
  <c r="J44" i="51"/>
  <c r="J42" i="51"/>
  <c r="J66" i="51"/>
  <c r="J64" i="51"/>
  <c r="J88" i="51"/>
  <c r="J86" i="51"/>
  <c r="J110" i="51"/>
  <c r="J108" i="51"/>
  <c r="J136" i="51"/>
  <c r="J134" i="51"/>
  <c r="J158" i="51"/>
  <c r="J156" i="51"/>
  <c r="J180" i="51"/>
  <c r="J178" i="51"/>
  <c r="H34" i="51"/>
  <c r="H201" i="51"/>
  <c r="I200" i="51"/>
  <c r="L13" i="51"/>
  <c r="L198" i="51"/>
  <c r="L16" i="51" s="1"/>
  <c r="I65" i="51"/>
  <c r="I67" i="51" s="1"/>
  <c r="I43" i="51"/>
  <c r="I45" i="51" s="1"/>
  <c r="J55" i="51"/>
  <c r="J53" i="51"/>
  <c r="J77" i="51"/>
  <c r="J75" i="51"/>
  <c r="J99" i="51"/>
  <c r="J97" i="51"/>
  <c r="J121" i="51"/>
  <c r="J119" i="51"/>
  <c r="J147" i="51"/>
  <c r="J145" i="51"/>
  <c r="J169" i="51"/>
  <c r="J167" i="51"/>
  <c r="J191" i="51"/>
  <c r="J189" i="51"/>
  <c r="I179" i="51"/>
  <c r="I181" i="51" s="1"/>
  <c r="I157" i="51"/>
  <c r="I159" i="51" s="1"/>
  <c r="I135" i="51"/>
  <c r="I137" i="51" s="1"/>
  <c r="I109" i="51"/>
  <c r="I111" i="51" s="1"/>
  <c r="I87" i="51"/>
  <c r="I89" i="51" s="1"/>
  <c r="I76" i="51"/>
  <c r="I78" i="51" s="1"/>
  <c r="I54" i="51"/>
  <c r="I56" i="51" s="1"/>
  <c r="I32" i="51"/>
  <c r="I34" i="51" s="1"/>
  <c r="I202" i="51"/>
  <c r="I20" i="51" s="1"/>
  <c r="N25" i="35"/>
  <c r="O15" i="24"/>
  <c r="N37" i="31"/>
  <c r="I192" i="51"/>
  <c r="I148" i="51"/>
  <c r="I122" i="51"/>
  <c r="N146" i="35"/>
  <c r="H205" i="18"/>
  <c r="K55" i="1"/>
  <c r="K56" i="1"/>
  <c r="J95" i="34"/>
  <c r="J96" i="34" s="1"/>
  <c r="J186" i="34"/>
  <c r="J188" i="34" s="1"/>
  <c r="J99" i="34"/>
  <c r="J100" i="34" s="1"/>
  <c r="J191" i="34"/>
  <c r="J193" i="34" s="1"/>
  <c r="J87" i="34"/>
  <c r="J88" i="34" s="1"/>
  <c r="J176" i="34"/>
  <c r="J178" i="34" s="1"/>
  <c r="K53" i="1"/>
  <c r="K54" i="1"/>
  <c r="J168" i="51" s="1"/>
  <c r="J181" i="34"/>
  <c r="J183" i="34" s="1"/>
  <c r="J91" i="34"/>
  <c r="J92" i="34" s="1"/>
  <c r="K51" i="1"/>
  <c r="K52" i="1"/>
  <c r="J79" i="34"/>
  <c r="J80" i="34" s="1"/>
  <c r="J166" i="34"/>
  <c r="J168" i="34" s="1"/>
  <c r="J83" i="34"/>
  <c r="J84" i="34" s="1"/>
  <c r="J171" i="34"/>
  <c r="J173" i="34" s="1"/>
  <c r="K49" i="1"/>
  <c r="K50" i="1"/>
  <c r="J120" i="51" s="1"/>
  <c r="J71" i="34"/>
  <c r="J72" i="34" s="1"/>
  <c r="J156" i="34"/>
  <c r="J158" i="34" s="1"/>
  <c r="J75" i="34"/>
  <c r="J76" i="34" s="1"/>
  <c r="J161" i="34"/>
  <c r="J163" i="34" s="1"/>
  <c r="K47" i="1"/>
  <c r="K48" i="1"/>
  <c r="J63" i="34"/>
  <c r="J64" i="34" s="1"/>
  <c r="J146" i="34"/>
  <c r="J148" i="34" s="1"/>
  <c r="J67" i="34"/>
  <c r="J68" i="34" s="1"/>
  <c r="J151" i="34"/>
  <c r="J153" i="34" s="1"/>
  <c r="N22" i="24"/>
  <c r="K45" i="1"/>
  <c r="K46" i="1"/>
  <c r="J141" i="34"/>
  <c r="J143" i="34" s="1"/>
  <c r="J59" i="34"/>
  <c r="J60" i="34" s="1"/>
  <c r="J136" i="34"/>
  <c r="J138" i="34" s="1"/>
  <c r="J55" i="34"/>
  <c r="J56" i="34" s="1"/>
  <c r="K43" i="1"/>
  <c r="K44" i="1"/>
  <c r="J131" i="34"/>
  <c r="J133" i="34" s="1"/>
  <c r="J51" i="34"/>
  <c r="J52" i="34" s="1"/>
  <c r="J126" i="34"/>
  <c r="J128" i="34" s="1"/>
  <c r="J47" i="34"/>
  <c r="J48" i="34" s="1"/>
  <c r="K132" i="35"/>
  <c r="K142" i="35" s="1"/>
  <c r="I31" i="34"/>
  <c r="J201" i="34"/>
  <c r="J29" i="34"/>
  <c r="L109" i="1"/>
  <c r="L40" i="1"/>
  <c r="L108" i="1"/>
  <c r="L107" i="1"/>
  <c r="I106" i="34"/>
  <c r="I23" i="34" s="1"/>
  <c r="I44" i="34"/>
  <c r="I107" i="34" s="1"/>
  <c r="J43" i="34"/>
  <c r="J121" i="34"/>
  <c r="J123" i="34" s="1"/>
  <c r="K199" i="34"/>
  <c r="K42" i="1"/>
  <c r="H199" i="18"/>
  <c r="H185" i="18" s="1"/>
  <c r="H82" i="35"/>
  <c r="H85" i="35" s="1"/>
  <c r="H95" i="18"/>
  <c r="M27" i="24"/>
  <c r="M28" i="24" s="1"/>
  <c r="M31" i="24"/>
  <c r="M32" i="24" s="1"/>
  <c r="M17" i="24"/>
  <c r="I13" i="37"/>
  <c r="H43" i="37"/>
  <c r="I15" i="39" s="1"/>
  <c r="J12" i="37"/>
  <c r="H186" i="18"/>
  <c r="N26" i="54" l="1"/>
  <c r="P23" i="24"/>
  <c r="N13" i="54"/>
  <c r="M12" i="34"/>
  <c r="M13" i="34"/>
  <c r="M199" i="34"/>
  <c r="M42" i="1"/>
  <c r="O26" i="35"/>
  <c r="O32" i="18"/>
  <c r="P17" i="24"/>
  <c r="P27" i="24"/>
  <c r="P28" i="24" s="1"/>
  <c r="L12" i="34"/>
  <c r="L13" i="34"/>
  <c r="K13" i="34"/>
  <c r="K14" i="34" s="1"/>
  <c r="H89" i="35"/>
  <c r="N23" i="24"/>
  <c r="M26" i="35"/>
  <c r="O21" i="24"/>
  <c r="M13" i="54"/>
  <c r="M26" i="54"/>
  <c r="J170" i="51"/>
  <c r="K44" i="51"/>
  <c r="K42" i="51"/>
  <c r="K77" i="51"/>
  <c r="K75" i="51"/>
  <c r="K88" i="51"/>
  <c r="K86" i="51"/>
  <c r="K110" i="51"/>
  <c r="K108" i="51"/>
  <c r="K136" i="51"/>
  <c r="K134" i="51"/>
  <c r="K158" i="51"/>
  <c r="K156" i="51"/>
  <c r="K180" i="51"/>
  <c r="K178" i="51"/>
  <c r="J76" i="51"/>
  <c r="J78" i="51" s="1"/>
  <c r="H19" i="51"/>
  <c r="H203" i="51"/>
  <c r="H21" i="51" s="1"/>
  <c r="J179" i="51"/>
  <c r="J181" i="51" s="1"/>
  <c r="J135" i="51"/>
  <c r="J137" i="51" s="1"/>
  <c r="J87" i="51"/>
  <c r="J89" i="51" s="1"/>
  <c r="J43" i="51"/>
  <c r="J45" i="51" s="1"/>
  <c r="J200" i="51"/>
  <c r="K33" i="51"/>
  <c r="K31" i="51"/>
  <c r="K55" i="51"/>
  <c r="K53" i="51"/>
  <c r="K66" i="51"/>
  <c r="K64" i="51"/>
  <c r="K99" i="51"/>
  <c r="K97" i="51"/>
  <c r="K121" i="51"/>
  <c r="K119" i="51"/>
  <c r="K147" i="51"/>
  <c r="K145" i="51"/>
  <c r="K169" i="51"/>
  <c r="K167" i="51"/>
  <c r="K191" i="51"/>
  <c r="K189" i="51"/>
  <c r="N40" i="31"/>
  <c r="I201" i="51"/>
  <c r="I19" i="51" s="1"/>
  <c r="J190" i="51"/>
  <c r="J192" i="51" s="1"/>
  <c r="J146" i="51"/>
  <c r="J148" i="51" s="1"/>
  <c r="J122" i="51"/>
  <c r="J98" i="51"/>
  <c r="J100" i="51" s="1"/>
  <c r="J54" i="51"/>
  <c r="J56" i="51" s="1"/>
  <c r="I18" i="51"/>
  <c r="J157" i="51"/>
  <c r="J159" i="51" s="1"/>
  <c r="J109" i="51"/>
  <c r="J111" i="51" s="1"/>
  <c r="J65" i="51"/>
  <c r="J67" i="51" s="1"/>
  <c r="J32" i="51"/>
  <c r="J202" i="51"/>
  <c r="J20" i="51" s="1"/>
  <c r="H99" i="18"/>
  <c r="H171" i="18" s="1"/>
  <c r="I17" i="39"/>
  <c r="L55" i="1"/>
  <c r="L56" i="1"/>
  <c r="K190" i="51" s="1"/>
  <c r="K191" i="34"/>
  <c r="K193" i="34" s="1"/>
  <c r="K99" i="34"/>
  <c r="K100" i="34" s="1"/>
  <c r="K186" i="34"/>
  <c r="K188" i="34" s="1"/>
  <c r="K95" i="34"/>
  <c r="K96" i="34" s="1"/>
  <c r="K176" i="34"/>
  <c r="K178" i="34" s="1"/>
  <c r="K87" i="34"/>
  <c r="K88" i="34" s="1"/>
  <c r="L53" i="1"/>
  <c r="L54" i="1"/>
  <c r="K91" i="34"/>
  <c r="K92" i="34" s="1"/>
  <c r="K181" i="34"/>
  <c r="K183" i="34" s="1"/>
  <c r="L51" i="1"/>
  <c r="L52" i="1"/>
  <c r="K146" i="51" s="1"/>
  <c r="K83" i="34"/>
  <c r="K84" i="34" s="1"/>
  <c r="K171" i="34"/>
  <c r="K173" i="34" s="1"/>
  <c r="K79" i="34"/>
  <c r="K80" i="34" s="1"/>
  <c r="K166" i="34"/>
  <c r="K168" i="34" s="1"/>
  <c r="L49" i="1"/>
  <c r="L50" i="1"/>
  <c r="K75" i="34"/>
  <c r="K76" i="34" s="1"/>
  <c r="K161" i="34"/>
  <c r="K163" i="34" s="1"/>
  <c r="K156" i="34"/>
  <c r="K158" i="34" s="1"/>
  <c r="K71" i="34"/>
  <c r="K72" i="34" s="1"/>
  <c r="L47" i="1"/>
  <c r="L48" i="1"/>
  <c r="K98" i="51" s="1"/>
  <c r="K151" i="34"/>
  <c r="K153" i="34" s="1"/>
  <c r="K67" i="34"/>
  <c r="K68" i="34" s="1"/>
  <c r="K146" i="34"/>
  <c r="K148" i="34" s="1"/>
  <c r="K63" i="34"/>
  <c r="K64" i="34" s="1"/>
  <c r="K141" i="34"/>
  <c r="K143" i="34" s="1"/>
  <c r="K59" i="34"/>
  <c r="K60" i="34" s="1"/>
  <c r="L45" i="1"/>
  <c r="L46" i="1"/>
  <c r="K76" i="51" s="1"/>
  <c r="K55" i="34"/>
  <c r="K56" i="34" s="1"/>
  <c r="K136" i="34"/>
  <c r="K138" i="34" s="1"/>
  <c r="L43" i="1"/>
  <c r="L44" i="1"/>
  <c r="K54" i="51" s="1"/>
  <c r="K51" i="34"/>
  <c r="K52" i="34" s="1"/>
  <c r="K131" i="34"/>
  <c r="K133" i="34" s="1"/>
  <c r="K47" i="34"/>
  <c r="K48" i="34" s="1"/>
  <c r="K126" i="34"/>
  <c r="K128" i="34" s="1"/>
  <c r="K43" i="34"/>
  <c r="K121" i="34"/>
  <c r="K123" i="34" s="1"/>
  <c r="K114" i="18"/>
  <c r="I24" i="34"/>
  <c r="L199" i="34"/>
  <c r="L42" i="1"/>
  <c r="K29" i="34"/>
  <c r="K201" i="34"/>
  <c r="J44" i="34"/>
  <c r="J107" i="34" s="1"/>
  <c r="J106" i="34"/>
  <c r="J23" i="34" s="1"/>
  <c r="L132" i="35"/>
  <c r="L142" i="35" s="1"/>
  <c r="J31" i="34"/>
  <c r="N16" i="24"/>
  <c r="M32" i="18" s="1"/>
  <c r="O16" i="24"/>
  <c r="I40" i="37"/>
  <c r="I16" i="37"/>
  <c r="J39" i="37"/>
  <c r="K128" i="18" l="1"/>
  <c r="G38" i="49"/>
  <c r="M43" i="34"/>
  <c r="M121" i="34"/>
  <c r="M123" i="34" s="1"/>
  <c r="M29" i="34"/>
  <c r="M201" i="34"/>
  <c r="M14" i="34"/>
  <c r="N32" i="18"/>
  <c r="P31" i="24"/>
  <c r="P32" i="24" s="1"/>
  <c r="L14" i="34"/>
  <c r="K78" i="51"/>
  <c r="K148" i="51"/>
  <c r="K192" i="51"/>
  <c r="H204" i="18"/>
  <c r="I203" i="51"/>
  <c r="I21" i="51" s="1"/>
  <c r="J201" i="51"/>
  <c r="J19" i="51" s="1"/>
  <c r="L44" i="51"/>
  <c r="L42" i="51"/>
  <c r="L43" i="51"/>
  <c r="L66" i="51"/>
  <c r="L64" i="51"/>
  <c r="L65" i="51"/>
  <c r="L88" i="51"/>
  <c r="L86" i="51"/>
  <c r="L87" i="51"/>
  <c r="L110" i="51"/>
  <c r="L108" i="51"/>
  <c r="L109" i="51"/>
  <c r="L136" i="51"/>
  <c r="L134" i="51"/>
  <c r="L135" i="51"/>
  <c r="L158" i="51"/>
  <c r="L156" i="51"/>
  <c r="L157" i="51"/>
  <c r="L180" i="51"/>
  <c r="L178" i="51"/>
  <c r="L179" i="51"/>
  <c r="O22" i="24"/>
  <c r="K200" i="51"/>
  <c r="J34" i="51"/>
  <c r="K157" i="51"/>
  <c r="K159" i="51" s="1"/>
  <c r="K109" i="51"/>
  <c r="K111" i="51" s="1"/>
  <c r="L33" i="51"/>
  <c r="L31" i="51"/>
  <c r="L32" i="51"/>
  <c r="L55" i="51"/>
  <c r="L53" i="51"/>
  <c r="L54" i="51"/>
  <c r="L77" i="51"/>
  <c r="L75" i="51"/>
  <c r="L76" i="51"/>
  <c r="L99" i="51"/>
  <c r="L97" i="51"/>
  <c r="L98" i="51"/>
  <c r="L121" i="51"/>
  <c r="L119" i="51"/>
  <c r="L120" i="51"/>
  <c r="L147" i="51"/>
  <c r="L145" i="51"/>
  <c r="L146" i="51"/>
  <c r="L169" i="51"/>
  <c r="L167" i="51"/>
  <c r="L168" i="51"/>
  <c r="L191" i="51"/>
  <c r="L189" i="51"/>
  <c r="L190" i="51"/>
  <c r="K168" i="51"/>
  <c r="K170" i="51" s="1"/>
  <c r="K120" i="51"/>
  <c r="K122" i="51" s="1"/>
  <c r="K100" i="51"/>
  <c r="K65" i="51"/>
  <c r="K67" i="51" s="1"/>
  <c r="K56" i="51"/>
  <c r="K32" i="51"/>
  <c r="K202" i="51"/>
  <c r="K20" i="51" s="1"/>
  <c r="J18" i="51"/>
  <c r="K179" i="51"/>
  <c r="K181" i="51" s="1"/>
  <c r="K135" i="51"/>
  <c r="K137" i="51" s="1"/>
  <c r="K87" i="51"/>
  <c r="K89" i="51" s="1"/>
  <c r="K43" i="51"/>
  <c r="K45" i="51" s="1"/>
  <c r="L191" i="34"/>
  <c r="L193" i="34" s="1"/>
  <c r="L99" i="34"/>
  <c r="L100" i="34" s="1"/>
  <c r="L95" i="34"/>
  <c r="L96" i="34" s="1"/>
  <c r="L186" i="34"/>
  <c r="L188" i="34" s="1"/>
  <c r="L181" i="34"/>
  <c r="L183" i="34" s="1"/>
  <c r="L91" i="34"/>
  <c r="L92" i="34" s="1"/>
  <c r="L176" i="34"/>
  <c r="L178" i="34" s="1"/>
  <c r="L87" i="34"/>
  <c r="L88" i="34" s="1"/>
  <c r="L171" i="34"/>
  <c r="L173" i="34" s="1"/>
  <c r="L83" i="34"/>
  <c r="L84" i="34" s="1"/>
  <c r="L79" i="34"/>
  <c r="L80" i="34" s="1"/>
  <c r="L166" i="34"/>
  <c r="L168" i="34" s="1"/>
  <c r="L75" i="34"/>
  <c r="L76" i="34" s="1"/>
  <c r="L161" i="34"/>
  <c r="L163" i="34" s="1"/>
  <c r="L156" i="34"/>
  <c r="L158" i="34" s="1"/>
  <c r="L71" i="34"/>
  <c r="L72" i="34" s="1"/>
  <c r="L67" i="34"/>
  <c r="L68" i="34" s="1"/>
  <c r="L151" i="34"/>
  <c r="L153" i="34" s="1"/>
  <c r="L146" i="34"/>
  <c r="L148" i="34" s="1"/>
  <c r="L63" i="34"/>
  <c r="L64" i="34" s="1"/>
  <c r="L141" i="34"/>
  <c r="L143" i="34" s="1"/>
  <c r="L59" i="34"/>
  <c r="L60" i="34" s="1"/>
  <c r="L136" i="34"/>
  <c r="L138" i="34" s="1"/>
  <c r="L55" i="34"/>
  <c r="L56" i="34" s="1"/>
  <c r="L51" i="34"/>
  <c r="L52" i="34" s="1"/>
  <c r="L131" i="34"/>
  <c r="L133" i="34" s="1"/>
  <c r="L126" i="34"/>
  <c r="L128" i="34" s="1"/>
  <c r="L47" i="34"/>
  <c r="L48" i="34" s="1"/>
  <c r="K31" i="34"/>
  <c r="M132" i="35"/>
  <c r="M142" i="35" s="1"/>
  <c r="L121" i="34"/>
  <c r="L123" i="34" s="1"/>
  <c r="L43" i="34"/>
  <c r="L114" i="18"/>
  <c r="H38" i="49" s="1"/>
  <c r="J24" i="34"/>
  <c r="L29" i="34"/>
  <c r="L201" i="34"/>
  <c r="K44" i="34"/>
  <c r="K107" i="34" s="1"/>
  <c r="K106" i="34"/>
  <c r="K23" i="34" s="1"/>
  <c r="O17" i="24"/>
  <c r="N27" i="24"/>
  <c r="N28" i="24" s="1"/>
  <c r="N17" i="24"/>
  <c r="N31" i="24"/>
  <c r="N32" i="24" s="1"/>
  <c r="J13" i="37"/>
  <c r="I43" i="37"/>
  <c r="J15" i="39" s="1"/>
  <c r="K12" i="37"/>
  <c r="L128" i="18" l="1"/>
  <c r="O132" i="35"/>
  <c r="O142" i="35" s="1"/>
  <c r="M31" i="34"/>
  <c r="M106" i="34"/>
  <c r="M23" i="34" s="1"/>
  <c r="M44" i="34"/>
  <c r="M107" i="34" s="1"/>
  <c r="L78" i="51"/>
  <c r="L122" i="51"/>
  <c r="O23" i="24"/>
  <c r="N26" i="35"/>
  <c r="O27" i="24"/>
  <c r="O28" i="24" s="1"/>
  <c r="L100" i="51"/>
  <c r="L56" i="51"/>
  <c r="L181" i="51"/>
  <c r="O31" i="24"/>
  <c r="O32" i="24" s="1"/>
  <c r="J203" i="51"/>
  <c r="J21" i="51" s="1"/>
  <c r="L111" i="51"/>
  <c r="L89" i="51"/>
  <c r="K34" i="51"/>
  <c r="K201" i="51"/>
  <c r="K19" i="51" s="1"/>
  <c r="L34" i="51"/>
  <c r="L201" i="51"/>
  <c r="L19" i="51" s="1"/>
  <c r="L202" i="51"/>
  <c r="L20" i="51" s="1"/>
  <c r="K18" i="51"/>
  <c r="L159" i="51"/>
  <c r="L137" i="51"/>
  <c r="L192" i="51"/>
  <c r="L170" i="51"/>
  <c r="L148" i="51"/>
  <c r="L200" i="51"/>
  <c r="L67" i="51"/>
  <c r="L45" i="51"/>
  <c r="J17" i="39"/>
  <c r="N132" i="35"/>
  <c r="N142" i="35" s="1"/>
  <c r="L31" i="34"/>
  <c r="L106" i="34"/>
  <c r="L23" i="34" s="1"/>
  <c r="L44" i="34"/>
  <c r="L107" i="34" s="1"/>
  <c r="M114" i="18"/>
  <c r="M128" i="18" s="1"/>
  <c r="K24" i="34"/>
  <c r="J40" i="37"/>
  <c r="J16" i="37"/>
  <c r="K39" i="37"/>
  <c r="I38" i="49" l="1"/>
  <c r="M24" i="34"/>
  <c r="O114" i="18"/>
  <c r="O128" i="18" s="1"/>
  <c r="K203" i="51"/>
  <c r="K21" i="51" s="1"/>
  <c r="L18" i="51"/>
  <c r="L203" i="51"/>
  <c r="L21" i="51" s="1"/>
  <c r="N114" i="18"/>
  <c r="N128" i="18" s="1"/>
  <c r="L24" i="34"/>
  <c r="K13" i="37"/>
  <c r="J43" i="37"/>
  <c r="K15" i="39" s="1"/>
  <c r="L12" i="37"/>
  <c r="K17" i="39" l="1"/>
  <c r="K40" i="37"/>
  <c r="K16" i="37"/>
  <c r="L39" i="37"/>
  <c r="L13" i="37" l="1"/>
  <c r="K43" i="37"/>
  <c r="L15" i="39" s="1"/>
  <c r="L17" i="39" l="1"/>
  <c r="L40" i="37"/>
  <c r="L43" i="37" s="1"/>
  <c r="L16" i="37"/>
  <c r="W152" i="22" l="1"/>
  <c r="W157" i="22" l="1"/>
  <c r="W153" i="22"/>
  <c r="W162" i="22"/>
  <c r="W156" i="22"/>
  <c r="W155" i="22"/>
  <c r="P16" i="13"/>
  <c r="S17" i="13" l="1"/>
  <c r="P17" i="13"/>
  <c r="Z17" i="13"/>
  <c r="J50" i="13"/>
  <c r="J49" i="13"/>
  <c r="P49" i="13" s="1"/>
  <c r="J82" i="13"/>
  <c r="AE17" i="13" l="1"/>
  <c r="Q17" i="13"/>
  <c r="T17" i="13" s="1"/>
  <c r="U17" i="13"/>
  <c r="AB17" i="13"/>
  <c r="AC17" i="13"/>
  <c r="S50" i="13"/>
  <c r="Z50" i="13"/>
  <c r="P50" i="13"/>
  <c r="Q50" i="13" s="1"/>
  <c r="S82" i="13"/>
  <c r="P82" i="13"/>
  <c r="Q82" i="13" s="1"/>
  <c r="Z82" i="13"/>
  <c r="Z49" i="13"/>
  <c r="AE16" i="13"/>
  <c r="P36" i="13"/>
  <c r="Q16" i="13"/>
  <c r="AC16" i="13"/>
  <c r="AB16" i="13"/>
  <c r="J81" i="13"/>
  <c r="P81" i="13" s="1"/>
  <c r="J114" i="13"/>
  <c r="AD17" i="13" l="1"/>
  <c r="T82" i="13"/>
  <c r="U82" i="13" s="1"/>
  <c r="AE50" i="13"/>
  <c r="T50" i="13" s="1"/>
  <c r="U50" i="13" s="1"/>
  <c r="AB82" i="13"/>
  <c r="AC82" i="13"/>
  <c r="AC50" i="13"/>
  <c r="AB50" i="13"/>
  <c r="S114" i="13"/>
  <c r="Z114" i="13"/>
  <c r="P114" i="13"/>
  <c r="Q114" i="13" s="1"/>
  <c r="AD16" i="13"/>
  <c r="T16" i="13" s="1"/>
  <c r="Z81" i="13"/>
  <c r="AB49" i="13"/>
  <c r="AC49" i="13"/>
  <c r="Q36" i="13"/>
  <c r="S16" i="13"/>
  <c r="P69" i="13"/>
  <c r="AE49" i="13"/>
  <c r="Q49" i="13"/>
  <c r="J113" i="13"/>
  <c r="P113" i="13" s="1"/>
  <c r="J146" i="13"/>
  <c r="AE82" i="13"/>
  <c r="AD50" i="13" l="1"/>
  <c r="AD82" i="13"/>
  <c r="S146" i="13"/>
  <c r="Z146" i="13"/>
  <c r="P146" i="13"/>
  <c r="Q146" i="13" s="1"/>
  <c r="AB114" i="13"/>
  <c r="AC114" i="13"/>
  <c r="S36" i="13"/>
  <c r="U16" i="13"/>
  <c r="U36" i="13" s="1"/>
  <c r="I110" i="18" s="1"/>
  <c r="AD49" i="13"/>
  <c r="T49" i="13" s="1"/>
  <c r="T69" i="13" s="1"/>
  <c r="Q69" i="13"/>
  <c r="S49" i="13"/>
  <c r="T36" i="13"/>
  <c r="AC81" i="13"/>
  <c r="AB81" i="13"/>
  <c r="AI81" i="13"/>
  <c r="AI101" i="13" s="1"/>
  <c r="Z113" i="13"/>
  <c r="AI113" i="13" s="1"/>
  <c r="AI133" i="13" s="1"/>
  <c r="P101" i="13"/>
  <c r="Q81" i="13"/>
  <c r="J145" i="13"/>
  <c r="P145" i="13" s="1"/>
  <c r="J178" i="13"/>
  <c r="AE114" i="13"/>
  <c r="T114" i="13" s="1"/>
  <c r="U114" i="13" s="1"/>
  <c r="F32" i="49" l="1"/>
  <c r="F33" i="49"/>
  <c r="T146" i="13"/>
  <c r="U146" i="13" s="1"/>
  <c r="AC146" i="13"/>
  <c r="AB146" i="13"/>
  <c r="S178" i="13"/>
  <c r="P178" i="13"/>
  <c r="Z178" i="13"/>
  <c r="AD114" i="13"/>
  <c r="U49" i="13"/>
  <c r="U69" i="13" s="1"/>
  <c r="J110" i="18" s="1"/>
  <c r="AD81" i="13"/>
  <c r="S69" i="13"/>
  <c r="AC113" i="13"/>
  <c r="AB113" i="13"/>
  <c r="Z145" i="13"/>
  <c r="Q101" i="13"/>
  <c r="S81" i="13"/>
  <c r="Q113" i="13"/>
  <c r="P133" i="13"/>
  <c r="AE81" i="13"/>
  <c r="J42" i="39"/>
  <c r="H28" i="40" s="1"/>
  <c r="L42" i="39"/>
  <c r="J177" i="13"/>
  <c r="AE113" i="13"/>
  <c r="AE146" i="13"/>
  <c r="P177" i="13" l="1"/>
  <c r="J209" i="13"/>
  <c r="G33" i="49"/>
  <c r="AE178" i="13"/>
  <c r="Q178" i="13"/>
  <c r="T178" i="13" s="1"/>
  <c r="U178" i="13"/>
  <c r="AB178" i="13"/>
  <c r="AC178" i="13"/>
  <c r="AD146" i="13"/>
  <c r="S101" i="13"/>
  <c r="T81" i="13"/>
  <c r="T101" i="13" s="1"/>
  <c r="AD113" i="13"/>
  <c r="T113" i="13" s="1"/>
  <c r="T133" i="13" s="1"/>
  <c r="Q133" i="13"/>
  <c r="S113" i="13"/>
  <c r="AB145" i="13"/>
  <c r="AC145" i="13"/>
  <c r="P165" i="13"/>
  <c r="Q145" i="13"/>
  <c r="Z177" i="13"/>
  <c r="K42" i="39"/>
  <c r="I28" i="40" s="1"/>
  <c r="J203" i="18"/>
  <c r="F31" i="49" s="1"/>
  <c r="AE145" i="13"/>
  <c r="P209" i="13" l="1"/>
  <c r="Z209" i="13"/>
  <c r="H32" i="49"/>
  <c r="G32" i="49"/>
  <c r="H33" i="49"/>
  <c r="F64" i="49"/>
  <c r="J28" i="40"/>
  <c r="AD178" i="13"/>
  <c r="S133" i="13"/>
  <c r="U113" i="13"/>
  <c r="U133" i="13" s="1"/>
  <c r="L110" i="18" s="1"/>
  <c r="U81" i="13"/>
  <c r="U101" i="13" s="1"/>
  <c r="K110" i="18" s="1"/>
  <c r="AD145" i="13"/>
  <c r="T145" i="13" s="1"/>
  <c r="Q165" i="13"/>
  <c r="I33" i="49" s="1"/>
  <c r="S145" i="13"/>
  <c r="P197" i="13"/>
  <c r="AE177" i="13"/>
  <c r="Q177" i="13"/>
  <c r="AC177" i="13"/>
  <c r="AB177" i="13"/>
  <c r="P229" i="13" l="1"/>
  <c r="Q209" i="13"/>
  <c r="AE209" i="13"/>
  <c r="AC209" i="13"/>
  <c r="AB209" i="13"/>
  <c r="S165" i="13"/>
  <c r="U145" i="13"/>
  <c r="U165" i="13" s="1"/>
  <c r="M110" i="18" s="1"/>
  <c r="K203" i="18"/>
  <c r="G31" i="49" s="1"/>
  <c r="T165" i="13"/>
  <c r="I32" i="49" s="1"/>
  <c r="AD177" i="13"/>
  <c r="T177" i="13" s="1"/>
  <c r="T197" i="13" s="1"/>
  <c r="Q197" i="13"/>
  <c r="S177" i="13"/>
  <c r="L203" i="18"/>
  <c r="H31" i="49" s="1"/>
  <c r="AD209" i="13" l="1"/>
  <c r="T209" i="13" s="1"/>
  <c r="T229" i="13" s="1"/>
  <c r="Q229" i="13"/>
  <c r="S209" i="13"/>
  <c r="H64" i="49"/>
  <c r="G64" i="49"/>
  <c r="U177" i="13"/>
  <c r="U197" i="13" s="1"/>
  <c r="S197" i="13"/>
  <c r="M203" i="18"/>
  <c r="I31" i="49" s="1"/>
  <c r="S229" i="13" l="1"/>
  <c r="U209" i="13"/>
  <c r="U229" i="13" s="1"/>
  <c r="O110" i="18" s="1"/>
  <c r="N110" i="18"/>
  <c r="N203" i="18" s="1"/>
  <c r="I64" i="49"/>
  <c r="H189" i="48"/>
  <c r="H171" i="35"/>
  <c r="O203" i="18" l="1"/>
  <c r="I171" i="35"/>
  <c r="I185" i="48"/>
  <c r="I189" i="48" l="1"/>
  <c r="J185" i="48"/>
  <c r="J189" i="48" l="1"/>
  <c r="K185" i="48"/>
  <c r="J171" i="35"/>
  <c r="K189" i="48" l="1"/>
  <c r="L185" i="48"/>
  <c r="K171" i="35"/>
  <c r="M185" i="48" l="1"/>
  <c r="L189" i="48"/>
  <c r="L171" i="35"/>
  <c r="M189" i="48" l="1"/>
  <c r="N185" i="48"/>
  <c r="N189" i="48" s="1"/>
  <c r="O171" i="35" s="1"/>
  <c r="H18" i="54"/>
  <c r="H19" i="54" s="1"/>
  <c r="H27" i="54"/>
  <c r="N171" i="35"/>
  <c r="M171" i="35"/>
  <c r="I18" i="54" l="1"/>
  <c r="I19" i="54" s="1"/>
  <c r="I147" i="18"/>
  <c r="I20" i="48"/>
  <c r="I25" i="48" s="1"/>
  <c r="H25" i="48"/>
  <c r="H216" i="48" s="1"/>
  <c r="I159" i="35" l="1"/>
  <c r="H31" i="54"/>
  <c r="H32" i="54" s="1"/>
  <c r="J18" i="54"/>
  <c r="J19" i="54" s="1"/>
  <c r="I149" i="18"/>
  <c r="I166" i="18" s="1"/>
  <c r="H24" i="54"/>
  <c r="H28" i="54"/>
  <c r="H11" i="54"/>
  <c r="H14" i="54"/>
  <c r="H15" i="54" s="1"/>
  <c r="H16" i="54" s="1"/>
  <c r="I163" i="35"/>
  <c r="I173" i="35" s="1"/>
  <c r="H163" i="35"/>
  <c r="H173" i="35" s="1"/>
  <c r="I216" i="48"/>
  <c r="J163" i="35"/>
  <c r="J173" i="35" s="1"/>
  <c r="J20" i="48"/>
  <c r="J159" i="35" l="1"/>
  <c r="J176" i="35" s="1"/>
  <c r="I31" i="54"/>
  <c r="I32" i="54" s="1"/>
  <c r="H176" i="35"/>
  <c r="K18" i="54"/>
  <c r="K19" i="54" s="1"/>
  <c r="I176" i="35"/>
  <c r="H29" i="54"/>
  <c r="J147" i="18"/>
  <c r="I24" i="54"/>
  <c r="I27" i="54"/>
  <c r="I28" i="54" s="1"/>
  <c r="I11" i="54"/>
  <c r="I14" i="54"/>
  <c r="J25" i="48"/>
  <c r="K20" i="48"/>
  <c r="I218" i="48"/>
  <c r="H217" i="48"/>
  <c r="L18" i="54" l="1"/>
  <c r="L19" i="54" s="1"/>
  <c r="H180" i="35"/>
  <c r="H185" i="35" s="1"/>
  <c r="J149" i="18"/>
  <c r="J166" i="18" s="1"/>
  <c r="K159" i="35"/>
  <c r="J31" i="54"/>
  <c r="J32" i="54" s="1"/>
  <c r="I15" i="54"/>
  <c r="J33" i="18" s="1"/>
  <c r="F28" i="38"/>
  <c r="I180" i="35"/>
  <c r="H206" i="35"/>
  <c r="H207" i="35" s="1"/>
  <c r="I206" i="35"/>
  <c r="I207" i="35" s="1"/>
  <c r="G28" i="38"/>
  <c r="J180" i="35"/>
  <c r="J92" i="18"/>
  <c r="K147" i="18"/>
  <c r="K149" i="18" s="1"/>
  <c r="K166" i="18" s="1"/>
  <c r="I29" i="54"/>
  <c r="F68" i="38"/>
  <c r="I82" i="35"/>
  <c r="I85" i="35" s="1"/>
  <c r="H201" i="35" s="1"/>
  <c r="J14" i="54"/>
  <c r="J11" i="54"/>
  <c r="J24" i="54"/>
  <c r="J27" i="54"/>
  <c r="J28" i="54" s="1"/>
  <c r="K27" i="35" s="1"/>
  <c r="K38" i="35" s="1"/>
  <c r="L20" i="48"/>
  <c r="K25" i="48"/>
  <c r="J216" i="48"/>
  <c r="K163" i="35"/>
  <c r="K173" i="35" s="1"/>
  <c r="F73" i="49" l="1"/>
  <c r="J43" i="18"/>
  <c r="J200" i="18"/>
  <c r="K193" i="18"/>
  <c r="J193" i="18"/>
  <c r="J205" i="18"/>
  <c r="J186" i="18"/>
  <c r="G68" i="38"/>
  <c r="I16" i="54"/>
  <c r="L159" i="35"/>
  <c r="K31" i="54"/>
  <c r="K32" i="54" s="1"/>
  <c r="J15" i="54"/>
  <c r="K33" i="18" s="1"/>
  <c r="F71" i="38"/>
  <c r="F72" i="38" s="1"/>
  <c r="K176" i="35"/>
  <c r="J82" i="35"/>
  <c r="J85" i="35" s="1"/>
  <c r="I201" i="35" s="1"/>
  <c r="J95" i="18"/>
  <c r="L147" i="18"/>
  <c r="J29" i="54"/>
  <c r="K92" i="18"/>
  <c r="K199" i="18" s="1"/>
  <c r="F29" i="38"/>
  <c r="K200" i="18"/>
  <c r="K14" i="54"/>
  <c r="K11" i="54"/>
  <c r="K27" i="54"/>
  <c r="K28" i="54" s="1"/>
  <c r="L27" i="35" s="1"/>
  <c r="L38" i="35" s="1"/>
  <c r="K197" i="35" s="1"/>
  <c r="K24" i="54"/>
  <c r="J218" i="48"/>
  <c r="I217" i="48"/>
  <c r="M20" i="48"/>
  <c r="L25" i="48"/>
  <c r="K216" i="48"/>
  <c r="L163" i="35"/>
  <c r="L173" i="35" s="1"/>
  <c r="M25" i="48" l="1"/>
  <c r="N20" i="48"/>
  <c r="N25" i="48" s="1"/>
  <c r="J46" i="18"/>
  <c r="K43" i="18"/>
  <c r="K196" i="18" s="1"/>
  <c r="F70" i="49"/>
  <c r="M18" i="54"/>
  <c r="M19" i="54" s="1"/>
  <c r="G25" i="38"/>
  <c r="L149" i="18"/>
  <c r="L166" i="18" s="1"/>
  <c r="J16" i="54"/>
  <c r="L31" i="54"/>
  <c r="L32" i="54" s="1"/>
  <c r="K15" i="54"/>
  <c r="L33" i="18" s="1"/>
  <c r="G30" i="49" s="1"/>
  <c r="L176" i="35"/>
  <c r="K180" i="35"/>
  <c r="J206" i="35"/>
  <c r="J207" i="35" s="1"/>
  <c r="H28" i="38"/>
  <c r="K29" i="54"/>
  <c r="L92" i="18"/>
  <c r="L199" i="18" s="1"/>
  <c r="M147" i="18"/>
  <c r="M149" i="18" s="1"/>
  <c r="M166" i="18" s="1"/>
  <c r="H68" i="38"/>
  <c r="K205" i="18"/>
  <c r="K186" i="18"/>
  <c r="G70" i="49" s="1"/>
  <c r="K95" i="18"/>
  <c r="K185" i="18" s="1"/>
  <c r="K82" i="35"/>
  <c r="K85" i="35" s="1"/>
  <c r="J201" i="35" s="1"/>
  <c r="N147" i="18"/>
  <c r="L14" i="54"/>
  <c r="L11" i="54"/>
  <c r="L24" i="54"/>
  <c r="L27" i="54"/>
  <c r="L28" i="54" s="1"/>
  <c r="M27" i="35" s="1"/>
  <c r="M38" i="35" s="1"/>
  <c r="M216" i="48"/>
  <c r="N163" i="35"/>
  <c r="N173" i="35" s="1"/>
  <c r="K218" i="48"/>
  <c r="L216" i="48"/>
  <c r="M163" i="35"/>
  <c r="M173" i="35" s="1"/>
  <c r="J217" i="48"/>
  <c r="N216" i="48" l="1"/>
  <c r="O163" i="35"/>
  <c r="O173" i="35" s="1"/>
  <c r="J99" i="18"/>
  <c r="J171" i="18" s="1"/>
  <c r="H59" i="38"/>
  <c r="K46" i="18"/>
  <c r="K182" i="18" s="1"/>
  <c r="H14" i="38" s="1"/>
  <c r="G73" i="49"/>
  <c r="L43" i="18"/>
  <c r="L46" i="18" s="1"/>
  <c r="G29" i="38"/>
  <c r="N24" i="54"/>
  <c r="O159" i="35"/>
  <c r="N27" i="54"/>
  <c r="N28" i="54" s="1"/>
  <c r="N31" i="54"/>
  <c r="N32" i="54" s="1"/>
  <c r="N14" i="54"/>
  <c r="N15" i="54" s="1"/>
  <c r="O147" i="18"/>
  <c r="O149" i="18" s="1"/>
  <c r="O166" i="18" s="1"/>
  <c r="N18" i="54"/>
  <c r="N19" i="54" s="1"/>
  <c r="N11" i="54"/>
  <c r="L200" i="18"/>
  <c r="M193" i="18"/>
  <c r="L193" i="18"/>
  <c r="L186" i="18"/>
  <c r="H70" i="49" s="1"/>
  <c r="L205" i="18"/>
  <c r="I68" i="38"/>
  <c r="N149" i="18"/>
  <c r="M159" i="35"/>
  <c r="M176" i="35" s="1"/>
  <c r="M31" i="54"/>
  <c r="M32" i="54" s="1"/>
  <c r="K16" i="54"/>
  <c r="L15" i="54"/>
  <c r="M33" i="18" s="1"/>
  <c r="H30" i="49" s="1"/>
  <c r="H16" i="38"/>
  <c r="K206" i="35"/>
  <c r="K207" i="35" s="1"/>
  <c r="I28" i="38"/>
  <c r="L197" i="35"/>
  <c r="L180" i="35"/>
  <c r="G71" i="38"/>
  <c r="G72" i="38" s="1"/>
  <c r="H22" i="38"/>
  <c r="L29" i="54"/>
  <c r="L95" i="18"/>
  <c r="L185" i="18" s="1"/>
  <c r="L82" i="35"/>
  <c r="L85" i="35" s="1"/>
  <c r="K201" i="35" s="1"/>
  <c r="M92" i="18"/>
  <c r="G65" i="38"/>
  <c r="K89" i="35"/>
  <c r="H25" i="38"/>
  <c r="M200" i="18"/>
  <c r="M14" i="54"/>
  <c r="M11" i="54"/>
  <c r="M27" i="54"/>
  <c r="M28" i="54" s="1"/>
  <c r="N27" i="35" s="1"/>
  <c r="N38" i="35" s="1"/>
  <c r="M24" i="54"/>
  <c r="L217" i="48"/>
  <c r="L218" i="48"/>
  <c r="K217" i="48"/>
  <c r="M217" i="48"/>
  <c r="M218" i="48"/>
  <c r="O176" i="35" l="1"/>
  <c r="O180" i="35" s="1"/>
  <c r="N217" i="48"/>
  <c r="N218" i="48"/>
  <c r="L182" i="18"/>
  <c r="I14" i="38" s="1"/>
  <c r="H26" i="49" s="1"/>
  <c r="H57" i="38"/>
  <c r="K99" i="18"/>
  <c r="K171" i="18" s="1"/>
  <c r="I59" i="38"/>
  <c r="L196" i="18"/>
  <c r="I16" i="38" s="1"/>
  <c r="H29" i="38"/>
  <c r="G24" i="49" s="1"/>
  <c r="G25" i="49"/>
  <c r="M43" i="18"/>
  <c r="M46" i="18" s="1"/>
  <c r="M182" i="18" s="1"/>
  <c r="J14" i="38" s="1"/>
  <c r="H73" i="49"/>
  <c r="G26" i="49"/>
  <c r="F69" i="49"/>
  <c r="N29" i="54"/>
  <c r="O27" i="35"/>
  <c r="O38" i="35" s="1"/>
  <c r="N197" i="35" s="1"/>
  <c r="O206" i="35"/>
  <c r="O207" i="35" s="1"/>
  <c r="N16" i="54"/>
  <c r="O33" i="18"/>
  <c r="O43" i="18" s="1"/>
  <c r="O46" i="18" s="1"/>
  <c r="O99" i="18" s="1"/>
  <c r="O171" i="18" s="1"/>
  <c r="N200" i="18"/>
  <c r="O200" i="18"/>
  <c r="I57" i="38"/>
  <c r="H23" i="38"/>
  <c r="N159" i="35"/>
  <c r="N176" i="35" s="1"/>
  <c r="I25" i="38"/>
  <c r="L16" i="54"/>
  <c r="N166" i="18"/>
  <c r="M15" i="54"/>
  <c r="N33" i="18" s="1"/>
  <c r="N43" i="18" s="1"/>
  <c r="H71" i="38"/>
  <c r="H72" i="38" s="1"/>
  <c r="L206" i="35"/>
  <c r="I71" i="38" s="1"/>
  <c r="I72" i="38" s="1"/>
  <c r="J28" i="38"/>
  <c r="M197" i="35"/>
  <c r="M180" i="35"/>
  <c r="M29" i="54"/>
  <c r="N92" i="18"/>
  <c r="I22" i="38"/>
  <c r="H65" i="38"/>
  <c r="K202" i="35"/>
  <c r="K209" i="35" s="1"/>
  <c r="L89" i="35"/>
  <c r="L99" i="18"/>
  <c r="M82" i="35"/>
  <c r="M85" i="35" s="1"/>
  <c r="J68" i="38"/>
  <c r="M205" i="18"/>
  <c r="M186" i="18"/>
  <c r="I70" i="49" s="1"/>
  <c r="K185" i="35"/>
  <c r="M95" i="18"/>
  <c r="M199" i="18"/>
  <c r="N206" i="35" l="1"/>
  <c r="N207" i="35" s="1"/>
  <c r="K204" i="18"/>
  <c r="H66" i="38"/>
  <c r="H74" i="38" s="1"/>
  <c r="H87" i="38" s="1"/>
  <c r="J59" i="38"/>
  <c r="M196" i="18"/>
  <c r="J16" i="38" s="1"/>
  <c r="I26" i="49"/>
  <c r="I73" i="49"/>
  <c r="H31" i="38"/>
  <c r="G14" i="49" s="1"/>
  <c r="G23" i="49"/>
  <c r="G29" i="49"/>
  <c r="G27" i="49"/>
  <c r="I30" i="49"/>
  <c r="I23" i="38"/>
  <c r="I29" i="38"/>
  <c r="H24" i="49" s="1"/>
  <c r="H25" i="49"/>
  <c r="G69" i="49"/>
  <c r="N95" i="18"/>
  <c r="O185" i="18" s="1"/>
  <c r="O199" i="18"/>
  <c r="O196" i="18"/>
  <c r="O89" i="35"/>
  <c r="O185" i="35" s="1"/>
  <c r="O197" i="35"/>
  <c r="O202" i="35" s="1"/>
  <c r="O209" i="35" s="1"/>
  <c r="N193" i="18"/>
  <c r="O186" i="18"/>
  <c r="O193" i="18"/>
  <c r="O205" i="18"/>
  <c r="K28" i="38"/>
  <c r="N180" i="35"/>
  <c r="M206" i="35"/>
  <c r="M207" i="35" s="1"/>
  <c r="N205" i="18"/>
  <c r="N186" i="18"/>
  <c r="K68" i="38"/>
  <c r="J57" i="38"/>
  <c r="M16" i="54"/>
  <c r="K59" i="38"/>
  <c r="N196" i="18"/>
  <c r="K16" i="38" s="1"/>
  <c r="N46" i="18"/>
  <c r="L207" i="35"/>
  <c r="M99" i="18"/>
  <c r="M204" i="18" s="1"/>
  <c r="M89" i="35"/>
  <c r="L171" i="18"/>
  <c r="L201" i="35"/>
  <c r="N82" i="35"/>
  <c r="N85" i="35" s="1"/>
  <c r="N201" i="35" s="1"/>
  <c r="N199" i="18"/>
  <c r="L204" i="18"/>
  <c r="J25" i="38"/>
  <c r="M185" i="18"/>
  <c r="L185" i="35"/>
  <c r="K71" i="38" l="1"/>
  <c r="K72" i="38" s="1"/>
  <c r="N185" i="18"/>
  <c r="K22" i="38" s="1"/>
  <c r="I31" i="38"/>
  <c r="I44" i="38" s="1"/>
  <c r="J29" i="38"/>
  <c r="I25" i="49"/>
  <c r="H44" i="38"/>
  <c r="H17" i="40" s="1"/>
  <c r="H30" i="40" s="1"/>
  <c r="H48" i="40" s="1"/>
  <c r="G20" i="49"/>
  <c r="G21" i="49"/>
  <c r="G22" i="49"/>
  <c r="G19" i="49"/>
  <c r="H27" i="49"/>
  <c r="H23" i="49"/>
  <c r="H29" i="49"/>
  <c r="H69" i="49"/>
  <c r="K57" i="38"/>
  <c r="O182" i="18"/>
  <c r="J71" i="38"/>
  <c r="J72" i="38" s="1"/>
  <c r="K25" i="38"/>
  <c r="K29" i="38" s="1"/>
  <c r="N99" i="18"/>
  <c r="N182" i="18"/>
  <c r="J22" i="38"/>
  <c r="N89" i="35"/>
  <c r="L202" i="35"/>
  <c r="L209" i="35" s="1"/>
  <c r="I65" i="38"/>
  <c r="I66" i="38" s="1"/>
  <c r="I74" i="38" s="1"/>
  <c r="I87" i="38" s="1"/>
  <c r="M185" i="35"/>
  <c r="M201" i="35"/>
  <c r="M171" i="18"/>
  <c r="H14" i="49" l="1"/>
  <c r="I17" i="40"/>
  <c r="I30" i="40" s="1"/>
  <c r="I48" i="40" s="1"/>
  <c r="I69" i="49"/>
  <c r="I24" i="49"/>
  <c r="H22" i="49"/>
  <c r="H20" i="49"/>
  <c r="H19" i="49"/>
  <c r="H21" i="49"/>
  <c r="N171" i="18"/>
  <c r="O204" i="18"/>
  <c r="N204" i="18"/>
  <c r="K14" i="38"/>
  <c r="M202" i="35"/>
  <c r="M209" i="35" s="1"/>
  <c r="J65" i="38"/>
  <c r="J66" i="38" s="1"/>
  <c r="J74" i="38" s="1"/>
  <c r="J87" i="38" s="1"/>
  <c r="N185" i="35"/>
  <c r="N202" i="35"/>
  <c r="N209" i="35" s="1"/>
  <c r="K65" i="38"/>
  <c r="K66" i="38" s="1"/>
  <c r="K74" i="38" s="1"/>
  <c r="K87" i="38" s="1"/>
  <c r="J23" i="38"/>
  <c r="I27" i="49" l="1"/>
  <c r="I23" i="49"/>
  <c r="I29" i="49"/>
  <c r="K23" i="38"/>
  <c r="J31" i="38"/>
  <c r="I14" i="49" s="1"/>
  <c r="I20" i="49" l="1"/>
  <c r="I19" i="49"/>
  <c r="I22" i="49"/>
  <c r="I21" i="49"/>
  <c r="K31" i="38"/>
  <c r="J44" i="38"/>
  <c r="J17" i="40" l="1"/>
  <c r="J30" i="40" s="1"/>
  <c r="J48" i="40" s="1"/>
  <c r="K44" i="38"/>
  <c r="J16" i="24"/>
  <c r="I32" i="18" s="1"/>
  <c r="J17" i="24" l="1"/>
  <c r="I33" i="18"/>
  <c r="I92" i="18" l="1"/>
  <c r="I43" i="18"/>
  <c r="J196" i="18" l="1"/>
  <c r="I46" i="18"/>
  <c r="J199" i="18"/>
  <c r="I95" i="18"/>
  <c r="J182" i="18" l="1"/>
  <c r="F65" i="38"/>
  <c r="J185" i="18"/>
  <c r="I99" i="18"/>
  <c r="I171" i="18" l="1"/>
  <c r="J204" i="18"/>
  <c r="G22" i="38"/>
  <c r="H68" i="49" l="1"/>
  <c r="I68" i="49"/>
  <c r="F68" i="49"/>
  <c r="G68" i="49"/>
  <c r="G66" i="49"/>
  <c r="I66" i="49"/>
  <c r="H66" i="49"/>
  <c r="F66" i="49"/>
  <c r="F65" i="49" l="1"/>
  <c r="G65" i="49"/>
  <c r="H65" i="49"/>
  <c r="I65" i="49"/>
  <c r="J22" i="24" l="1"/>
  <c r="I26" i="35" l="1"/>
  <c r="I27" i="35"/>
  <c r="J23" i="24"/>
  <c r="I27" i="24"/>
  <c r="I28" i="24" s="1"/>
  <c r="J31" i="24"/>
  <c r="J32" i="24" s="1"/>
  <c r="I38" i="35" l="1"/>
  <c r="F23" i="38" l="1"/>
  <c r="H197" i="35"/>
  <c r="I89" i="35"/>
  <c r="F31" i="38" l="1"/>
  <c r="F44" i="38" s="1"/>
  <c r="H32" i="39" s="1"/>
  <c r="I185" i="35"/>
  <c r="H202" i="35"/>
  <c r="H209" i="35" s="1"/>
  <c r="F17" i="40" l="1"/>
  <c r="F30" i="40" s="1"/>
  <c r="F48" i="40" s="1"/>
  <c r="F51" i="40" s="1"/>
  <c r="D163" i="35" l="1"/>
  <c r="D9" i="48"/>
  <c r="H36" i="39"/>
  <c r="H57" i="39" s="1"/>
  <c r="H22" i="39" s="1"/>
  <c r="G11" i="40" l="1"/>
  <c r="F49" i="40"/>
  <c r="H23" i="39"/>
  <c r="F52" i="40" l="1"/>
  <c r="H25" i="39"/>
  <c r="D85" i="22" l="1"/>
  <c r="J30" i="35" s="1"/>
  <c r="K21" i="24" s="1"/>
  <c r="K22" i="24" s="1"/>
  <c r="J27" i="35" l="1"/>
  <c r="K27" i="24"/>
  <c r="K28" i="24" s="1"/>
  <c r="K31" i="24"/>
  <c r="K32" i="24" s="1"/>
  <c r="K23" i="24"/>
  <c r="J27" i="24"/>
  <c r="J28" i="24" s="1"/>
  <c r="J26" i="35"/>
  <c r="J35" i="35"/>
  <c r="G16" i="38" l="1"/>
  <c r="F59" i="38"/>
  <c r="G59" i="38"/>
  <c r="F30" i="49"/>
  <c r="J38" i="35"/>
  <c r="J197" i="35" l="1"/>
  <c r="I197" i="35"/>
  <c r="G14" i="38"/>
  <c r="J89" i="35"/>
  <c r="J185" i="35" s="1"/>
  <c r="F24" i="49" l="1"/>
  <c r="F26" i="49"/>
  <c r="G23" i="38"/>
  <c r="F25" i="49"/>
  <c r="F57" i="38"/>
  <c r="F66" i="38" s="1"/>
  <c r="F74" i="38" s="1"/>
  <c r="F87" i="38" s="1"/>
  <c r="I202" i="35"/>
  <c r="I209" i="35" s="1"/>
  <c r="J202" i="35"/>
  <c r="J209" i="35" s="1"/>
  <c r="G57" i="38"/>
  <c r="G66" i="38" s="1"/>
  <c r="G74" i="38" s="1"/>
  <c r="G87" i="38" s="1"/>
  <c r="F29" i="49" l="1"/>
  <c r="F27" i="49"/>
  <c r="G31" i="38"/>
  <c r="F23" i="49"/>
  <c r="F14" i="49" l="1"/>
  <c r="G44" i="38"/>
  <c r="F20" i="49"/>
  <c r="F21" i="49"/>
  <c r="F22" i="49"/>
  <c r="F19" i="49"/>
  <c r="I32" i="39" l="1"/>
  <c r="I36" i="39" s="1"/>
  <c r="G17" i="40"/>
  <c r="G30" i="40" s="1"/>
  <c r="G48" i="40" s="1"/>
  <c r="G51" i="40" s="1"/>
  <c r="H11" i="40" s="1"/>
  <c r="H51" i="40" s="1"/>
  <c r="I11" i="40" s="1"/>
  <c r="I51" i="40" s="1"/>
  <c r="J11" i="40" s="1"/>
  <c r="J51" i="40" s="1"/>
  <c r="F13" i="49" l="1"/>
  <c r="J32" i="39"/>
  <c r="J36" i="39" s="1"/>
  <c r="I57" i="39"/>
  <c r="I22" i="39" s="1"/>
  <c r="G49" i="40" l="1"/>
  <c r="I23" i="39"/>
  <c r="G13" i="49"/>
  <c r="J57" i="39"/>
  <c r="J22" i="39" s="1"/>
  <c r="K32" i="39"/>
  <c r="K36" i="39" s="1"/>
  <c r="H49" i="40" l="1"/>
  <c r="J23" i="39"/>
  <c r="L32" i="39"/>
  <c r="L36" i="39" s="1"/>
  <c r="H13" i="49"/>
  <c r="K57" i="39"/>
  <c r="K22" i="39" s="1"/>
  <c r="F12" i="49"/>
  <c r="I25" i="39"/>
  <c r="G52" i="40"/>
  <c r="H52" i="40" l="1"/>
  <c r="G12" i="49"/>
  <c r="J25" i="39"/>
  <c r="K23" i="39"/>
  <c r="I49" i="40"/>
  <c r="F9" i="49"/>
  <c r="F10" i="49"/>
  <c r="F11" i="49"/>
  <c r="I13" i="49"/>
  <c r="L57" i="39"/>
  <c r="L22" i="39" s="1"/>
  <c r="K25" i="39" l="1"/>
  <c r="H12" i="49"/>
  <c r="I52" i="40"/>
  <c r="J49" i="40"/>
  <c r="L23" i="39"/>
  <c r="G9" i="49"/>
  <c r="G11" i="49"/>
  <c r="G10" i="49"/>
  <c r="J52" i="40" l="1"/>
  <c r="L25" i="39"/>
  <c r="I12" i="49"/>
  <c r="H9" i="49"/>
  <c r="H10" i="49"/>
  <c r="H11" i="49"/>
  <c r="I9" i="49" l="1"/>
  <c r="I11" i="49"/>
  <c r="I10" i="49"/>
</calcChain>
</file>

<file path=xl/comments1.xml><?xml version="1.0" encoding="utf-8"?>
<comments xmlns="http://schemas.openxmlformats.org/spreadsheetml/2006/main">
  <authors>
    <author>Bé Keizer</author>
    <author>Keizer</author>
  </authors>
  <commentList>
    <comment ref="D18" authorId="0" shapeId="0">
      <text>
        <r>
          <rPr>
            <sz val="9"/>
            <color indexed="81"/>
            <rFont val="Tahoma"/>
            <family val="2"/>
          </rPr>
          <t xml:space="preserve">
Dit gegeven moet per basisschool verkregen worden, voor het bepalen van de hoogte van de bekostiging voor schoolmaatschappelijk werk.
Advies: Zo goed mogelijke raming en beschikking Cfi erbij betrekken.</t>
        </r>
      </text>
    </comment>
    <comment ref="D20" authorId="1" shapeId="0">
      <text>
        <r>
          <rPr>
            <sz val="9"/>
            <color indexed="81"/>
            <rFont val="Tahoma"/>
            <family val="2"/>
          </rPr>
          <t xml:space="preserve">
In het geval een SBO aan meerdere SWV deelneemt (uitzonderlijk) moet hier het aantal leerlingen van de SBO worden opgegeven dat uitsluitend aan dit samenwerkingsverband wordt toegerekend.</t>
        </r>
      </text>
    </comment>
    <comment ref="D78" authorId="1" shapeId="0">
      <text>
        <r>
          <rPr>
            <sz val="9"/>
            <color indexed="81"/>
            <rFont val="Tahoma"/>
            <family val="2"/>
          </rPr>
          <t xml:space="preserve">
Het advies is om te werken met de landelijke GPL omdat een goede meerjarige prognose van de GGL van de school buitengewoon lastig is te maken. Dan dus invullen met: ja</t>
        </r>
      </text>
    </comment>
    <comment ref="F100" authorId="1" shapeId="0">
      <text>
        <r>
          <rPr>
            <sz val="9"/>
            <color indexed="81"/>
            <rFont val="Tahoma"/>
            <family val="2"/>
          </rPr>
          <t xml:space="preserve">
Het grensverkeer start (opnieuw) in 2014-2015 en daarom vindt in dat schooljaar nog geen bekostiging plaats voor grensverkeer (T-1 systematiek!).</t>
        </r>
      </text>
    </comment>
    <comment ref="F101" authorId="1" shapeId="0">
      <text>
        <r>
          <rPr>
            <sz val="9"/>
            <color indexed="81"/>
            <rFont val="Tahoma"/>
            <family val="2"/>
          </rPr>
          <t xml:space="preserve">
Het grensverkeer start (opnieuw) in 2014-2015 en daarom vindt in dat schooljaar nog geen bekostiging plaats voor grensverkeer (T-1 systematiek!).</t>
        </r>
      </text>
    </comment>
    <comment ref="F103" authorId="1" shapeId="0">
      <text>
        <r>
          <rPr>
            <sz val="9"/>
            <color indexed="81"/>
            <rFont val="Tahoma"/>
            <family val="2"/>
          </rPr>
          <t xml:space="preserve">
Het grensverkeer start (opnieuw) in 2014-2015 en daarom vindt in dat schooljaar nog geen bekostiging plaats voor grensverkeer (T-1 systematiek!).</t>
        </r>
      </text>
    </comment>
    <comment ref="F104" authorId="1" shapeId="0">
      <text>
        <r>
          <rPr>
            <sz val="9"/>
            <color indexed="81"/>
            <rFont val="Tahoma"/>
            <family val="2"/>
          </rPr>
          <t xml:space="preserve">
Het grensverkeer start (opnieuw) in 2014-2015 en daarom vindt in dat schooljaar nog geen bekostiging plaats voor grensverkeer (T-1 systematiek!).</t>
        </r>
      </text>
    </comment>
  </commentList>
</comments>
</file>

<file path=xl/comments10.xml><?xml version="1.0" encoding="utf-8"?>
<comments xmlns="http://schemas.openxmlformats.org/spreadsheetml/2006/main">
  <authors>
    <author>B. Keizer</author>
    <author>Keizer</author>
    <author>Bé Keizer</author>
  </authors>
  <commentList>
    <comment ref="L10" authorId="0" shapeId="0">
      <text>
        <r>
          <rPr>
            <sz val="9"/>
            <color indexed="81"/>
            <rFont val="Tahoma"/>
            <family val="2"/>
          </rPr>
          <t xml:space="preserve">
Cijfers van 2014 overgenomen, totdat cijfers 2015 bekend worden.</t>
        </r>
      </text>
    </comment>
    <comment ref="F54" authorId="1" shapeId="0">
      <text>
        <r>
          <rPr>
            <sz val="9"/>
            <color indexed="81"/>
            <rFont val="Tahoma"/>
            <family val="2"/>
          </rPr>
          <t xml:space="preserve">
De indexering van Londo wordt medio sept. 2016 vastgesteld.</t>
        </r>
      </text>
    </comment>
    <comment ref="A55" authorId="2" shapeId="0">
      <text>
        <r>
          <rPr>
            <sz val="9"/>
            <color indexed="81"/>
            <rFont val="Tahoma"/>
            <family val="2"/>
          </rPr>
          <t xml:space="preserve">
Is nodig wanneer de peildatum in plaats van de teldatum wordt gehanteerd voor de overdracht van het basisbedrag.
Dit is een gemiddeld bedrag.</t>
        </r>
      </text>
    </comment>
    <comment ref="A59" authorId="1" shapeId="0">
      <text>
        <r>
          <rPr>
            <sz val="9"/>
            <color indexed="81"/>
            <rFont val="Tahoma"/>
            <family val="2"/>
          </rPr>
          <t xml:space="preserve">
Bedrag per schoolgewicht wordt jaarlijks vastgesteld in Regeling bekostiging personeel PO.</t>
        </r>
      </text>
    </comment>
    <comment ref="A65" authorId="1" shapeId="0">
      <text>
        <r>
          <rPr>
            <sz val="9"/>
            <color indexed="81"/>
            <rFont val="Tahoma"/>
            <family val="2"/>
          </rPr>
          <t xml:space="preserve">
Bron: Besl Bek WPO art. 31.</t>
        </r>
      </text>
    </comment>
    <comment ref="A87" authorId="1" shapeId="0">
      <text>
        <r>
          <rPr>
            <sz val="9"/>
            <color indexed="81"/>
            <rFont val="Tahoma"/>
            <family val="2"/>
          </rPr>
          <t xml:space="preserve">
Bedragen cf opgave OCW.</t>
        </r>
      </text>
    </comment>
    <comment ref="F96" authorId="0" shapeId="0">
      <text>
        <r>
          <rPr>
            <sz val="9"/>
            <color indexed="81"/>
            <rFont val="Tahoma"/>
            <family val="2"/>
          </rPr>
          <t xml:space="preserve">
Indexering 2017 t.o.v. 2016 plus enig effect overdracht buitenonderhoud.</t>
        </r>
      </text>
    </comment>
    <comment ref="I103" authorId="1" shapeId="0">
      <text>
        <r>
          <rPr>
            <sz val="9"/>
            <color indexed="81"/>
            <rFont val="Tahoma"/>
            <family val="2"/>
          </rPr>
          <t xml:space="preserve">
Bedragen voor 15/16 zijn de bedragen van OCW mrt. 2015 voor berekening vereveningsbedrag. Vervolgens worden de bedragen geindexeerd.</t>
        </r>
      </text>
    </comment>
    <comment ref="A105" authorId="1" shapeId="0">
      <text>
        <r>
          <rPr>
            <sz val="9"/>
            <color indexed="81"/>
            <rFont val="Tahoma"/>
            <family val="2"/>
          </rPr>
          <t xml:space="preserve">
Berekend op basis van GPL-bedragen OCW.</t>
        </r>
      </text>
    </comment>
    <comment ref="C105" authorId="1" shapeId="0">
      <text>
        <r>
          <rPr>
            <sz val="9"/>
            <color indexed="81"/>
            <rFont val="Tahoma"/>
            <family val="2"/>
          </rPr>
          <t xml:space="preserve">
Regelingen OCW, okt. 2015.</t>
        </r>
      </text>
    </comment>
    <comment ref="A110" authorId="1" shapeId="0">
      <text>
        <r>
          <rPr>
            <sz val="9"/>
            <color indexed="81"/>
            <rFont val="Tahoma"/>
            <family val="2"/>
          </rPr>
          <t xml:space="preserve">
bedrag per leerling afgestemd op bedrag per reguliere leerling basisschool, niveau okt. 2015.</t>
        </r>
      </text>
    </comment>
    <comment ref="C113" authorId="1" shapeId="0">
      <text>
        <r>
          <rPr>
            <sz val="9"/>
            <color indexed="81"/>
            <rFont val="Tahoma"/>
            <family val="2"/>
          </rPr>
          <t xml:space="preserve">
Niveau 2015, sept 2014.</t>
        </r>
      </text>
    </comment>
    <comment ref="J113" authorId="0" shapeId="0">
      <text>
        <r>
          <rPr>
            <sz val="9"/>
            <color indexed="81"/>
            <rFont val="Tahoma"/>
            <family val="2"/>
          </rPr>
          <t xml:space="preserve">
Bedragen 15-16 mrt. 2015 zijn incl. deel ondersteuning budget P&amp;A.</t>
        </r>
      </text>
    </comment>
    <comment ref="C118" authorId="0" shapeId="0">
      <text>
        <r>
          <rPr>
            <sz val="9"/>
            <color indexed="81"/>
            <rFont val="Tahoma"/>
            <family val="2"/>
          </rPr>
          <t xml:space="preserve">
Prijsindexering met 1,551% mrt. 2015.</t>
        </r>
      </text>
    </comment>
    <comment ref="J120" authorId="0" shapeId="0">
      <text>
        <r>
          <rPr>
            <sz val="9"/>
            <color indexed="81"/>
            <rFont val="Tahoma"/>
            <family val="2"/>
          </rPr>
          <t xml:space="preserve">
Bedragen bijgesteld met -0,62% voor 2015. Som afgerond op geheel bedrag.</t>
        </r>
      </text>
    </comment>
    <comment ref="M120" authorId="0" shapeId="0">
      <text>
        <r>
          <rPr>
            <sz val="9"/>
            <color indexed="81"/>
            <rFont val="Tahoma"/>
            <family val="2"/>
          </rPr>
          <t xml:space="preserve">
Bedragen bijgesteld met -0,62% voor 2015. Som afgerond op geheel bedrag.</t>
        </r>
      </text>
    </comment>
    <comment ref="J129" authorId="0" shapeId="0">
      <text>
        <r>
          <rPr>
            <sz val="9"/>
            <color indexed="81"/>
            <rFont val="Tahoma"/>
            <family val="2"/>
          </rPr>
          <t xml:space="preserve">
Bedragen 15-16 mrt. 2015 zijn incl. deel ondersteuning budget P&amp;A.</t>
        </r>
      </text>
    </comment>
    <comment ref="A131" authorId="2" shapeId="0">
      <text>
        <r>
          <rPr>
            <sz val="9"/>
            <color indexed="81"/>
            <rFont val="Tahoma"/>
            <family val="2"/>
          </rPr>
          <t xml:space="preserve">
In deze raming WG-lasten kan nog bijstelling plaatsvinden voor 2016. Zodra de uitwerking daarvan bekend is zal bijstelling plaatsvinden.</t>
        </r>
      </text>
    </comment>
    <comment ref="J135" authorId="0" shapeId="0">
      <text>
        <r>
          <rPr>
            <sz val="9"/>
            <color indexed="81"/>
            <rFont val="Tahoma"/>
            <family val="2"/>
          </rPr>
          <t xml:space="preserve">
Bedragen bijgesteld met -0,62% voor 2015. Som afgerond op geheel bedrag.</t>
        </r>
      </text>
    </comment>
    <comment ref="K135" authorId="0" shapeId="0">
      <text>
        <r>
          <rPr>
            <sz val="9"/>
            <color indexed="81"/>
            <rFont val="Tahoma"/>
            <family val="2"/>
          </rPr>
          <t xml:space="preserve">
Bedragen bijgesteld met percentage in cel I126 voor 2016. Afgerond op geheel bedrag.</t>
        </r>
      </text>
    </comment>
    <comment ref="M135" authorId="0" shapeId="0">
      <text>
        <r>
          <rPr>
            <sz val="9"/>
            <color indexed="81"/>
            <rFont val="Tahoma"/>
            <family val="2"/>
          </rPr>
          <t xml:space="preserve">
Bedragen bijgesteld met -0,62% voor 2015. Som afgerond op geheel bedrag.</t>
        </r>
      </text>
    </comment>
    <comment ref="N135" authorId="0" shapeId="0">
      <text>
        <r>
          <rPr>
            <sz val="9"/>
            <color indexed="81"/>
            <rFont val="Tahoma"/>
            <family val="2"/>
          </rPr>
          <t xml:space="preserve">
Bedragen bijgesteld met percentage in cel I126 voor 2016. Afgerond op geheel bedrag.</t>
        </r>
      </text>
    </comment>
    <comment ref="A155" authorId="2" shapeId="0">
      <text>
        <r>
          <rPr>
            <sz val="9"/>
            <color indexed="81"/>
            <rFont val="Tahoma"/>
            <family val="2"/>
          </rPr>
          <t xml:space="preserve">
</t>
        </r>
        <r>
          <rPr>
            <sz val="10"/>
            <color indexed="81"/>
            <rFont val="Tahoma"/>
            <family val="2"/>
          </rPr>
          <t xml:space="preserve">Aanpassing minimum loon per 1-7-2015 zorgt dat de aanloopschalen tenminste € 1507,80 zijn. </t>
        </r>
      </text>
    </comment>
    <comment ref="C169" authorId="2" shapeId="0">
      <text>
        <r>
          <rPr>
            <sz val="9"/>
            <color indexed="81"/>
            <rFont val="Tahoma"/>
            <family val="2"/>
          </rPr>
          <t xml:space="preserve">
Bijstelling per 1 juli 2015 i.v.m. aanpassing minimumloon naar 1.507,80.</t>
        </r>
      </text>
    </comment>
    <comment ref="A199" authorId="2" shapeId="0">
      <text>
        <r>
          <rPr>
            <sz val="9"/>
            <color indexed="81"/>
            <rFont val="Tahoma"/>
            <family val="2"/>
          </rPr>
          <t xml:space="preserve">
</t>
        </r>
        <r>
          <rPr>
            <sz val="10"/>
            <color indexed="81"/>
            <rFont val="Tahoma"/>
            <family val="2"/>
          </rPr>
          <t xml:space="preserve">Aanpassing minimum loon per 1-7-2015 zorgt dat de aanloopschalen tenminste € 1507,80 zijn. </t>
        </r>
      </text>
    </comment>
  </commentList>
</comments>
</file>

<file path=xl/comments11.xml><?xml version="1.0" encoding="utf-8"?>
<comments xmlns="http://schemas.openxmlformats.org/spreadsheetml/2006/main">
  <authors>
    <author>Keizer</author>
  </authors>
  <commentList>
    <comment ref="D27" authorId="0" shapeId="0">
      <text>
        <r>
          <rPr>
            <sz val="9"/>
            <color indexed="81"/>
            <rFont val="Tahoma"/>
            <family val="2"/>
          </rPr>
          <t xml:space="preserve">
Omgerekend naar schooljaar met 5/12e en 7/12e.</t>
        </r>
      </text>
    </comment>
    <comment ref="D32" authorId="0" shapeId="0">
      <text>
        <r>
          <rPr>
            <sz val="9"/>
            <color indexed="81"/>
            <rFont val="Tahoma"/>
            <family val="2"/>
          </rPr>
          <t xml:space="preserve">
Omgerekend naar schooljaar met 5/12e en 7/12e.</t>
        </r>
      </text>
    </comment>
    <comment ref="D38" authorId="0" shapeId="0">
      <text>
        <r>
          <rPr>
            <sz val="9"/>
            <color indexed="81"/>
            <rFont val="Tahoma"/>
            <family val="2"/>
          </rPr>
          <t xml:space="preserve">
Omgerekend naar schooljaar met 5/12e en 7/12e.</t>
        </r>
      </text>
    </comment>
    <comment ref="D43" authorId="0" shapeId="0">
      <text>
        <r>
          <rPr>
            <sz val="9"/>
            <color indexed="81"/>
            <rFont val="Tahoma"/>
            <family val="2"/>
          </rPr>
          <t xml:space="preserve">
Omgerekend naar schooljaar met 5/12e en 7/12e.</t>
        </r>
      </text>
    </comment>
    <comment ref="D49" authorId="0" shapeId="0">
      <text>
        <r>
          <rPr>
            <sz val="9"/>
            <color indexed="81"/>
            <rFont val="Tahoma"/>
            <family val="2"/>
          </rPr>
          <t xml:space="preserve">
Omgerekend naar schooljaar met 5/12e en 7/12e.</t>
        </r>
      </text>
    </comment>
    <comment ref="D54" authorId="0" shapeId="0">
      <text>
        <r>
          <rPr>
            <sz val="9"/>
            <color indexed="81"/>
            <rFont val="Tahoma"/>
            <family val="2"/>
          </rPr>
          <t xml:space="preserve">
Omgerekend naar schooljaar met 5/12e en 7/12e.</t>
        </r>
      </text>
    </comment>
    <comment ref="D60" authorId="0" shapeId="0">
      <text>
        <r>
          <rPr>
            <sz val="9"/>
            <color indexed="81"/>
            <rFont val="Tahoma"/>
            <family val="2"/>
          </rPr>
          <t xml:space="preserve">
Omgerekend naar schooljaar met 5/12e en 7/12e.</t>
        </r>
      </text>
    </comment>
    <comment ref="D65" authorId="0" shapeId="0">
      <text>
        <r>
          <rPr>
            <sz val="9"/>
            <color indexed="81"/>
            <rFont val="Tahoma"/>
            <family val="2"/>
          </rPr>
          <t xml:space="preserve">
Omgerekend naar schooljaar met 5/12e en 7/12e.</t>
        </r>
      </text>
    </comment>
    <comment ref="D71" authorId="0" shapeId="0">
      <text>
        <r>
          <rPr>
            <sz val="9"/>
            <color indexed="81"/>
            <rFont val="Tahoma"/>
            <family val="2"/>
          </rPr>
          <t xml:space="preserve">
Omgerekend naar schooljaar met 5/12e en 7/12e.</t>
        </r>
      </text>
    </comment>
    <comment ref="D76" authorId="0" shapeId="0">
      <text>
        <r>
          <rPr>
            <sz val="9"/>
            <color indexed="81"/>
            <rFont val="Tahoma"/>
            <family val="2"/>
          </rPr>
          <t xml:space="preserve">
Omgerekend naar schooljaar met 5/12e en 7/12e.</t>
        </r>
      </text>
    </comment>
    <comment ref="D82" authorId="0" shapeId="0">
      <text>
        <r>
          <rPr>
            <sz val="9"/>
            <color indexed="81"/>
            <rFont val="Tahoma"/>
            <family val="2"/>
          </rPr>
          <t xml:space="preserve">
Omgerekend naar schooljaar met 5/12e en 7/12e.</t>
        </r>
      </text>
    </comment>
    <comment ref="D87" authorId="0" shapeId="0">
      <text>
        <r>
          <rPr>
            <sz val="9"/>
            <color indexed="81"/>
            <rFont val="Tahoma"/>
            <family val="2"/>
          </rPr>
          <t xml:space="preserve">
Omgerekend naar schooljaar met 5/12e en 7/12e.</t>
        </r>
      </text>
    </comment>
    <comment ref="D93" authorId="0" shapeId="0">
      <text>
        <r>
          <rPr>
            <sz val="9"/>
            <color indexed="81"/>
            <rFont val="Tahoma"/>
            <family val="2"/>
          </rPr>
          <t xml:space="preserve">
Omgerekend naar schooljaar met 5/12e en 7/12e.</t>
        </r>
      </text>
    </comment>
    <comment ref="D98" authorId="0" shapeId="0">
      <text>
        <r>
          <rPr>
            <sz val="9"/>
            <color indexed="81"/>
            <rFont val="Tahoma"/>
            <family val="2"/>
          </rPr>
          <t xml:space="preserve">
Omgerekend naar schooljaar met 5/12e en 7/12e.</t>
        </r>
      </text>
    </comment>
    <comment ref="D104" authorId="0" shapeId="0">
      <text>
        <r>
          <rPr>
            <sz val="9"/>
            <color indexed="81"/>
            <rFont val="Tahoma"/>
            <family val="2"/>
          </rPr>
          <t xml:space="preserve">
Omgerekend naar schooljaar met 5/12e en 7/12e.</t>
        </r>
      </text>
    </comment>
    <comment ref="D109" authorId="0" shapeId="0">
      <text>
        <r>
          <rPr>
            <sz val="9"/>
            <color indexed="81"/>
            <rFont val="Tahoma"/>
            <family val="2"/>
          </rPr>
          <t xml:space="preserve">
Omgerekend naar schooljaar met 5/12e en 7/12e.</t>
        </r>
      </text>
    </comment>
    <comment ref="D115" authorId="0" shapeId="0">
      <text>
        <r>
          <rPr>
            <sz val="9"/>
            <color indexed="81"/>
            <rFont val="Tahoma"/>
            <family val="2"/>
          </rPr>
          <t xml:space="preserve">
Omgerekend naar schooljaar met 5/12e en 7/12e.</t>
        </r>
      </text>
    </comment>
    <comment ref="D120" authorId="0" shapeId="0">
      <text>
        <r>
          <rPr>
            <sz val="9"/>
            <color indexed="81"/>
            <rFont val="Tahoma"/>
            <family val="2"/>
          </rPr>
          <t xml:space="preserve">
Omgerekend naar schooljaar met 5/12e en 7/12e.</t>
        </r>
      </text>
    </comment>
    <comment ref="D130" authorId="0" shapeId="0">
      <text>
        <r>
          <rPr>
            <sz val="9"/>
            <color indexed="81"/>
            <rFont val="Tahoma"/>
            <family val="2"/>
          </rPr>
          <t xml:space="preserve">
Omgerekend naar schooljaar met 5/12e en 7/12e.</t>
        </r>
      </text>
    </comment>
    <comment ref="D135" authorId="0" shapeId="0">
      <text>
        <r>
          <rPr>
            <sz val="9"/>
            <color indexed="81"/>
            <rFont val="Tahoma"/>
            <family val="2"/>
          </rPr>
          <t xml:space="preserve">
Omgerekend naar schooljaar met 5/12e en 7/12e.</t>
        </r>
      </text>
    </comment>
    <comment ref="D141" authorId="0" shapeId="0">
      <text>
        <r>
          <rPr>
            <sz val="9"/>
            <color indexed="81"/>
            <rFont val="Tahoma"/>
            <family val="2"/>
          </rPr>
          <t xml:space="preserve">
Omgerekend naar schooljaar met 5/12e en 7/12e.</t>
        </r>
      </text>
    </comment>
    <comment ref="D146" authorId="0" shapeId="0">
      <text>
        <r>
          <rPr>
            <sz val="9"/>
            <color indexed="81"/>
            <rFont val="Tahoma"/>
            <family val="2"/>
          </rPr>
          <t xml:space="preserve">
Omgerekend naar schooljaar met 5/12e en 7/12e.</t>
        </r>
      </text>
    </comment>
    <comment ref="D152" authorId="0" shapeId="0">
      <text>
        <r>
          <rPr>
            <sz val="9"/>
            <color indexed="81"/>
            <rFont val="Tahoma"/>
            <family val="2"/>
          </rPr>
          <t xml:space="preserve">
Omgerekend naar schooljaar met 5/12e en 7/12e.</t>
        </r>
      </text>
    </comment>
    <comment ref="D157" authorId="0" shapeId="0">
      <text>
        <r>
          <rPr>
            <sz val="9"/>
            <color indexed="81"/>
            <rFont val="Tahoma"/>
            <family val="2"/>
          </rPr>
          <t xml:space="preserve">
Omgerekend naar schooljaar met 5/12e en 7/12e.</t>
        </r>
      </text>
    </comment>
    <comment ref="D163" authorId="0" shapeId="0">
      <text>
        <r>
          <rPr>
            <sz val="9"/>
            <color indexed="81"/>
            <rFont val="Tahoma"/>
            <family val="2"/>
          </rPr>
          <t xml:space="preserve">
Omgerekend naar schooljaar met 5/12e en 7/12e.</t>
        </r>
      </text>
    </comment>
    <comment ref="D168" authorId="0" shapeId="0">
      <text>
        <r>
          <rPr>
            <sz val="9"/>
            <color indexed="81"/>
            <rFont val="Tahoma"/>
            <family val="2"/>
          </rPr>
          <t xml:space="preserve">
Omgerekend naar schooljaar met 5/12e en 7/12e.</t>
        </r>
      </text>
    </comment>
    <comment ref="D174" authorId="0" shapeId="0">
      <text>
        <r>
          <rPr>
            <sz val="9"/>
            <color indexed="81"/>
            <rFont val="Tahoma"/>
            <family val="2"/>
          </rPr>
          <t xml:space="preserve">
Omgerekend naar schooljaar met 5/12e en 7/12e.</t>
        </r>
      </text>
    </comment>
    <comment ref="D179" authorId="0" shapeId="0">
      <text>
        <r>
          <rPr>
            <sz val="9"/>
            <color indexed="81"/>
            <rFont val="Tahoma"/>
            <family val="2"/>
          </rPr>
          <t xml:space="preserve">
Omgerekend naar schooljaar met 5/12e en 7/12e.</t>
        </r>
      </text>
    </comment>
    <comment ref="D185" authorId="0" shapeId="0">
      <text>
        <r>
          <rPr>
            <sz val="9"/>
            <color indexed="81"/>
            <rFont val="Tahoma"/>
            <family val="2"/>
          </rPr>
          <t xml:space="preserve">
Omgerekend naar schooljaar met 5/12e en 7/12e.</t>
        </r>
      </text>
    </comment>
    <comment ref="D190" authorId="0" shapeId="0">
      <text>
        <r>
          <rPr>
            <sz val="9"/>
            <color indexed="81"/>
            <rFont val="Tahoma"/>
            <family val="2"/>
          </rPr>
          <t xml:space="preserve">
Omgerekend naar schooljaar met 5/12e en 7/12e.</t>
        </r>
      </text>
    </comment>
    <comment ref="D196" authorId="0" shapeId="0">
      <text>
        <r>
          <rPr>
            <sz val="9"/>
            <color indexed="81"/>
            <rFont val="Tahoma"/>
            <family val="2"/>
          </rPr>
          <t xml:space="preserve">
Omgerekend naar schooljaar met 5/12e en 7/12e.</t>
        </r>
      </text>
    </comment>
    <comment ref="D201" authorId="0" shapeId="0">
      <text>
        <r>
          <rPr>
            <sz val="9"/>
            <color indexed="81"/>
            <rFont val="Tahoma"/>
            <family val="2"/>
          </rPr>
          <t xml:space="preserve">
Omgerekend naar schooljaar met 5/12e en 7/12e.</t>
        </r>
      </text>
    </comment>
  </commentList>
</comments>
</file>

<file path=xl/comments12.xml><?xml version="1.0" encoding="utf-8"?>
<comments xmlns="http://schemas.openxmlformats.org/spreadsheetml/2006/main">
  <authors>
    <author>Bé Keizer</author>
  </authors>
  <commentList>
    <comment ref="D66" authorId="0" shapeId="0">
      <text>
        <r>
          <rPr>
            <sz val="9"/>
            <color indexed="81"/>
            <rFont val="Tahoma"/>
            <family val="2"/>
          </rPr>
          <t xml:space="preserve">
Aanloopschalen a1 en a2 achterwege gelaten.</t>
        </r>
      </text>
    </comment>
  </commentList>
</comments>
</file>

<file path=xl/comments2.xml><?xml version="1.0" encoding="utf-8"?>
<comments xmlns="http://schemas.openxmlformats.org/spreadsheetml/2006/main">
  <authors>
    <author>Auteur</author>
    <author>Keizer</author>
  </authors>
  <commentList>
    <comment ref="I11" authorId="0" shapeId="0">
      <text>
        <r>
          <rPr>
            <sz val="9"/>
            <color indexed="81"/>
            <rFont val="Tahoma"/>
            <family val="2"/>
          </rPr>
          <t xml:space="preserve">
Sinds juni 2014 worden deze bedragen uitgesplitst in het personele en het materiële deel. De opgave van OCW van april 2015 voor 2015-2016 hier opnemen.</t>
        </r>
      </text>
    </comment>
    <comment ref="D49" authorId="1" shapeId="0">
      <text>
        <r>
          <rPr>
            <sz val="9"/>
            <color indexed="81"/>
            <rFont val="Tahoma"/>
            <family val="2"/>
          </rPr>
          <t xml:space="preserve">
Het betreft hier het aantal leerlingen van de SO-school dat uitsluitend aan dit samenwerkingsverband wordt toegerekend.</t>
        </r>
      </text>
    </comment>
    <comment ref="D57"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65"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73"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81"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89"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97"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106"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114"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122"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130"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138"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146"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154"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162"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170"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186"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194"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202"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210"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218"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226"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234"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242"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250"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258"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266"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274"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282"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290"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 ref="D298" authorId="1" shapeId="0">
      <text>
        <r>
          <rPr>
            <sz val="9"/>
            <color indexed="81"/>
            <rFont val="Tahoma"/>
            <family val="2"/>
          </rPr>
          <t xml:space="preserve">
Wanneer er voor gekozen wordt om de personele basisbekostiging o.b.v. de peildatum aanvullend over te dragen, kan dit gebeuren met de gewogen gemiddelde leeftijd (GGL) van de leraren landelijk of met die van de school. De basisbekostiging o.b.v. de 1 oktobertelling vindt plaats op basis van de school GGL maar het advies is om dat niet te doen voor de aanvulllende bekostiging op de peildatum omdat een complexe prognose ervan vergt die vrijwel niet te geven is. Ingevuld is de landelijke GGL zoals die van kracht is voor het schooljaar 2012-2013 maar die kunt u desgewenst zelf overschrijven. De GGL voor de komende jaren vergt dus een zeer lastige raming daarvan voor die jaren.</t>
        </r>
      </text>
    </comment>
  </commentList>
</comments>
</file>

<file path=xl/comments3.xml><?xml version="1.0" encoding="utf-8"?>
<comments xmlns="http://schemas.openxmlformats.org/spreadsheetml/2006/main">
  <authors>
    <author>B. Keizer</author>
    <author>Auteur</author>
  </authors>
  <commentList>
    <comment ref="D20" authorId="0" shapeId="0">
      <text>
        <r>
          <rPr>
            <sz val="9"/>
            <color indexed="81"/>
            <rFont val="Tahoma"/>
            <family val="2"/>
          </rPr>
          <t xml:space="preserve">
Indexering cf. Reg bek Pers PO okt 2015 art. 29.</t>
        </r>
      </text>
    </comment>
    <comment ref="D44" authorId="0" shapeId="0">
      <text>
        <r>
          <rPr>
            <sz val="9"/>
            <color indexed="81"/>
            <rFont val="Tahoma"/>
            <family val="2"/>
          </rPr>
          <t xml:space="preserve">
Indexering cf. Reg bek Pers PO okt 2015 art. 29.</t>
        </r>
      </text>
    </comment>
    <comment ref="C75" authorId="1" shapeId="0">
      <text>
        <r>
          <rPr>
            <sz val="9"/>
            <color indexed="81"/>
            <rFont val="Tahoma"/>
            <family val="2"/>
          </rPr>
          <t xml:space="preserve">
Op grond van de teldatum 1 okt. 2013 wordt het budget ambulante begeleiding berekend dat de scholen SO ontvangen in 2014-2015. Dit budget is tevens het budget op grond waarvan het SWV trekkingsrechten heeft t.o.v. de scholen in 2014-2015. En het is het AB-budget waarvoor in principe een bestedingsverplichting geldt van het SWV in 2015-2016 aan de scholen SO. Uiteraard wordt overname van personeel en natuurlijk verloop in mindering gebracht op deze verplichting. Voor het SWV geldt een inspanningsverplichting om expertise en ervaring - voor zover daaraan in het SWV behoefte bestaat - zoveel mogelijk in te zetten.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 ref="D82" authorId="1" shapeId="0">
      <text>
        <r>
          <rPr>
            <sz val="9"/>
            <color indexed="81"/>
            <rFont val="Tahoma"/>
            <family val="2"/>
          </rPr>
          <t xml:space="preserve">
Dit is het budget AB dat in 2014-2015 aan het SO is toegekend en waarop het SWV trekkingsrechten heeft. Dit is een deel van het budget in 2015-2016 waarvoor de herbestedingsverplichting conform het tripartite akkoord geldt van het SWV bij het SO, rekening houdend met overname personeel en natuurlijk verloop, en de behoefte van het SWV aan deze expertise.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 ref="D91" authorId="1" shapeId="0">
      <text>
        <r>
          <rPr>
            <sz val="9"/>
            <color indexed="81"/>
            <rFont val="Tahoma"/>
            <family val="2"/>
          </rPr>
          <t xml:space="preserve">
Het budget PAB dat in het schooljaar 2014/15 is toegekend aan het SO als personele bekostiging valt in principe ook onder het budget AB waarvoor de herbestedingsverplichting conform het tripartiteakkoord geldt. Dit budget varieert per leerling per schoolsoort. De herbestedingsverplichtingen hebben </t>
        </r>
        <r>
          <rPr>
            <b/>
            <sz val="9"/>
            <color indexed="81"/>
            <rFont val="Tahoma"/>
            <family val="2"/>
          </rPr>
          <t>alleen</t>
        </r>
        <r>
          <rPr>
            <sz val="9"/>
            <color indexed="81"/>
            <rFont val="Tahoma"/>
            <family val="2"/>
          </rPr>
          <t xml:space="preserve"> betrekking op de personele bekostiging. De benodigde gegevens zijn te vinden in de sheets voor 2014-2015 die op de website van passendonderwijs.nl hebben gestaan.</t>
        </r>
      </text>
    </comment>
    <comment ref="D100" authorId="1" shapeId="0">
      <text>
        <r>
          <rPr>
            <sz val="9"/>
            <color indexed="81"/>
            <rFont val="Tahoma"/>
            <family val="2"/>
          </rPr>
          <t xml:space="preserve">
In het budget personeels- en arbeidsmarktbeleid zit een component AB dat voor iedere leerling SO die teruggeplaatst is naar het reguliere onderwijs wordt toegekend. Ook dit budget valt in principe onder de herbestedingsverplichting conform het tripartite akkoord. De herbestedingsverplichtingen hebben </t>
        </r>
        <r>
          <rPr>
            <b/>
            <sz val="9"/>
            <color indexed="81"/>
            <rFont val="Tahoma"/>
            <family val="2"/>
          </rPr>
          <t>alleen</t>
        </r>
        <r>
          <rPr>
            <sz val="9"/>
            <color indexed="81"/>
            <rFont val="Tahoma"/>
            <family val="2"/>
          </rPr>
          <t xml:space="preserve"> betrekking op de personele bekostiging.
</t>
        </r>
      </text>
    </comment>
    <comment ref="D102" authorId="1" shapeId="0">
      <text>
        <r>
          <rPr>
            <sz val="9"/>
            <color indexed="81"/>
            <rFont val="Tahoma"/>
            <family val="2"/>
          </rPr>
          <t xml:space="preserve">
Dit is het </t>
        </r>
        <r>
          <rPr>
            <b/>
            <sz val="9"/>
            <color indexed="81"/>
            <rFont val="Tahoma"/>
            <family val="2"/>
          </rPr>
          <t>maximale</t>
        </r>
        <r>
          <rPr>
            <sz val="9"/>
            <color indexed="81"/>
            <rFont val="Tahoma"/>
            <family val="2"/>
          </rPr>
          <t xml:space="preserve"> budget waarvoor de herbestedingsverplichting geldt conform het tripartite akkoord en waaraan het SWV behoefte heeft tot overname/gebruik van deze expertise. De wijze van berekenen van PAB en van de component AB van het budget P&amp;A beleid als onderdeel van de herbestedingsverplichting is niet vastgelegd. Hier wordt de maximale variant gehanteerd waarvoor de herbestedingsverplichting </t>
        </r>
        <r>
          <rPr>
            <u/>
            <sz val="9"/>
            <color indexed="81"/>
            <rFont val="Tahoma"/>
            <family val="2"/>
          </rPr>
          <t>kan</t>
        </r>
        <r>
          <rPr>
            <sz val="9"/>
            <color indexed="81"/>
            <rFont val="Tahoma"/>
            <family val="2"/>
          </rPr>
          <t xml:space="preserve"> gelden. Overname van personeel en natuurlijk verloop vermindert deze herbestedingsverplichting. De herbestedingsverplichtingen hebben </t>
        </r>
        <r>
          <rPr>
            <b/>
            <sz val="9"/>
            <color indexed="81"/>
            <rFont val="Tahoma"/>
            <family val="2"/>
          </rPr>
          <t>alleen</t>
        </r>
        <r>
          <rPr>
            <sz val="9"/>
            <color indexed="81"/>
            <rFont val="Tahoma"/>
            <family val="2"/>
          </rPr>
          <t xml:space="preserve"> betrekking op de personele bekostiging.
</t>
        </r>
      </text>
    </comment>
    <comment ref="F105" authorId="1" shapeId="0">
      <text>
        <r>
          <rPr>
            <sz val="9"/>
            <color indexed="81"/>
            <rFont val="Tahoma"/>
            <family val="2"/>
          </rPr>
          <t xml:space="preserve">
Conform artikel 29 Reg bek pers onderst ll PO en VO 26okt2015.</t>
        </r>
      </text>
    </comment>
  </commentList>
</comments>
</file>

<file path=xl/comments4.xml><?xml version="1.0" encoding="utf-8"?>
<comments xmlns="http://schemas.openxmlformats.org/spreadsheetml/2006/main">
  <authors>
    <author>Keizer</author>
    <author>B. Keizer</author>
    <author>Auteur</author>
  </authors>
  <commentList>
    <comment ref="D114" authorId="0" shapeId="0">
      <text>
        <r>
          <rPr>
            <sz val="9"/>
            <color indexed="81"/>
            <rFont val="Tahoma"/>
            <family val="2"/>
          </rPr>
          <t xml:space="preserve">
Het betreft zowel de  basisbekostiging personeel als de ondersteuningsbekostiging personeel. Zie voor berekening werkblad 'peildatum SBO'.</t>
        </r>
      </text>
    </comment>
    <comment ref="D134" authorId="1" shapeId="0">
      <text>
        <r>
          <rPr>
            <sz val="9"/>
            <color indexed="81"/>
            <rFont val="Tahoma"/>
            <family val="2"/>
          </rPr>
          <t xml:space="preserve">
Vul hier de uitkomst in die verkregen wordt uit de Kijkdoos SWV PO voor schooljaar 2015-2016. Maak een raming voor de daaropvolgende jaren.</t>
        </r>
      </text>
    </comment>
    <comment ref="D137" authorId="2" shapeId="0">
      <text>
        <r>
          <rPr>
            <sz val="9"/>
            <color indexed="81"/>
            <rFont val="Tahoma"/>
            <family val="2"/>
          </rPr>
          <t xml:space="preserve">
Op grond van de teldatum 1 okt. 2013 wordt het budget ambulante begeleiding berekend dat de scholen SO ontvangen in 2014-2015. Dit budget is tevens het budget op grond waarvan het SWV trekkingsrechten heeft t.o.v. de scholen in 2014-2015. En het is het AB-budget waarvoor in principe een bestedingsverplichting geldt van het SWV in 2015-2016 aan de scholen SO. Uiteraard wordt overname van personeel en natuurlijk verloop in mindering gebracht op deze verplichting. Voor het SWV geldt een inspanningsverplichting om expertise en ervaring - voor zover daaraan in het SWV behoefte bestaat - zoveel mogelijk in te zetten. De trekkingsrechten en herbestedingsverplichtingen hebben </t>
        </r>
        <r>
          <rPr>
            <b/>
            <sz val="9"/>
            <color indexed="81"/>
            <rFont val="Tahoma"/>
            <family val="2"/>
          </rPr>
          <t>alleen</t>
        </r>
        <r>
          <rPr>
            <sz val="9"/>
            <color indexed="81"/>
            <rFont val="Tahoma"/>
            <family val="2"/>
          </rPr>
          <t xml:space="preserve"> betrekking op de personele bekostiging.</t>
        </r>
      </text>
    </comment>
    <comment ref="D138" authorId="2" shapeId="0">
      <text>
        <r>
          <rPr>
            <sz val="9"/>
            <color indexed="81"/>
            <rFont val="Tahoma"/>
            <family val="2"/>
          </rPr>
          <t xml:space="preserve">
De kosten van de arrangementen is hier gesteld op het niveau van het schooldeel rugzakken o.b.v. 1 okt. 2013. Vul hier de echte kosten in.</t>
        </r>
      </text>
    </comment>
  </commentList>
</comments>
</file>

<file path=xl/comments5.xml><?xml version="1.0" encoding="utf-8"?>
<comments xmlns="http://schemas.openxmlformats.org/spreadsheetml/2006/main">
  <authors>
    <author>B. Keizer</author>
  </authors>
  <commentList>
    <comment ref="E10" authorId="0" shapeId="0">
      <text>
        <r>
          <rPr>
            <sz val="9"/>
            <color indexed="81"/>
            <rFont val="Tahoma"/>
            <family val="2"/>
          </rPr>
          <t xml:space="preserve">
Hier wordt het bedrag overgenomen dat ingevuld is in het werkblad 'pers' waar de uitkomst is opgenomen uit de Kijkdoos SWV PO voor schooljaar 2015-2016 met een raming voor de daaropvolgende jaren.</t>
        </r>
      </text>
    </comment>
    <comment ref="E23" authorId="0" shapeId="0">
      <text>
        <r>
          <rPr>
            <sz val="9"/>
            <color indexed="81"/>
            <rFont val="Tahoma"/>
            <family val="2"/>
          </rPr>
          <t xml:space="preserve">
Hier wordt het bedrag overgenomen dat ingevuld is in het werkblad 'mat' waar de uitkomst is opgenomen uit de Kijkdoos SWV PO voor kalenderjaar 2015 met een raming voor de daaropvolgende jaren.</t>
        </r>
      </text>
    </comment>
  </commentList>
</comments>
</file>

<file path=xl/comments6.xml><?xml version="1.0" encoding="utf-8"?>
<comments xmlns="http://schemas.openxmlformats.org/spreadsheetml/2006/main">
  <authors>
    <author>Reinier Goedhart</author>
  </authors>
  <commentList>
    <comment ref="U12" authorId="0" shapeId="0">
      <text>
        <r>
          <rPr>
            <sz val="10"/>
            <color indexed="81"/>
            <rFont val="Tahoma"/>
            <family val="2"/>
          </rPr>
          <t xml:space="preserve">Dit zijn de loonkosten </t>
        </r>
        <r>
          <rPr>
            <b/>
            <sz val="10"/>
            <color indexed="81"/>
            <rFont val="Tahoma"/>
            <family val="2"/>
          </rPr>
          <t>EXCLUSIEF</t>
        </r>
        <r>
          <rPr>
            <sz val="10"/>
            <color indexed="81"/>
            <rFont val="Tahoma"/>
            <family val="2"/>
          </rPr>
          <t xml:space="preserve"> de kosten van de vervanger. Duurzame inzetbaarheid leidt voor de persoon die deze uren opneemt daarom tot lagere loonkosten. De vervanger moet dus apart worden opgenomen in dit overzicht</t>
        </r>
        <r>
          <rPr>
            <sz val="9"/>
            <color indexed="81"/>
            <rFont val="Tahoma"/>
            <family val="2"/>
          </rPr>
          <t xml:space="preserve">
</t>
        </r>
      </text>
    </comment>
  </commentList>
</comments>
</file>

<file path=xl/comments7.xml><?xml version="1.0" encoding="utf-8"?>
<comments xmlns="http://schemas.openxmlformats.org/spreadsheetml/2006/main">
  <authors>
    <author>Keizer</author>
    <author>B. Keizer</author>
    <author>Auteur</author>
  </authors>
  <commentList>
    <comment ref="D132" authorId="0" shapeId="0">
      <text>
        <r>
          <rPr>
            <sz val="9"/>
            <color indexed="81"/>
            <rFont val="Tahoma"/>
            <family val="2"/>
          </rPr>
          <t xml:space="preserve">
Bij keuze voor peildatum betreft het zowel het basisbedrag als het zorgbedrag.
Zie voor berekening werkblad 'overdracht SBO'.</t>
        </r>
      </text>
    </comment>
    <comment ref="D146" authorId="0" shapeId="0">
      <text>
        <r>
          <rPr>
            <sz val="9"/>
            <color indexed="81"/>
            <rFont val="Tahoma"/>
            <family val="2"/>
          </rPr>
          <t xml:space="preserve">
Zie voor berekening werkblad 'overdracht SO'.</t>
        </r>
      </text>
    </comment>
    <comment ref="D147" authorId="1" shapeId="0">
      <text>
        <r>
          <rPr>
            <sz val="9"/>
            <color indexed="81"/>
            <rFont val="Tahoma"/>
            <family val="2"/>
          </rPr>
          <t xml:space="preserve">
Vul hier de uitkomst in die verkregen wordt uit de Kijkdoos SWV PO voor kalenderjaar 2015. Maak een raming voor de daaropvolgende jaren.</t>
        </r>
      </text>
    </comment>
    <comment ref="D149" authorId="2" shapeId="0">
      <text>
        <r>
          <rPr>
            <sz val="9"/>
            <color indexed="81"/>
            <rFont val="Tahoma"/>
            <family val="2"/>
          </rPr>
          <t xml:space="preserve">
De kosten van de arrangementen is hier gesteld op het niveau van het schooldeel rugzakken o.b.v. 1 okt. 2013. Vul hier de echte kosten in.</t>
        </r>
      </text>
    </comment>
    <comment ref="O195" authorId="0" shapeId="0">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8.xml><?xml version="1.0" encoding="utf-8"?>
<comments xmlns="http://schemas.openxmlformats.org/spreadsheetml/2006/main">
  <authors>
    <author>B. Keizer</author>
  </authors>
  <commentList>
    <comment ref="H218" authorId="0" shapeId="0">
      <text>
        <r>
          <rPr>
            <sz val="9"/>
            <color indexed="81"/>
            <rFont val="Tahoma"/>
            <family val="2"/>
          </rPr>
          <t xml:space="preserve">
Omdat de gegevens van het schooljaar 14-15 ontbreken, is het niet mogelijk automatisch het bedrag over het gehele kalenderjaar 2015 te berekenen.</t>
        </r>
      </text>
    </comment>
  </commentList>
</comments>
</file>

<file path=xl/comments9.xml><?xml version="1.0" encoding="utf-8"?>
<comments xmlns="http://schemas.openxmlformats.org/spreadsheetml/2006/main">
  <authors>
    <author>goedhartr</author>
  </authors>
  <commentList>
    <comment ref="D39" authorId="0" shapeId="0">
      <text>
        <r>
          <rPr>
            <sz val="8"/>
            <color indexed="81"/>
            <rFont val="Tahoma"/>
            <family val="2"/>
          </rPr>
          <t xml:space="preserve">
</t>
        </r>
        <r>
          <rPr>
            <sz val="10"/>
            <color indexed="81"/>
            <rFont val="Tahoma"/>
            <family val="2"/>
          </rPr>
          <t xml:space="preserve">voor bepaling hoogte voorziening jubliea, zie toolbox PO-Raad
</t>
        </r>
        <r>
          <rPr>
            <sz val="8"/>
            <color indexed="81"/>
            <rFont val="Tahoma"/>
            <family val="2"/>
          </rPr>
          <t xml:space="preserve">
</t>
        </r>
      </text>
    </comment>
    <comment ref="D40" authorId="0" shapeId="0">
      <text>
        <r>
          <rPr>
            <sz val="8"/>
            <color indexed="81"/>
            <rFont val="Tahoma"/>
            <family val="2"/>
          </rPr>
          <t xml:space="preserve">
</t>
        </r>
        <r>
          <rPr>
            <sz val="10"/>
            <color indexed="81"/>
            <rFont val="Tahoma"/>
            <family val="2"/>
          </rPr>
          <t xml:space="preserve">voor bepaling hoogte voorziening duurzame inzetbaarheid (ouderenverlof), zie toolbox financiën
</t>
        </r>
        <r>
          <rPr>
            <sz val="8"/>
            <color indexed="81"/>
            <rFont val="Tahoma"/>
            <family val="2"/>
          </rPr>
          <t xml:space="preserve">
</t>
        </r>
      </text>
    </comment>
  </commentList>
</comments>
</file>

<file path=xl/sharedStrings.xml><?xml version="1.0" encoding="utf-8"?>
<sst xmlns="http://schemas.openxmlformats.org/spreadsheetml/2006/main" count="2798" uniqueCount="1048">
  <si>
    <t>vast</t>
  </si>
  <si>
    <t>leeftijdsafh.</t>
  </si>
  <si>
    <t xml:space="preserve">per leerling &lt; 8 jr </t>
  </si>
  <si>
    <t>per leerling 8 jr en ouder</t>
  </si>
  <si>
    <t>fte</t>
  </si>
  <si>
    <t>per leerling VSO</t>
  </si>
  <si>
    <t>Basisbedragen (V)SO Personeel</t>
  </si>
  <si>
    <t>Basisbedragen (V)SO Materieel</t>
  </si>
  <si>
    <t>per leerling P&amp;A</t>
  </si>
  <si>
    <t xml:space="preserve">WEC de gpl bedragen </t>
  </si>
  <si>
    <t>extra 1e toeslag</t>
  </si>
  <si>
    <t>Toeslag directie</t>
  </si>
  <si>
    <t xml:space="preserve">OOP </t>
  </si>
  <si>
    <t>OP leeftijdsgecorrigeerd : voet</t>
  </si>
  <si>
    <t>OP leeftijdsgecorrigeerd : bedrag * GGL</t>
  </si>
  <si>
    <t>basisbekostiging</t>
  </si>
  <si>
    <t xml:space="preserve">&lt; 8 jr </t>
  </si>
  <si>
    <t>8 jr en ouder</t>
  </si>
  <si>
    <t>per leerling</t>
  </si>
  <si>
    <t>VSO</t>
  </si>
  <si>
    <t>over te dragen Pers</t>
  </si>
  <si>
    <t>over te dragen Mat</t>
  </si>
  <si>
    <t>bijdrage besturen Pers</t>
  </si>
  <si>
    <t>bijdrage besturen Mat</t>
  </si>
  <si>
    <t>Overgangsbudget SWV ZO</t>
  </si>
  <si>
    <t>Werkblad 'geg LO'</t>
  </si>
  <si>
    <t xml:space="preserve">De kosten van personeelsleden - niet aangesteld bij het SWV - moeten geraamd worden. Het betreft dan werknemers die in dienst zijn bij een </t>
  </si>
  <si>
    <t>Werkblad 'geg ZO'</t>
  </si>
  <si>
    <r>
      <t>Aantal leerlingen basisonderwijs:</t>
    </r>
    <r>
      <rPr>
        <sz val="10"/>
        <rFont val="Calibri"/>
        <family val="2"/>
      </rPr>
      <t xml:space="preserve"> Het feitelijk aantal leerlingen op 1 oktober T-1 op de basisscholen resp. de SBO's. </t>
    </r>
  </si>
  <si>
    <t>Deze aantallen worden ontleend aan de opgave van het werkblad geg LO.</t>
  </si>
  <si>
    <t>Werkblad 'bas LO' (verborgen)</t>
  </si>
  <si>
    <t>Het geeft ook het ondersteuningsbedrag dat per school wordt berekend en toegekend wordt aan het samenwerkingsverband per kalenderjaar.</t>
  </si>
  <si>
    <t>Werkblad 'bas ZO' (verborgen)</t>
  </si>
  <si>
    <t>geeft de berekening van het personele budget LO dat - per school berekend - naar het samenwerkingsverband gaat.</t>
  </si>
  <si>
    <t>geeft de berekening van het personele budget ZO dat - per school berekend - naar het samenwerkingsverband gaat.</t>
  </si>
  <si>
    <t xml:space="preserve">goed weer wat het uitgangspunt dient te zijn voor de besteding van de ondersteuningsmiddelen die onder de verantwoordelijkheid van het </t>
  </si>
  <si>
    <t>maximale bijdrage ondersteuning</t>
  </si>
  <si>
    <t>ondersteuningsbedrag basisscholen</t>
  </si>
  <si>
    <t>Overdracht ivm leerlingen SO op 1 okt T-1</t>
  </si>
  <si>
    <t>Overdracht ivm leerlingen SO op peildatum</t>
  </si>
  <si>
    <t xml:space="preserve"> </t>
  </si>
  <si>
    <t>SPECIFICATIE GEGEVENS SCHOLEN BASISONDERWIJS</t>
  </si>
  <si>
    <t>BASISSCHOLEN</t>
  </si>
  <si>
    <t>SBO'S</t>
  </si>
  <si>
    <t>TOTAAL BASISSCHOLEN EN SBO'S</t>
  </si>
  <si>
    <t>2020/21</t>
  </si>
  <si>
    <t xml:space="preserve">In dit werkblad kunnen de gegevens per basisschool en SBO worden opgegeven. De invoering van de feitelijke leerlingaantallen per 1 oktober </t>
  </si>
  <si>
    <t>BASISGEGEVENS LICHTE ONDERSTEUNING</t>
  </si>
  <si>
    <t>BASISGEGEVENS ZWARE ONDERSTEUNING</t>
  </si>
  <si>
    <t>Voor bepaling overgangsbudget SWV</t>
  </si>
  <si>
    <t>Overdrachtsverplichting personeel via DUO 1 okt T-1</t>
  </si>
  <si>
    <t>Overdrachtsverplichting materieel via DUO 1 okt T-1</t>
  </si>
  <si>
    <t>Rijksbijdragen OCW - lichte ondersteuning</t>
  </si>
  <si>
    <t xml:space="preserve">Rijksbijdragen OCW </t>
  </si>
  <si>
    <t xml:space="preserve">Personele lasten </t>
  </si>
  <si>
    <t>lichte ondersteuning</t>
  </si>
  <si>
    <t>zware ondersteuning</t>
  </si>
  <si>
    <t>PERSONEEL SAMENWERKINGSVERBAND</t>
  </si>
  <si>
    <t>Categorie</t>
  </si>
  <si>
    <t xml:space="preserve">Het instrument volgt de compartimentering van de lichte en de zware ondersteuning (LO resp. ZO) zoals die in de wet is vastgelegd. Daarom worden de </t>
  </si>
  <si>
    <t>baten en lasten steeds zo weergegeven en verwerkt dat het mogelijk is de ontwikkeling van de lichte en de zware ondersteuning afzonderlijk te volgen.</t>
  </si>
  <si>
    <t xml:space="preserve">Het beperkt zich tot alleen de begroting van het samenwerkingsverband. </t>
  </si>
  <si>
    <t xml:space="preserve">in verband met het aantal leerlingen op de tel- en de peildatum. </t>
  </si>
  <si>
    <t>Die dient geleverd te worden door de SBO resp. de SO-school zelf, zo nodig in overleg.</t>
  </si>
  <si>
    <t xml:space="preserve">De hierna volgende toelichting bij de werkbladen heeft betrekking op de werkbladen met veelal het onderscheid Lichte Ondersteuning (LO) resp.  </t>
  </si>
  <si>
    <t>benodigd ondersteuningsbedrag Pers aan SO</t>
  </si>
  <si>
    <t>bekostiging SWV voor ZO voor Pers</t>
  </si>
  <si>
    <t>Zware Ondersteuning (ZO).</t>
  </si>
  <si>
    <t xml:space="preserve">Werkblad 'pers' </t>
  </si>
  <si>
    <t xml:space="preserve">Werkblad 'mat' </t>
  </si>
  <si>
    <t xml:space="preserve">In dit werkblad worden de baten en lasten van de materiële exploitatie (Londo) verwerkt, uitgesplitst naar LO en ZO. </t>
  </si>
  <si>
    <t>Werkblad 'mip'</t>
  </si>
  <si>
    <t>Werkblad 'act'</t>
  </si>
  <si>
    <t>gegevens uit het meerjareninvesteringsplan (werkblad 'mip') automatisch verwerkt, evenals de afschrijvingsbedragen.</t>
  </si>
  <si>
    <t>Werkblad 'begr'</t>
  </si>
  <si>
    <t>In dit werkblad wordt de Staat van baten en lasten integraal weergegeven. Vrijwel alle gegevens worden ontleend aan de hiervoor ingevulde</t>
  </si>
  <si>
    <t xml:space="preserve">jaarrekening m.b.t. de staat van baten en lasten en de balans. </t>
  </si>
  <si>
    <t xml:space="preserve">maakt en er geen 'vloer' in de bekostiging zit overeenkomstig de 2% voor het SBO. Wel wordt de eventuele extra bijdrage aan het samenwerkingsverband </t>
  </si>
  <si>
    <r>
      <t xml:space="preserve">Aantal leerlingen SBO: </t>
    </r>
    <r>
      <rPr>
        <sz val="10"/>
        <rFont val="Calibri"/>
        <family val="2"/>
      </rPr>
      <t>Er is ruimte voor 15 SBO's.</t>
    </r>
  </si>
  <si>
    <t>Leerlingen SO t.o.v. alle leerlingen SWV</t>
  </si>
  <si>
    <t>Leerlingen SO t.o.v leerlingen (speciaal) basisonderwijs</t>
  </si>
  <si>
    <t>(gedurende tenminste de komende vijf jaren) in kaart worden gebracht.</t>
  </si>
  <si>
    <t>Werkblad 'hlpbl' (verborgen)</t>
  </si>
  <si>
    <t>overhead'-kosten van incidentele of specifieke aard en kosten die verband houden met huisvesting, administratie, personeelsbeleid e.d.</t>
  </si>
  <si>
    <r>
      <t>percentage zelf te berekenen voor de eigen situatie</t>
    </r>
    <r>
      <rPr>
        <sz val="10"/>
        <rFont val="Calibri"/>
        <family val="2"/>
      </rPr>
      <t xml:space="preserve"> omdat dit een nogal groot effect kan hebben. Buiten beeld blijven dan nog de eventuele </t>
    </r>
  </si>
  <si>
    <t>bijdrage per leerling bas, sbo en so</t>
  </si>
  <si>
    <t xml:space="preserve">werkbladen. Alleen de gegevens omtrent de financiële baten en lasten moeten nog worden opgegeven. </t>
  </si>
  <si>
    <t>Werkblad 'bal'</t>
  </si>
  <si>
    <t>Werkblad 'liq'</t>
  </si>
  <si>
    <t>Daarnaast is het nodig om een liquiditeitenplanning te maken van maand tot maand zodat duidelijk is dat er altijd voldoende geld beschikbaar is.</t>
  </si>
  <si>
    <t xml:space="preserve">worden gebracht. Hiervoor is het vereist dat alle investeringen vanaf 1 augustus 2014 en de toekomstige investeringen </t>
  </si>
  <si>
    <t xml:space="preserve">De uitgaven aan basisscholen en SBO (voor SBO boven de overdrachtsverplichtingen) kunnen hier gespecificeerd worden. Iemand met ervaring in Excel </t>
  </si>
  <si>
    <t>personeel</t>
  </si>
  <si>
    <t>lichamelijk gehandicapte kinderen</t>
  </si>
  <si>
    <t>langdurig zieke kinderen met een lichamelijke handicap</t>
  </si>
  <si>
    <t>zeer moeilijk lerende kinderen</t>
  </si>
  <si>
    <t>meervoudig gehandicapte leerlingen</t>
  </si>
  <si>
    <t>materieel</t>
  </si>
  <si>
    <t>Naam SBO 10</t>
  </si>
  <si>
    <t>Naam SBO 11</t>
  </si>
  <si>
    <t>Naam SBO 12</t>
  </si>
  <si>
    <t>Naam SBO 13</t>
  </si>
  <si>
    <t>Naam SBO 14</t>
  </si>
  <si>
    <t>Naam SBO 15</t>
  </si>
  <si>
    <t>aanvulling</t>
  </si>
  <si>
    <t>korting</t>
  </si>
  <si>
    <t>Lichte ondersteuning</t>
  </si>
  <si>
    <t>Zware ondersteuning</t>
  </si>
  <si>
    <t>BEGROTING SAMENWERKINGSVERBAND</t>
  </si>
  <si>
    <t xml:space="preserve">kan een eigen regeling van het SWV omtrent toekenning van middelen aan de scholen automatisch laten berekenen. Omdat het hier naar verwachting </t>
  </si>
  <si>
    <t>al dan niet in het verband deelnemend bevoegd gezag of op een andere wijze ingeschakeld worden. Daarvoor is dit hulpblad bedoeld.</t>
  </si>
  <si>
    <r>
      <t xml:space="preserve">Het </t>
    </r>
    <r>
      <rPr>
        <b/>
        <sz val="10"/>
        <color indexed="60"/>
        <rFont val="Calibri"/>
        <family val="2"/>
      </rPr>
      <t>wachtwoord</t>
    </r>
    <r>
      <rPr>
        <sz val="10"/>
        <color indexed="60"/>
        <rFont val="Calibri"/>
        <family val="2"/>
      </rPr>
      <t xml:space="preserve"> </t>
    </r>
    <r>
      <rPr>
        <sz val="10"/>
        <rFont val="Calibri"/>
        <family val="2"/>
      </rPr>
      <t xml:space="preserve">dat voor elk werkblad van toepassing is, luidt:  </t>
    </r>
    <r>
      <rPr>
        <b/>
        <sz val="10"/>
        <rFont val="Calibri"/>
        <family val="2"/>
      </rPr>
      <t xml:space="preserve"> poraad</t>
    </r>
  </si>
  <si>
    <t>ondersteuningsbedrag Mat aan SO</t>
  </si>
  <si>
    <t>MATERIEEL SAMENWERKINGSVERBAND</t>
  </si>
  <si>
    <t>MEERJARENINVESTERINGSPLAN SAMENWERKINGSVERBAND</t>
  </si>
  <si>
    <t>ACTIVAOVERZICHT SAMENWERKINGSVERBAND</t>
  </si>
  <si>
    <t>MEERJARENBALANS SAMENWERKINGSVERBAND</t>
  </si>
  <si>
    <t>KASSTROOMOVERZICHT SAMENWERKINGSVERBAND</t>
  </si>
  <si>
    <t xml:space="preserve">Voor de SO-school als zodanig zijn er minder aanpassingen doordat de regeling van de bekostiging het nader afrekenen van het grensverkeer overbodig </t>
  </si>
  <si>
    <t xml:space="preserve">van de schoolbesturen berekend wanneer er sprake is van uitputting van het normatieve budget. Dit wordt ook omgerekend in een bedrag per leerling. </t>
  </si>
  <si>
    <r>
      <t xml:space="preserve">Aantal leerlingen SO: </t>
    </r>
    <r>
      <rPr>
        <sz val="10"/>
        <rFont val="Calibri"/>
        <family val="2"/>
      </rPr>
      <t>Er is ruimte voor 30 scholen SO.</t>
    </r>
  </si>
  <si>
    <t xml:space="preserve">Daarbij wordt onderscheid gemaakt tussen personeel en materieel en wordt rekening gehouden met de categoriën uitgesplitst naar jonger </t>
  </si>
  <si>
    <t>bijdrage besturen Pers en Mat op schooljaarbasis</t>
  </si>
  <si>
    <t>bijdrage besturen Pers en Mat op kalenderjaarbasis</t>
  </si>
  <si>
    <t>Overgangsbudget</t>
  </si>
  <si>
    <t>8jr eo</t>
  </si>
  <si>
    <t>Naam SO 16</t>
  </si>
  <si>
    <t>Naam SO 17</t>
  </si>
  <si>
    <t>Naam SO 18</t>
  </si>
  <si>
    <t>Naam SO 19</t>
  </si>
  <si>
    <t>Naam SO 20</t>
  </si>
  <si>
    <t>Naam SO 21</t>
  </si>
  <si>
    <t>Naam SO 22</t>
  </si>
  <si>
    <t>Naam SO 23</t>
  </si>
  <si>
    <t>Naam SO 24</t>
  </si>
  <si>
    <t>Naam SO 25</t>
  </si>
  <si>
    <t>Naam SO 26</t>
  </si>
  <si>
    <t>Naam SO 27</t>
  </si>
  <si>
    <t>Naam SO 28</t>
  </si>
  <si>
    <t>Naam SO 29</t>
  </si>
  <si>
    <t>Naam SO 30</t>
  </si>
  <si>
    <t>Bekostiging aan SO-school (Pers) &lt; 8 jr</t>
  </si>
  <si>
    <t>Bekostiging aan SO-school (Pers) 8 jr eo</t>
  </si>
  <si>
    <t>Bekostiging aan SO-school (Mat) &lt; 8 jr</t>
  </si>
  <si>
    <t>Bekostiging aan SO-school (Mat) 8 jr eo</t>
  </si>
  <si>
    <t>&lt; 8 jr</t>
  </si>
  <si>
    <r>
      <t>Percentages 1 oktober T-1:</t>
    </r>
    <r>
      <rPr>
        <sz val="10"/>
        <rFont val="Calibri"/>
        <family val="2"/>
      </rPr>
      <t xml:space="preserve"> Het verwijzingspercentage wordt hier berekend.</t>
    </r>
  </si>
  <si>
    <t xml:space="preserve">Dat heeft voor de SBO de volgende consequenties: </t>
  </si>
  <si>
    <t>LB = 1,00</t>
  </si>
  <si>
    <t>Verhoudingstabel</t>
  </si>
  <si>
    <t>Werktijdfactor</t>
  </si>
  <si>
    <t>Functie</t>
  </si>
  <si>
    <t>Gem Pers Last</t>
  </si>
  <si>
    <t>Naam werknemer</t>
  </si>
  <si>
    <t>P. Werknemer</t>
  </si>
  <si>
    <t>regel</t>
  </si>
  <si>
    <t>norm maandsalaris</t>
  </si>
  <si>
    <t>wtf x maandsalaris</t>
  </si>
  <si>
    <t>Opslagpercentage werkgeverslasten</t>
  </si>
  <si>
    <t>Een dergelijke raming van kosten kan heel gedetailleerd (en tijdrovend) gebeuren, maar men kan ook een meer globale benadering kiezen.</t>
  </si>
  <si>
    <t>voor een functie geldt, in plaats van de leeftijdsafhankelijke vergoeding er bij te betrekken.</t>
  </si>
  <si>
    <t xml:space="preserve">Het is sterk af te raden om loonkosten bij het samenwerkingsverband te laten declareren. Een duidelijke afspraak van te voren over de te betalen </t>
  </si>
  <si>
    <t>kosten geeft beide partijen duidelijkheid en zekerheid.</t>
  </si>
  <si>
    <t>omtrent toekenning van middelen aan de basisscholen automatisch laten berekenen.</t>
  </si>
  <si>
    <t>Het werkblad geeft ook een overzicht van hetgeen is ingevuld als meerjareninvestering, de activa en de afschrijvingen.</t>
  </si>
  <si>
    <t>Werkblad 'toelichting'</t>
  </si>
  <si>
    <t xml:space="preserve">In de situatie dat het aantal leerlingen van de SBO lager is dan de 2% van het SWV wordt de overdracht negatief zoals hiervoor </t>
  </si>
  <si>
    <t>bij Algemeen al is aangestipt.</t>
  </si>
  <si>
    <t xml:space="preserve">Geadviseerd wordt om kritisch te zijn ten aanzien van de omvang van de algemene reserve en slechts een omvang aan te houden die </t>
  </si>
  <si>
    <t>Administratienummer</t>
  </si>
  <si>
    <t>Grensverkeer</t>
  </si>
  <si>
    <t>Leerlingen sbo</t>
  </si>
  <si>
    <t>SBO</t>
  </si>
  <si>
    <t>totaal</t>
  </si>
  <si>
    <t>minus ll. inkomend grensverkeer</t>
  </si>
  <si>
    <t>over te dragen</t>
  </si>
  <si>
    <t>maximale bijdrage</t>
  </si>
  <si>
    <t>Algemeen</t>
  </si>
  <si>
    <t xml:space="preserve">tussen de centrale diensten van de samenwerkingsverbanden. Dat heeft het grote voordeel dat voor het grensverkeer geen </t>
  </si>
  <si>
    <t>Analoog het uitgaande grensverkeer.</t>
  </si>
  <si>
    <t xml:space="preserve">en het totaal minus de leerlingen inkomend grensverkeer, plus de leerlingen uitgaand grensverkeer. Dit laatste percentage </t>
  </si>
  <si>
    <t xml:space="preserve">De afdruk van ieder werkblad in het programma is 'geregeld', maar de instellingen daarvan zijn door iemand met ervaring </t>
  </si>
  <si>
    <t>in Excel te veranderen.</t>
  </si>
  <si>
    <t xml:space="preserve">In dit werkblad kunnen de gegevens per basisschool worden opgegeven. De invoering van de feitelijke leerlingaantallen per 1 oktober </t>
  </si>
  <si>
    <t xml:space="preserve">De uitgaven aan basisscholen kunnen hier gespecificeerd worden. Iemand met ervaring in Excel kan een eigen regeling van het SWV  </t>
  </si>
  <si>
    <t>Bevat de toelichting zoals hiervoor is weergegeven.</t>
  </si>
  <si>
    <t xml:space="preserve">b. De bekostiging van het grensverkeer wordt in dit programma geregeld tussen de betreffende centrale diensten. Daarbij </t>
  </si>
  <si>
    <t xml:space="preserve">In het programma zelf is het mogelijk bij cellen met een rode punt in de rechterbovenhoek informatie te verkrijgen door de </t>
  </si>
  <si>
    <t>Speciaal Basisonderwijs de gpl bedragen</t>
  </si>
  <si>
    <t>Directie</t>
  </si>
  <si>
    <t>OP (landelijk)</t>
  </si>
  <si>
    <t>OP  leeftijdsgecorrigeerd: voet</t>
  </si>
  <si>
    <t>OP  leeftijdsgecorrigeerd: bedrag * GGL</t>
  </si>
  <si>
    <t>Landelijke GGL =</t>
  </si>
  <si>
    <t>Landelijke GPL is van toepassing</t>
  </si>
  <si>
    <t>Basisonderwijs de gpl bedragen</t>
  </si>
  <si>
    <t>schaal / regel</t>
  </si>
  <si>
    <t>regels</t>
  </si>
  <si>
    <t>DA</t>
  </si>
  <si>
    <t>DB</t>
  </si>
  <si>
    <t>DBuit</t>
  </si>
  <si>
    <t>DC</t>
  </si>
  <si>
    <t>DCuit</t>
  </si>
  <si>
    <t>DD</t>
  </si>
  <si>
    <t>DE</t>
  </si>
  <si>
    <t>AA</t>
  </si>
  <si>
    <t>AB</t>
  </si>
  <si>
    <t>AC</t>
  </si>
  <si>
    <t>AD</t>
  </si>
  <si>
    <t>AE</t>
  </si>
  <si>
    <t>LA</t>
  </si>
  <si>
    <t>LB</t>
  </si>
  <si>
    <t>LC</t>
  </si>
  <si>
    <t>LD</t>
  </si>
  <si>
    <t>LE</t>
  </si>
  <si>
    <t>LIOa</t>
  </si>
  <si>
    <t>LIOb</t>
  </si>
  <si>
    <t>schaal</t>
  </si>
  <si>
    <t>meerh sbo DB10</t>
  </si>
  <si>
    <t>meerh sbo DB11</t>
  </si>
  <si>
    <t>meerh sbo DCuit15</t>
  </si>
  <si>
    <t>Rijksbijdragen OCW</t>
  </si>
  <si>
    <t>Overige baten</t>
  </si>
  <si>
    <t>Afschrijvingen</t>
  </si>
  <si>
    <t>Huisvestingslasten</t>
  </si>
  <si>
    <t>Financiële baten</t>
  </si>
  <si>
    <t>Financiële lasten</t>
  </si>
  <si>
    <t>Vaste activa</t>
  </si>
  <si>
    <t>Gebouwen en terreinen</t>
  </si>
  <si>
    <t>2021/22</t>
  </si>
  <si>
    <t>PERSONEEL deel rugzak 2014/2015</t>
  </si>
  <si>
    <t>MATERIEEL deel rugzak 2014 (vanaf 1-08-2014)</t>
  </si>
  <si>
    <t>vanaf 1 augustus 2014</t>
  </si>
  <si>
    <t>Inventaris en apparatuur</t>
  </si>
  <si>
    <t>Leermiddelen PO</t>
  </si>
  <si>
    <t>Overige materiële vaste activa</t>
  </si>
  <si>
    <t>Vlottende activa</t>
  </si>
  <si>
    <t>Lokaal onderwijsbeleid</t>
  </si>
  <si>
    <t>Het is mogelijk de beveiliging op te heffen zodat iemand met verstand van Excel de applicatie kan aanpassen.</t>
  </si>
  <si>
    <t xml:space="preserve">Voor zo'n globalere benadering kan men de raming voor kleine betrekkingen (bijvoorbeeld minder dan 0,25 fte) baseren op de GPL die </t>
  </si>
  <si>
    <t>Is gekozen voor een bepaalde omvang dan kan men hier snel berekenen wat de kosten op basis van de GPL van de functie LB wordt.</t>
  </si>
  <si>
    <t xml:space="preserve">Voor andere functies dan de functie LB vindt omrekening plaats m.b.v. een omrekentabel die gebaseerd is de verhoudingen van het </t>
  </si>
  <si>
    <t>Er is ook de mogelijkheid om de berekening gedetailleerd te maken waarbij de schaal en regelnummer precies wordt ingevoerd. Daarbij</t>
  </si>
  <si>
    <t>Het samenwerkingsverband hoeft er niet rijk van te worden, maar evenmin een schoolbestuur of andere werkgever.</t>
  </si>
  <si>
    <t>Het advies is om op een 'normale' wijze om te gaan met de vaststelling van deze kosten, namelijk door middel van overleg en onderhandeling.</t>
  </si>
  <si>
    <t xml:space="preserve">Op basis van de ingevoerde gegevens zijn de berekeningen uitgevoerd en kunnen bij de overige posten de verdere gegevens worden </t>
  </si>
  <si>
    <t>Reacties</t>
  </si>
  <si>
    <t xml:space="preserve">Voor reacties op dit programma houden we ons aanbevolen. </t>
  </si>
  <si>
    <t>Reacties graag naar:</t>
  </si>
  <si>
    <t>meerh bas DA11</t>
  </si>
  <si>
    <t>ID1</t>
  </si>
  <si>
    <t>ID2</t>
  </si>
  <si>
    <t>ID3</t>
  </si>
  <si>
    <t>SBO op basis van landelijke GPL (overdracht)</t>
  </si>
  <si>
    <t>Regeling impuls SMW PO in kader veiligheid en opvang risicoleerlingen</t>
  </si>
  <si>
    <t>schooljaar</t>
  </si>
  <si>
    <t>situatie per</t>
  </si>
  <si>
    <t xml:space="preserve">Persoonsgegevens </t>
  </si>
  <si>
    <t>sofinr.</t>
  </si>
  <si>
    <t>naam</t>
  </si>
  <si>
    <t>functie</t>
  </si>
  <si>
    <t>dienst</t>
  </si>
  <si>
    <t>geboorte</t>
  </si>
  <si>
    <t>trede</t>
  </si>
  <si>
    <t>WTF</t>
  </si>
  <si>
    <t>loonkosten</t>
  </si>
  <si>
    <t>kosten</t>
  </si>
  <si>
    <t>diensttijd</t>
  </si>
  <si>
    <t xml:space="preserve">totaal </t>
  </si>
  <si>
    <t xml:space="preserve">jaren </t>
  </si>
  <si>
    <t>datum</t>
  </si>
  <si>
    <t>werkgeverslasten</t>
  </si>
  <si>
    <t>Toegekend aan basisscholen</t>
  </si>
  <si>
    <t>kalenderjaar</t>
  </si>
  <si>
    <t>activagroep</t>
  </si>
  <si>
    <t>omschrijving</t>
  </si>
  <si>
    <t>aantal /</t>
  </si>
  <si>
    <t>aanschafprijs</t>
  </si>
  <si>
    <t>jaar van</t>
  </si>
  <si>
    <t>afschrijvings-</t>
  </si>
  <si>
    <t>beslisregel</t>
  </si>
  <si>
    <t>aanschaf-</t>
  </si>
  <si>
    <t>afschrijving</t>
  </si>
  <si>
    <t>laatste</t>
  </si>
  <si>
    <t>waarde per 01/01</t>
  </si>
  <si>
    <t>eenheden</t>
  </si>
  <si>
    <t>(per eenheid)</t>
  </si>
  <si>
    <t>aanschaf</t>
  </si>
  <si>
    <t>termijn</t>
  </si>
  <si>
    <t>waarde</t>
  </si>
  <si>
    <t>per jaar</t>
  </si>
  <si>
    <t>investering</t>
  </si>
  <si>
    <t>Waarde activa per 01-01</t>
  </si>
  <si>
    <t>Investeringen</t>
  </si>
  <si>
    <t>Waarde activa per 31-12</t>
  </si>
  <si>
    <t>Overdracht ivm leerlingen SBO</t>
  </si>
  <si>
    <t xml:space="preserve">c. Het feitelijk aantal leerlingen op de peildatum kan lager zijn dan de 2% op basis waarvan het Rijk de bekostiging heeft verricht aan </t>
  </si>
  <si>
    <t>samenwerkingsverband vallen.</t>
  </si>
  <si>
    <t xml:space="preserve">Na invoering van persoonsgegevens, salarisgegevens en de werktijdfactor worden de totale loonkosten berekend. Daarbij wordt uitgegaan van </t>
  </si>
  <si>
    <t xml:space="preserve">maximumsalaris van elke schaal (conform het FPE-model). </t>
  </si>
  <si>
    <t>Werkblad 'tab'</t>
  </si>
  <si>
    <t xml:space="preserve">Bedrag per schoolgewicht teldatum 1 okt. </t>
  </si>
  <si>
    <t xml:space="preserve">Dit instrument levert de meerjarenbegroting voor het samenwerkingsverband. De indeling volgt daarbij de voorgeschreven indeling van de </t>
  </si>
  <si>
    <t>teldatum</t>
  </si>
  <si>
    <t>Financiële baten en lasten</t>
  </si>
  <si>
    <t>Activa</t>
  </si>
  <si>
    <t>Financiële kengetallen</t>
  </si>
  <si>
    <t>Solvabiliteit 1</t>
  </si>
  <si>
    <t>Liquiditeit</t>
  </si>
  <si>
    <t>Uitgaven (te bekostigen aan ander SWV)</t>
  </si>
  <si>
    <t>Grensverkeerlln. na 1 oktober T-1</t>
  </si>
  <si>
    <t>Grensverkeerlln. voor of op 1 oktober T-1</t>
  </si>
  <si>
    <t>Grensverkeerlln. na 1 oktober T-1 bij SBO in ander SWV.</t>
  </si>
  <si>
    <t>Grensverkeerlln. voor of op 1 oktober T-1 bij SBO in ander SWV</t>
  </si>
  <si>
    <t>minus ll. Inkomend, plus ll. uitgaand grensverkeer</t>
  </si>
  <si>
    <t xml:space="preserve">In dit werkblad worden de gegevens in verband met de activa verwerkt. Na opgave van de beginstand van de activa worden de </t>
  </si>
  <si>
    <t xml:space="preserve">Aantal leerlingen basisscholen </t>
  </si>
  <si>
    <t xml:space="preserve">Totaal </t>
  </si>
  <si>
    <t>2% leerlingen SWV op 1 oktober t-1</t>
  </si>
  <si>
    <t>Waarvan op SBO</t>
  </si>
  <si>
    <t xml:space="preserve">Aantal leerlingen per SBO op  teldatum </t>
  </si>
  <si>
    <t>Aantal leerlingen per SBO op  peildatum</t>
  </si>
  <si>
    <t>Salaristabel</t>
  </si>
  <si>
    <t>meerh sbo DC13</t>
  </si>
  <si>
    <t>Overige overheidsbijdragen en -subsidies</t>
  </si>
  <si>
    <t xml:space="preserve">Overige baten </t>
  </si>
  <si>
    <t>baten werk in opdracht derden</t>
  </si>
  <si>
    <t xml:space="preserve">afspraken tussen SWV- en </t>
  </si>
  <si>
    <t xml:space="preserve">Totaal baten personeel </t>
  </si>
  <si>
    <t xml:space="preserve">Overige personele lasten </t>
  </si>
  <si>
    <t>dotatie voorziening jubilea</t>
  </si>
  <si>
    <t>Totaal lasten personeel</t>
  </si>
  <si>
    <t xml:space="preserve">Saldo personeel </t>
  </si>
  <si>
    <t>lokaal onderwijsbeleid</t>
  </si>
  <si>
    <t>Overige lasten</t>
  </si>
  <si>
    <t>Totaal lasten materieel</t>
  </si>
  <si>
    <t>Saldo materieel</t>
  </si>
  <si>
    <t>Totaal baten materieel</t>
  </si>
  <si>
    <t>Overdrachtsverplichting personeel</t>
  </si>
  <si>
    <t xml:space="preserve">Overdrachtsverplichting materieel </t>
  </si>
  <si>
    <t>College-, cursus-, les- en examengelden</t>
  </si>
  <si>
    <t>Baten werk in opdracht van derden</t>
  </si>
  <si>
    <t>Lasten</t>
  </si>
  <si>
    <t xml:space="preserve">Overige lasten </t>
  </si>
  <si>
    <t>Saldo baten en lasten</t>
  </si>
  <si>
    <t>Resultaat</t>
  </si>
  <si>
    <t>omrekening naar kalenderjaar</t>
  </si>
  <si>
    <t xml:space="preserve">Rijksbijdragen  </t>
  </si>
  <si>
    <t>Lasten personeel</t>
  </si>
  <si>
    <t>Personeelslasten</t>
  </si>
  <si>
    <t>Leerlingprognose  op peildatum</t>
  </si>
  <si>
    <t>Leerlingprognose op teldatum</t>
  </si>
  <si>
    <t>Inkomsten (te bekostigen door ander swv)</t>
  </si>
  <si>
    <t>Deelnamepercentages 1 oktober T-1</t>
  </si>
  <si>
    <t>Kredietinstellingen</t>
  </si>
  <si>
    <t>Overige langlopende schulden</t>
  </si>
  <si>
    <t>Crediteuren</t>
  </si>
  <si>
    <t>Ministerie van OCW</t>
  </si>
  <si>
    <t>Belastingen en premies sociale verzekeringen</t>
  </si>
  <si>
    <t>Schulden terzake pensioenen</t>
  </si>
  <si>
    <t>Overige kortlopende schulden</t>
  </si>
  <si>
    <t>Overlopende passiva</t>
  </si>
  <si>
    <t>Kasstroom uit operationele activiteiten</t>
  </si>
  <si>
    <t>Mutaties werkkapitaal</t>
  </si>
  <si>
    <t>voorraden</t>
  </si>
  <si>
    <t>vorderingen</t>
  </si>
  <si>
    <t>effecten</t>
  </si>
  <si>
    <t>kortlopende schulden</t>
  </si>
  <si>
    <t>Mutaties voorzieningen</t>
  </si>
  <si>
    <t>Kasstroom uit investeringsactiviteiten</t>
  </si>
  <si>
    <t>Kasstroom uit financieringsactiviteiten</t>
  </si>
  <si>
    <t>Mutatie Liquide middelen</t>
  </si>
  <si>
    <t>mutatie Liquide middelen (balans)</t>
  </si>
  <si>
    <t>Eindsaldo liquide middelen</t>
  </si>
  <si>
    <t>liquiditeit (vlottende activa / kortlopende schulden)</t>
  </si>
  <si>
    <t>Overdracht MI aan sbo o.b.v. peildatum</t>
  </si>
  <si>
    <t>Grootboeknr.</t>
  </si>
  <si>
    <t>Passiva</t>
  </si>
  <si>
    <t>Activa totaal</t>
  </si>
  <si>
    <t>Algemene reserve</t>
  </si>
  <si>
    <t>Bestemmingsreserve 1</t>
  </si>
  <si>
    <t>Bestemmingsreserve 2</t>
  </si>
  <si>
    <t>Bestemmingsreserve 3</t>
  </si>
  <si>
    <t>Passiva totaal</t>
  </si>
  <si>
    <t>Normatieve Rijksbijdrage OCW</t>
  </si>
  <si>
    <t>Zo nee: de GGL van de SBO op 1 oktober t-1</t>
  </si>
  <si>
    <t>ja</t>
  </si>
  <si>
    <t>HULPBLAD: KOSTEN VAN EEN FUNCTIE</t>
  </si>
  <si>
    <t>Regeling Impuls Schoolmaatschappelijk werk</t>
  </si>
  <si>
    <t xml:space="preserve">Globale (= normale) benadering </t>
  </si>
  <si>
    <t>Leeftijd 1 okt. T-1</t>
  </si>
  <si>
    <t xml:space="preserve">Salarisgegevens per 1 augustus (na toekenning reguliere periodieke verhoging) </t>
  </si>
  <si>
    <t>Opzet van dit instrument</t>
  </si>
  <si>
    <t>Voorziening Jubilea</t>
  </si>
  <si>
    <t>Rentabiliteit</t>
  </si>
  <si>
    <t xml:space="preserve">De kalenderjaarweergave van baten en lasten is ook omgerekend naar een schooljaarweergave. </t>
  </si>
  <si>
    <r>
      <t xml:space="preserve">Dan is het wel een essentiele voorwaarde dat de gegevens ingevuld worden die </t>
    </r>
    <r>
      <rPr>
        <b/>
        <sz val="10"/>
        <rFont val="Calibri"/>
        <family val="2"/>
      </rPr>
      <t>alleen</t>
    </r>
    <r>
      <rPr>
        <sz val="10"/>
        <rFont val="Calibri"/>
        <family val="2"/>
      </rPr>
      <t xml:space="preserve"> voor dit verband van toepassing zijn.</t>
    </r>
  </si>
  <si>
    <r>
      <t>Aantal leerlingen basisschool:</t>
    </r>
    <r>
      <rPr>
        <sz val="10"/>
        <rFont val="Calibri"/>
        <family val="2"/>
      </rPr>
      <t xml:space="preserve"> Het feitelijk aantal leerlingen op 1 oktober T-1. </t>
    </r>
  </si>
  <si>
    <r>
      <t>op basis van de peildatum wilt laten plaats vinden door '</t>
    </r>
    <r>
      <rPr>
        <b/>
        <sz val="10"/>
        <rFont val="Calibri"/>
        <family val="2"/>
      </rPr>
      <t>ja'</t>
    </r>
    <r>
      <rPr>
        <sz val="10"/>
        <rFont val="Calibri"/>
        <family val="2"/>
      </rPr>
      <t xml:space="preserve"> of '</t>
    </r>
    <r>
      <rPr>
        <b/>
        <sz val="10"/>
        <rFont val="Calibri"/>
        <family val="2"/>
      </rPr>
      <t>nee'</t>
    </r>
    <r>
      <rPr>
        <sz val="10"/>
        <rFont val="Calibri"/>
        <family val="2"/>
      </rPr>
      <t xml:space="preserve"> in te vullen. Het advies is om 'ja' in te vullen.</t>
    </r>
  </si>
  <si>
    <r>
      <t>Som schoolgewichten in SWV per 1 oktober</t>
    </r>
    <r>
      <rPr>
        <b/>
        <sz val="10"/>
        <rFont val="Calibri"/>
        <family val="2"/>
      </rPr>
      <t xml:space="preserve"> </t>
    </r>
  </si>
  <si>
    <t>2015/16</t>
  </si>
  <si>
    <t>teldatum leerlingen (t-1) per 1 oktober</t>
  </si>
  <si>
    <t xml:space="preserve">Totale loonkosten (incl. werkg. lasten) </t>
  </si>
  <si>
    <t xml:space="preserve">Baten  </t>
  </si>
  <si>
    <t>Baten</t>
  </si>
  <si>
    <t>Rugzakken basisschool</t>
  </si>
  <si>
    <t>Rugzakken SBO</t>
  </si>
  <si>
    <t>Basisscholen</t>
  </si>
  <si>
    <t>SBO's</t>
  </si>
  <si>
    <t>Basisscholen en SBO's</t>
  </si>
  <si>
    <t>Voorziening Groot Onderhoud</t>
  </si>
  <si>
    <t>Investeringen materiële vaste activa</t>
  </si>
  <si>
    <t>Investeringen immateriële vaste activa</t>
  </si>
  <si>
    <t>Investeringen financiële vaste activa</t>
  </si>
  <si>
    <t xml:space="preserve">Berekening kosten (afgerond) op basis van GPL als werktijdfactor kleiner is dan </t>
  </si>
  <si>
    <t>muiscursor op die cel te plaatsen. De programma's zijn beveiligd zodat invoer alleen mogelijk is op de witte velden.</t>
  </si>
  <si>
    <t>Alleen in het werkblad tab zijn het daarentegen de gele cellen die toegankelijk zijn en niet de witte.</t>
  </si>
  <si>
    <t>aantal leerlingen op de SBO, het totaal aantal minus de leerlingen die als grensverkeerleerling afkomstig zijn uit een ander verband,</t>
  </si>
  <si>
    <t>Overdracht MI aan SBO o.b.v. peildatum:</t>
  </si>
  <si>
    <t xml:space="preserve">complexe berekening in verband met de overdracht aan de SBO meer nodig is. Uiteraard blijft het wel strikt noodzakelijk om </t>
  </si>
  <si>
    <t xml:space="preserve">het inkomend en uitgaand grensverkeer nauwkeurig te administreren. De bekostiging van de SBO beperkt zich voor het </t>
  </si>
  <si>
    <t xml:space="preserve">De dotaties en kosten Jubilea lopen via de betreffende voorziening van de balans. </t>
  </si>
  <si>
    <t xml:space="preserve">In dit werkblad MeerjarenInvesteringsPlan worden de afschrijvingen bepaald die ten laste van de (materiële) exploitatie van het SWV </t>
  </si>
  <si>
    <t>In dit werkblad wordt het kasstroomoverzicht bijgehouden. Het geeft de informatie omtrent de ontwikkeling van de liquiditeit door de jaren heen.</t>
  </si>
  <si>
    <t>bekostiging minus kosten 1 okt T-1 Pers</t>
  </si>
  <si>
    <t>overdracht obv peildatum Pers</t>
  </si>
  <si>
    <t>bekostiging minus kosten 1 okt T-1 Mat</t>
  </si>
  <si>
    <t>overdracht obv peildatum Mat</t>
  </si>
  <si>
    <t>De overallverwerking in de begroting en de balans ed. is integraal.</t>
  </si>
  <si>
    <t>subtotaal</t>
  </si>
  <si>
    <t xml:space="preserve">dan 8 jaar (&lt; 8 jaar) en 8 jaar en ouder (8 jr eo). De verrekening van de overdracht wordt uitgevoerd door DUO, inclusief de bekostiging van de </t>
  </si>
  <si>
    <t>eventuele uitputting - als daar sprake van is - door de deelnemende schoolbesturen in het SWV.</t>
  </si>
  <si>
    <t>Uitgaand grensverkeer, verrekening tussen SWV's</t>
  </si>
  <si>
    <t>Inkomend grensverkeer, verrekening tussen SWV's</t>
  </si>
  <si>
    <t>In dit werkblad wordt de personele bekostiging verwerkt van enerzijds de Lichte Ondersteuning en anderzijds de Zware Ondersteuning en worden</t>
  </si>
  <si>
    <t>aantal lln</t>
  </si>
  <si>
    <t xml:space="preserve">Overdrachtsverplichting  peildatum </t>
  </si>
  <si>
    <t>PEILDATUM: OVERDRACHTSVERPLICHTING AAN SBO</t>
  </si>
  <si>
    <t>landelijke GGL (V)SO</t>
  </si>
  <si>
    <r>
      <t xml:space="preserve">het hogere tarief (middelen voor basis- </t>
    </r>
    <r>
      <rPr>
        <u/>
        <sz val="10"/>
        <rFont val="Calibri"/>
        <family val="2"/>
      </rPr>
      <t>en</t>
    </r>
    <r>
      <rPr>
        <sz val="10"/>
        <rFont val="Calibri"/>
        <family val="2"/>
      </rPr>
      <t xml:space="preserve"> ondersteuningsbekostiging personeel resp. basis- </t>
    </r>
    <r>
      <rPr>
        <u/>
        <sz val="10"/>
        <rFont val="Calibri"/>
        <family val="2"/>
      </rPr>
      <t>en</t>
    </r>
    <r>
      <rPr>
        <sz val="10"/>
        <rFont val="Calibri"/>
        <family val="2"/>
      </rPr>
      <t xml:space="preserve"> ondersteuningsbedrag materieel).</t>
    </r>
  </si>
  <si>
    <t xml:space="preserve">Werkblad 'peild SBO' </t>
  </si>
  <si>
    <t xml:space="preserve">In dit werkblad wordt de omvang berekend van de overdrachtsverplichtingen aan het SO die gelden in verband met het aantal leerlingen op de teldatum. </t>
  </si>
  <si>
    <t>deugdelijk onderbouwd kan worden.</t>
  </si>
  <si>
    <t>basisbekostiging personeel (fte)</t>
  </si>
  <si>
    <t>ondersteuningsbekostiging personeel (fte)</t>
  </si>
  <si>
    <t>personele bekostiging BOA (cumi) (fte)</t>
  </si>
  <si>
    <t>basis- plus ondersteuningsbekostiging personeel (fte)</t>
  </si>
  <si>
    <t>ondersteuningsbekostiging personeel in fte</t>
  </si>
  <si>
    <t>ondersteuningsbekostiging personeel  bao</t>
  </si>
  <si>
    <t>ondersteuningsbekostiging personeel, de gpl bedragen</t>
  </si>
  <si>
    <t>ondersteuningsbekostiging personeel</t>
  </si>
  <si>
    <t>basisbekostiging personeel (vast)</t>
  </si>
  <si>
    <t>basisbekostiging personeel (variabel)</t>
  </si>
  <si>
    <t>ondersteuningsbekostiging personeel (vast)</t>
  </si>
  <si>
    <t>ondersteuningsbekostiging personeel (variabel)</t>
  </si>
  <si>
    <t>personele bekostiging BOA / cumi (vast)</t>
  </si>
  <si>
    <t>personele bekostiging BOA / cumi (variabel)</t>
  </si>
  <si>
    <t>basisbekostiging personeel</t>
  </si>
  <si>
    <t>personele bekostiging BOA (cumi)</t>
  </si>
  <si>
    <t>basis- plus ondersteuningsbekostiging personeel</t>
  </si>
  <si>
    <t>ondersteuningsbekostiging SWV (kalenderjaar T)</t>
  </si>
  <si>
    <t>Personele bekostiging Zware Ondersteuning</t>
  </si>
  <si>
    <t xml:space="preserve">Reinier Goedhart, tel.: 06-25341033 of e-mail: </t>
  </si>
  <si>
    <t>r.goedhart@poraad.nl</t>
  </si>
  <si>
    <t>www. poraad.nl</t>
  </si>
  <si>
    <t>Of berekening kosten op basis van leeftijdsafhankelijke berekening</t>
  </si>
  <si>
    <t xml:space="preserve">Baten en lasten </t>
  </si>
  <si>
    <t>2016/17</t>
  </si>
  <si>
    <t>Aantal leerlingen PO (bas en SBO)  op 1 oktober T-1</t>
  </si>
  <si>
    <t>salaris</t>
  </si>
  <si>
    <t>1.1 Immateriële vaste activa</t>
  </si>
  <si>
    <t>1.2 Materiële vaste activa</t>
  </si>
  <si>
    <t>1.3 Financiële vaste activa</t>
  </si>
  <si>
    <t>1.4  Voorraden</t>
  </si>
  <si>
    <t>1.5 Vorderingen</t>
  </si>
  <si>
    <t>1.6 Effecten (&lt; 1jaar)</t>
  </si>
  <si>
    <t xml:space="preserve">1.7 Liquide middelen </t>
  </si>
  <si>
    <t>2.1 Eigen Vermogen</t>
  </si>
  <si>
    <t>2.2 Voorzieningen</t>
  </si>
  <si>
    <t>Overige voorzieningen</t>
  </si>
  <si>
    <t>2.3 Langlopende schulden</t>
  </si>
  <si>
    <t>2.4 Kortlopende schulden</t>
  </si>
  <si>
    <t>jubilea</t>
  </si>
  <si>
    <t xml:space="preserve">In de tabellen zijn de gegevens opgenomen die betrekking hebben op de onderliggende normeringen voor de bekostiging. </t>
  </si>
  <si>
    <t>SPECIFICATIE GEGEVENS BASISSCHOLEN</t>
  </si>
  <si>
    <t>(Dit is een informatiewerkblad; dit blad hoeft dus niet ingevuld te worden)</t>
  </si>
  <si>
    <t xml:space="preserve">naam </t>
  </si>
  <si>
    <t>brinnr.</t>
  </si>
  <si>
    <t xml:space="preserve">Aantal leerlingen </t>
  </si>
  <si>
    <t>Inkomsten personeel</t>
  </si>
  <si>
    <t>Uitgaven personeel</t>
  </si>
  <si>
    <t>Inkomsten materieel</t>
  </si>
  <si>
    <t>Uitgaven materieel</t>
  </si>
  <si>
    <t xml:space="preserve">per 1 oktober T-1 </t>
  </si>
  <si>
    <t>school 1</t>
  </si>
  <si>
    <t>11AA</t>
  </si>
  <si>
    <t>school 2</t>
  </si>
  <si>
    <t>school 3</t>
  </si>
  <si>
    <t>school 4</t>
  </si>
  <si>
    <t>school 5</t>
  </si>
  <si>
    <t>school 6</t>
  </si>
  <si>
    <t>school 7</t>
  </si>
  <si>
    <t>school 8</t>
  </si>
  <si>
    <t>school 9</t>
  </si>
  <si>
    <t>school 10</t>
  </si>
  <si>
    <t>school 11</t>
  </si>
  <si>
    <t>school 12</t>
  </si>
  <si>
    <t>school 13</t>
  </si>
  <si>
    <t>school 14</t>
  </si>
  <si>
    <t>school 15</t>
  </si>
  <si>
    <t>school 16</t>
  </si>
  <si>
    <t>school 17</t>
  </si>
  <si>
    <t>school 18</t>
  </si>
  <si>
    <t>school 19</t>
  </si>
  <si>
    <t>school 20</t>
  </si>
  <si>
    <t>school 21</t>
  </si>
  <si>
    <t>school 22</t>
  </si>
  <si>
    <t>school 23</t>
  </si>
  <si>
    <t>school 24</t>
  </si>
  <si>
    <t>school 25</t>
  </si>
  <si>
    <t>school 26</t>
  </si>
  <si>
    <t>school 27</t>
  </si>
  <si>
    <t>school 28</t>
  </si>
  <si>
    <t>school 29</t>
  </si>
  <si>
    <t>school 30</t>
  </si>
  <si>
    <t>school 31</t>
  </si>
  <si>
    <t>school 32</t>
  </si>
  <si>
    <t>school 33</t>
  </si>
  <si>
    <t>school 34</t>
  </si>
  <si>
    <t>school 35</t>
  </si>
  <si>
    <t>school 36</t>
  </si>
  <si>
    <t>school 37</t>
  </si>
  <si>
    <t>school 38</t>
  </si>
  <si>
    <t>school 39</t>
  </si>
  <si>
    <t>school 40</t>
  </si>
  <si>
    <t>Op grond van de opgegeven diensttijd wordt ook de omvang van de jubileumuitkering berekend.</t>
  </si>
  <si>
    <t>Bé Keizer, tel.: 06-22939674 of e-mail:</t>
  </si>
  <si>
    <t xml:space="preserve">be.keizer@wxs.nl </t>
  </si>
  <si>
    <t>2017/18</t>
  </si>
  <si>
    <t>2018/19</t>
  </si>
  <si>
    <t>2019/20</t>
  </si>
  <si>
    <t>school 41</t>
  </si>
  <si>
    <t>school 42</t>
  </si>
  <si>
    <t>school 43</t>
  </si>
  <si>
    <t>school 44</t>
  </si>
  <si>
    <t>school 45</t>
  </si>
  <si>
    <t>school 46</t>
  </si>
  <si>
    <t>school 47</t>
  </si>
  <si>
    <t>school 48</t>
  </si>
  <si>
    <t>school 49</t>
  </si>
  <si>
    <t>school 50</t>
  </si>
  <si>
    <t>school 51</t>
  </si>
  <si>
    <t>school 52</t>
  </si>
  <si>
    <t>school 53</t>
  </si>
  <si>
    <t>school 54</t>
  </si>
  <si>
    <t>school 55</t>
  </si>
  <si>
    <t>school 56</t>
  </si>
  <si>
    <t>school 57</t>
  </si>
  <si>
    <t>school 58</t>
  </si>
  <si>
    <t>school 59</t>
  </si>
  <si>
    <t>school 60</t>
  </si>
  <si>
    <t>school 61</t>
  </si>
  <si>
    <t>school 62</t>
  </si>
  <si>
    <t>school 63</t>
  </si>
  <si>
    <t>school 64</t>
  </si>
  <si>
    <t>school 65</t>
  </si>
  <si>
    <t>school 66</t>
  </si>
  <si>
    <t>school 67</t>
  </si>
  <si>
    <t>school 68</t>
  </si>
  <si>
    <t>school 69</t>
  </si>
  <si>
    <t>school 70</t>
  </si>
  <si>
    <t>school 71</t>
  </si>
  <si>
    <t>school 72</t>
  </si>
  <si>
    <t>school 73</t>
  </si>
  <si>
    <t>school 74</t>
  </si>
  <si>
    <t>school 75</t>
  </si>
  <si>
    <t>school 76</t>
  </si>
  <si>
    <t>school 77</t>
  </si>
  <si>
    <t>school 78</t>
  </si>
  <si>
    <t>school 79</t>
  </si>
  <si>
    <t>school 80</t>
  </si>
  <si>
    <t>school 81</t>
  </si>
  <si>
    <t>school 82</t>
  </si>
  <si>
    <t>school 83</t>
  </si>
  <si>
    <t>school 84</t>
  </si>
  <si>
    <t>school 85</t>
  </si>
  <si>
    <t>school 86</t>
  </si>
  <si>
    <t>school 87</t>
  </si>
  <si>
    <t>school 88</t>
  </si>
  <si>
    <t>school 89</t>
  </si>
  <si>
    <t>school 90</t>
  </si>
  <si>
    <t>school 91</t>
  </si>
  <si>
    <t>school 92</t>
  </si>
  <si>
    <t>school 93</t>
  </si>
  <si>
    <t>school 94</t>
  </si>
  <si>
    <t>school 95</t>
  </si>
  <si>
    <t>school 96</t>
  </si>
  <si>
    <t>school 97</t>
  </si>
  <si>
    <t>school 98</t>
  </si>
  <si>
    <t>school 99</t>
  </si>
  <si>
    <t>school 100</t>
  </si>
  <si>
    <t>school 101</t>
  </si>
  <si>
    <t>school 102</t>
  </si>
  <si>
    <t>school 103</t>
  </si>
  <si>
    <t>school 104</t>
  </si>
  <si>
    <t>school 105</t>
  </si>
  <si>
    <t>school 106</t>
  </si>
  <si>
    <t>school 107</t>
  </si>
  <si>
    <t>school 108</t>
  </si>
  <si>
    <t>school 109</t>
  </si>
  <si>
    <t>school 110</t>
  </si>
  <si>
    <t>school 111</t>
  </si>
  <si>
    <t>school 112</t>
  </si>
  <si>
    <t>school 113</t>
  </si>
  <si>
    <t>school 114</t>
  </si>
  <si>
    <t>school 115</t>
  </si>
  <si>
    <t>school 116</t>
  </si>
  <si>
    <t>school 117</t>
  </si>
  <si>
    <t>school 118</t>
  </si>
  <si>
    <t>school 119</t>
  </si>
  <si>
    <t>school 120</t>
  </si>
  <si>
    <t>school 121</t>
  </si>
  <si>
    <t>school 122</t>
  </si>
  <si>
    <t>school 123</t>
  </si>
  <si>
    <t>school 124</t>
  </si>
  <si>
    <t>school 125</t>
  </si>
  <si>
    <t>Naam SWV Passend onderwijs</t>
  </si>
  <si>
    <t>Naam SO 9</t>
  </si>
  <si>
    <t xml:space="preserve">Aantal leerlingen SBO </t>
  </si>
  <si>
    <t>Totaal</t>
  </si>
  <si>
    <t>Normatieve bekostiging peil 1-10-2011</t>
  </si>
  <si>
    <t>categorie 1</t>
  </si>
  <si>
    <t>categorie 2</t>
  </si>
  <si>
    <t>categorie 3</t>
  </si>
  <si>
    <t>OVERDRACHTSVERPLICHTING AAN SO</t>
  </si>
  <si>
    <t>cluster 4</t>
  </si>
  <si>
    <t>Personeel</t>
  </si>
  <si>
    <t>Materieel</t>
  </si>
  <si>
    <t>Naam SO 10</t>
  </si>
  <si>
    <t>Naam SO 11</t>
  </si>
  <si>
    <t>Naam SO 12</t>
  </si>
  <si>
    <t>Naam SO 13</t>
  </si>
  <si>
    <t>Naam SO 14</t>
  </si>
  <si>
    <t>Naam SO 15</t>
  </si>
  <si>
    <t>Aantal leerlingen PO (bas, SBO en SO) op 1 oktober T-1</t>
  </si>
  <si>
    <t>Totaal overdrachtsverplichting via DUO 1 okt T-1 per schooljaar</t>
  </si>
  <si>
    <t>Ondersteuningskosten peil 1-10-2011</t>
  </si>
  <si>
    <t>Lumpsumbedragen SBO</t>
  </si>
  <si>
    <t>OP (landelijk) SBO</t>
  </si>
  <si>
    <t>basisbedrag SBO (kalenderjaar T)</t>
  </si>
  <si>
    <t>ondersteuningsbedrag SBO (kalenderjaar T)</t>
  </si>
  <si>
    <t>Personeel in dienst van SWV</t>
  </si>
  <si>
    <t>Dotatie voorziening jubilea</t>
  </si>
  <si>
    <t>Gewogen gemiddelde leeftijd op 1 oktober T-1</t>
  </si>
  <si>
    <t>Bekostiging personeel SWV (art. 132 lid 1)</t>
  </si>
  <si>
    <t>Bekostiging personeel SWV (art. 132 lid 2 en 3)</t>
  </si>
  <si>
    <t>Personele bekostiging Lichte Ondersteuning</t>
  </si>
  <si>
    <t>Saldo financiële baten en lasten</t>
  </si>
  <si>
    <t>Totaal normatieve bekostiging</t>
  </si>
  <si>
    <t>Ambulante begeleiding</t>
  </si>
  <si>
    <t>Naam SO 6</t>
  </si>
  <si>
    <t>Naam SO 7</t>
  </si>
  <si>
    <t>Naam SO 8</t>
  </si>
  <si>
    <t>SWV</t>
  </si>
  <si>
    <t>MI van SBO en SWV</t>
  </si>
  <si>
    <t>Wellicht overbodig te zeggen dat het dan verstandig is een beveiligd exemplaar achter de hand te houden.</t>
  </si>
  <si>
    <t xml:space="preserve">a. In plaats van de overdrachtsverplichting van dit grensverkeer direct aan de SBO te bekostigen, wordt dit verrekend </t>
  </si>
  <si>
    <t xml:space="preserve">samenwerkingsverband nu tot de overdrachtsverplichting in verband met het aantal leerlingen op de peildatum. </t>
  </si>
  <si>
    <t>Desgewenst kan men nog nadere afspraken maken omtrent het grensverkeer dat na de peildatum nog op de SBO wordt ingeschreven.</t>
  </si>
  <si>
    <t xml:space="preserve">terug moet geven aan het samenwerkingsverband. Het ligt uiteraard in de rede dat daarover overleg plaatsvindt, maar geeft in principe </t>
  </si>
  <si>
    <t>Sommatie per categorie SO op teldatum</t>
  </si>
  <si>
    <t xml:space="preserve">Opgave aantal leerlingen per SO op  teldatum </t>
  </si>
  <si>
    <t xml:space="preserve">te laten plaats vinden op basis van de peildatum, zoals dat ook voor de personele bekostiging geldt. Hier kunt u opgeven of u aanvullend overdracht </t>
  </si>
  <si>
    <t>o.b.v. teldatum 1 oktober 2013</t>
  </si>
  <si>
    <t xml:space="preserve">De bekostiging van de MI vindt volgens de wet plaats op basis van de teldatum 1 okt. T-1. Het verband kan besluiten om aanvullend overdracht </t>
  </si>
  <si>
    <t>Overgangsbudget SWV (Vereveningsbedrag)</t>
  </si>
  <si>
    <t>Werkblad 'project'</t>
  </si>
  <si>
    <t>Hierbij worden lasten per project onderscheiden naar personeel en materieel conform de aanduiding van het project in werkblad 'pers'.</t>
  </si>
  <si>
    <t>project 1</t>
  </si>
  <si>
    <t>project 2</t>
  </si>
  <si>
    <t>project 3</t>
  </si>
  <si>
    <t>project 4</t>
  </si>
  <si>
    <t>project 5</t>
  </si>
  <si>
    <t>project 6</t>
  </si>
  <si>
    <t>project 7</t>
  </si>
  <si>
    <t>project 8</t>
  </si>
  <si>
    <t>project 9</t>
  </si>
  <si>
    <t>project 10</t>
  </si>
  <si>
    <t>Projecten</t>
  </si>
  <si>
    <t>omrekening naar schooljaar</t>
  </si>
  <si>
    <t xml:space="preserve">Totaal schooljaar </t>
  </si>
  <si>
    <t>Totaal kalenderjaar</t>
  </si>
  <si>
    <t>Totaal over 2014-2015</t>
  </si>
  <si>
    <t>SPECIFICATIE PROJECTEN</t>
  </si>
  <si>
    <t>zmlk groep  3 t/m 8</t>
  </si>
  <si>
    <t>Naam SBO 1</t>
  </si>
  <si>
    <t>Naam SBO 2</t>
  </si>
  <si>
    <t>Naam SBO 3</t>
  </si>
  <si>
    <t>Naam SBO 4</t>
  </si>
  <si>
    <t>Naam SBO 5</t>
  </si>
  <si>
    <t>Naam SBO 6</t>
  </si>
  <si>
    <t>Naam SBO 7</t>
  </si>
  <si>
    <t>Naam SBO 8</t>
  </si>
  <si>
    <t>Naam SBO 9</t>
  </si>
  <si>
    <t>bekostiging SWV voor ZO voor Mat</t>
  </si>
  <si>
    <t>PAB SO</t>
  </si>
  <si>
    <t>o.g.v landelijke GGL</t>
  </si>
  <si>
    <t>LG</t>
  </si>
  <si>
    <t>LZs</t>
  </si>
  <si>
    <t>ZMLK</t>
  </si>
  <si>
    <t>MG</t>
  </si>
  <si>
    <t>Component AB in budget PAB</t>
  </si>
  <si>
    <t>BUDGET AMBULANTE BEGELEIDING LGF, TREKKINGSRECHTEN, HERBESTEDINGSVERPLICHTING</t>
  </si>
  <si>
    <t>Totaal budget</t>
  </si>
  <si>
    <t>Budget Ambulante begeleiding LGF</t>
  </si>
  <si>
    <t>Herbestedingsverplichting maximaal</t>
  </si>
  <si>
    <t>www.poraad.nl</t>
  </si>
  <si>
    <t>Naam SO 1</t>
  </si>
  <si>
    <t>Naam SO 2</t>
  </si>
  <si>
    <t>Naam SO 3</t>
  </si>
  <si>
    <t>Naam SO 4</t>
  </si>
  <si>
    <t>Naam SO 5</t>
  </si>
  <si>
    <t>Toeslag directeur</t>
  </si>
  <si>
    <t>waarvan zmlk groep  3 t/m 8</t>
  </si>
  <si>
    <t>wv.</t>
  </si>
  <si>
    <t>Deelname percentages landelijk</t>
  </si>
  <si>
    <t>1 oktober</t>
  </si>
  <si>
    <t>SBO-leerlingen</t>
  </si>
  <si>
    <t>SO cat 1</t>
  </si>
  <si>
    <t>SO cat 2</t>
  </si>
  <si>
    <t>SO cat 3</t>
  </si>
  <si>
    <t>SO totaal</t>
  </si>
  <si>
    <t>Ontwikkeling aantal rugzakken</t>
  </si>
  <si>
    <t>Percentage rugzakken SWV</t>
  </si>
  <si>
    <t>Landelijk percentage rugzakken</t>
  </si>
  <si>
    <t>indexering</t>
  </si>
  <si>
    <t>Geindexeerd bedrag</t>
  </si>
  <si>
    <t>Normbekostiging verevening peil 1-10-2011</t>
  </si>
  <si>
    <t>KENGETALLEN</t>
  </si>
  <si>
    <t>Weerstandsvermogen</t>
  </si>
  <si>
    <t xml:space="preserve">Exploitatie kengetallen </t>
  </si>
  <si>
    <t>Indices</t>
  </si>
  <si>
    <t>Ontwikkeling aantal FTE SWV</t>
  </si>
  <si>
    <t>Ontwikkeling totale baten</t>
  </si>
  <si>
    <t>Ontwikkeling Rijksbijdragen</t>
  </si>
  <si>
    <t>Ontwikkeling overige overheidsbijdragen</t>
  </si>
  <si>
    <t>Ontwikkeling overige baten</t>
  </si>
  <si>
    <t>Ontwikkeling totale lasten</t>
  </si>
  <si>
    <t>Ontwikkeling afschrijvingen</t>
  </si>
  <si>
    <t>Ontwikkeling huisvestingslasten</t>
  </si>
  <si>
    <t>Aantal FTE</t>
  </si>
  <si>
    <t>baten personeel</t>
  </si>
  <si>
    <t>lasten personeel</t>
  </si>
  <si>
    <t>Ontwikkeling aantal leerlingen basisscholen</t>
  </si>
  <si>
    <t>Ontwikkeling aantal leerlingen SBO</t>
  </si>
  <si>
    <t>Ontwikkeling totaal aantal leerlingen bas ond</t>
  </si>
  <si>
    <t>Ontwikkeling totaal aantal leerlingen SO categorie 1</t>
  </si>
  <si>
    <t>Ontwikkeling totaal aantal leerlingen SO categorie 2</t>
  </si>
  <si>
    <t>Ontwikkeling totaal aantal leerlingen SO categorie 3</t>
  </si>
  <si>
    <t>Ontwikkeling totaal aantal leerlingen SO</t>
  </si>
  <si>
    <t>GRAFIEKEN</t>
  </si>
  <si>
    <t>Ontwikkeling aantal leerlingen BAS, SBO en SO</t>
  </si>
  <si>
    <t>Werkblad 'ken'</t>
  </si>
  <si>
    <t xml:space="preserve">In dit werkblad worden een aantal relevante kengetallen gepresenteerd. Het betreft algemene kengetallen, financiele kengetallen,  </t>
  </si>
  <si>
    <t>kengetallen omtrent de exploitatie en er zijn enkele indices weergegeven die het verloop van ontwikkelingen aangeven.</t>
  </si>
  <si>
    <t>Werkblad 'graf'</t>
  </si>
  <si>
    <t xml:space="preserve">Door middel van grafieken wordt het verloop van een aantal kengetallen weergegeven. Deze grafieken kunnen ook gekopieerd worden naar </t>
  </si>
  <si>
    <t>In dit werkblad worden de gegevens in verband met specifieke projecten verwerkt. Denk hierbij ook aan o.a. projectactiviteiten van meer tijdelijke aard.</t>
  </si>
  <si>
    <t>dokumenten ter informatie en verantwoording zoals het jaarverslag en uiteraard ook in het ondersteuningsplan.</t>
  </si>
  <si>
    <t>Kosten totaal schooldeel rugzak</t>
  </si>
  <si>
    <t>basisschool</t>
  </si>
  <si>
    <t>voorlopige cijfers</t>
  </si>
  <si>
    <t>ondersteuningsbekostiging personeel 2%</t>
  </si>
  <si>
    <t>Totale ondersteuningsbekostiging 2%</t>
  </si>
  <si>
    <t>basisbekostiging materieel</t>
  </si>
  <si>
    <t>Totale basisbekostiging</t>
  </si>
  <si>
    <t>ondersteuningsbekostiging</t>
  </si>
  <si>
    <t xml:space="preserve">Uitsluitend ter informatie, voor complete bekostiging zie instrument MJB GELD SBO 2014 in Toolbox PO-Raad op de website: </t>
  </si>
  <si>
    <t>MJB SBO Geld</t>
  </si>
  <si>
    <t>ondersteuningsbekostiging materieel 2%</t>
  </si>
  <si>
    <t>Rechtstreekse bekostiging SBO voor wat de basis- en ondersteuningsbekostiging door het Rijk betreft</t>
  </si>
  <si>
    <t>Totaal SBO</t>
  </si>
  <si>
    <t>Rijksbijdragen OCW per SBO</t>
  </si>
  <si>
    <t>Norm bekostiging in fte GPL OP (V)SO</t>
  </si>
  <si>
    <t>Daardoor blijven de begroting SBO en SO als zodanig buiten beeld. Die zijn afzonderlijk als instrument MJB beschikbaar gesteld.</t>
  </si>
  <si>
    <t>De inkomsten en uitgaven van de SBO- en SO-school worden berekend voorzover het gaat om de overdrachtsverplichtingen van het SWV</t>
  </si>
  <si>
    <t xml:space="preserve">Dit betreft de uitputting die aan de orde kan zijn per 1 okt. T-1 (verrekening door DUO) alswel de uitputting die aan de orde kan zijn op basis van de </t>
  </si>
  <si>
    <t>Het meestal grote aantal SO-scholen dat bij het SWV betrokken is, vergt een zorgvuldige registratie.</t>
  </si>
  <si>
    <r>
      <t xml:space="preserve">Een goed inzicht in de </t>
    </r>
    <r>
      <rPr>
        <b/>
        <sz val="10"/>
        <color rgb="FFFF0000"/>
        <rFont val="Calibri"/>
        <family val="2"/>
      </rPr>
      <t>prognose</t>
    </r>
    <r>
      <rPr>
        <sz val="10"/>
        <rFont val="Calibri"/>
        <family val="2"/>
      </rPr>
      <t xml:space="preserve"> van de leerlingen in de meerjarenbegroting van de SBO en de SO-school is </t>
    </r>
    <r>
      <rPr>
        <b/>
        <sz val="10"/>
        <color rgb="FFFF0000"/>
        <rFont val="Calibri"/>
        <family val="2"/>
      </rPr>
      <t>essentieel</t>
    </r>
    <r>
      <rPr>
        <sz val="10"/>
        <rFont val="Calibri"/>
        <family val="2"/>
      </rPr>
      <t xml:space="preserve">. </t>
    </r>
  </si>
  <si>
    <t xml:space="preserve">(Een SBO die in meerdere verbanden functioneert - zeldzaam -, moet qua leerlingenaantal eerst naar rato omvang SWV verdeeld worden.) </t>
  </si>
  <si>
    <r>
      <t>Grensverkeer:</t>
    </r>
    <r>
      <rPr>
        <sz val="10"/>
        <rFont val="Calibri"/>
        <family val="2"/>
      </rPr>
      <t xml:space="preserve"> Opgave van alle leerlingen die in het verband als grensverkeerleerling op de SBO zijn ingeschreven. Dat start dus vanaf 1 augustus 2014! </t>
    </r>
  </si>
  <si>
    <t>Landelijke GPL toepassen</t>
  </si>
  <si>
    <t>De wet biedt de mogelijkheid om de GGL van de school toe te passen bij de berekening van basisbekostiging voor de toepassing van de peildatum.</t>
  </si>
  <si>
    <t xml:space="preserve">Hier kunt u opgeven of u de overdracht op basis van de landeijke GPL wilt laten plaats vinden door 'ja' of 'nee' in te vullen. </t>
  </si>
  <si>
    <t xml:space="preserve">De berekening van de overdracht in verband met de basisbekostiging MI is een benaderd gemiddelde. Het betreft hier namelijk ook het effect van de </t>
  </si>
  <si>
    <t xml:space="preserve">groepsafhankelijke bekostiging die afhankelijk is van de berekening van het aantal groepen. Daarom is de bijdrage van de groepsafhankelijke </t>
  </si>
  <si>
    <t>bekostiging omgerekend in een gemiddeld bedrag per leerling en die uitkomst wordt in dit programma gebruikt.</t>
  </si>
  <si>
    <r>
      <t xml:space="preserve">worden ook de geraamde werkgeverslasten zichtbaar gemaakt. Die zijn in dit model </t>
    </r>
    <r>
      <rPr>
        <b/>
        <sz val="10"/>
        <rFont val="Calibri"/>
        <family val="2"/>
      </rPr>
      <t>op 62% geraamd</t>
    </r>
    <r>
      <rPr>
        <sz val="10"/>
        <rFont val="Calibri"/>
        <family val="2"/>
      </rPr>
      <t xml:space="preserve">, maar het wordt dringend aangeraden het </t>
    </r>
  </si>
  <si>
    <t>Werkblad 'SBO' (verborgen)</t>
  </si>
  <si>
    <t>Hierin wordt per SBO en ook gesommeerd over alle SBO's weergegeven wat de bekostiging inhoudt van het Rijk op basis van de telling 1 okt. T-1</t>
  </si>
  <si>
    <t>met betrekking tot de basisbekostiging (personeel resp. materieel) en met betrekking tot de ondersteuningsbekostiging (personeel resp. materieel).</t>
  </si>
  <si>
    <t xml:space="preserve">Deze berekening is zuiver informatief en voor een complete meerjarenbegroting van baten en lasten van de SBO wordt verwezen naar het instrument </t>
  </si>
  <si>
    <t>MJB SBO GELD dat in de Toolbox op de website van de PO-Raad is opgenomen.</t>
  </si>
  <si>
    <t>Werkblad 'Bekostiging peildatum SO' (verborgen)</t>
  </si>
  <si>
    <t xml:space="preserve">In dit werkblad wordt zichtbaar gemaakt wat het effect is van het besluit van het SWV om de basisbekostiging en de materiele bekostiging op de </t>
  </si>
  <si>
    <t xml:space="preserve">peildatum ook over te dragen aan de betreffende SO-scholen die leerlingen in het SWV hebben. Deze overdracht is niet verplicht volgens de wet </t>
  </si>
  <si>
    <t>maar het advies van de PO- en de VO-Raad is om deze overdracht wel te verstrekken vanuit het uitgangspunt dat voor elke leerling een complete</t>
  </si>
  <si>
    <t>bekostiging dient plaats te vinden.</t>
  </si>
  <si>
    <t>Er geldt voor het SWV geen wettelijke overdrachtsverplichting op de peildatum voor de basisbekostiging en de materiële exploitatie aan de school voor (V)SO.</t>
  </si>
  <si>
    <t>Dan ontvangt de school een complete bekostiging voor elke leerling die er is.</t>
  </si>
  <si>
    <t>waarvan Rijksbijdragen OCW lichte ondersteuning</t>
  </si>
  <si>
    <t>waarvan Rijksbijdragen OCW zware ondersteuning</t>
  </si>
  <si>
    <t>waarvan OverigeOverheidsbijdragen lichte ondersteuning</t>
  </si>
  <si>
    <t>waarvan OverigeOverheidsbijdragen zware ondersteuning</t>
  </si>
  <si>
    <t>waarvan Overige Overheidsbijdragen lichte ondersteuning</t>
  </si>
  <si>
    <t>waarvan Overige Overheidsbijdragen zware ondersteuning</t>
  </si>
  <si>
    <t>basisbekostiging materieel (kalenderjaar T t.o.v. teldatum T-1)</t>
  </si>
  <si>
    <t>ondersteuningsbek. materieel (kal. jaar T t.o.v. teldatum T-1)</t>
  </si>
  <si>
    <t>95% of 90%</t>
  </si>
  <si>
    <t>80% of 75%</t>
  </si>
  <si>
    <t>Rijksbekostiging o.b.v. 1 okt. T-1</t>
  </si>
  <si>
    <t>Personele ondersteuningsbekostiging 2% door Rijk</t>
  </si>
  <si>
    <t>Materiële ondersteuningsbekostiging 2% door Rijk</t>
  </si>
  <si>
    <t>Totale ondersteuningsbekostiging</t>
  </si>
  <si>
    <t>INFORMATIEF Ondersteuningsbekostiging 2% Rijk aan SBO</t>
  </si>
  <si>
    <t xml:space="preserve">Het werkblad begint met een informatief gedeelte, namelijk de gegevens van hetgeen aan ondersteuningsbekostiging door het Rijk o.b.v. de 2% </t>
  </si>
  <si>
    <t xml:space="preserve">bekostiging aan de SBO's wordt toegekend. De weergave is per schooljaar en betekent dat de materiële ondersteuningsbekostiging met </t>
  </si>
  <si>
    <t>de 5/12e en 7/12e omrekening per schooljaar is vastgesteld. Deze informatie is zuiver informatief en wordt verder niet verwerkt.</t>
  </si>
  <si>
    <t xml:space="preserve">In het werkblad wordt de omvang berekend van de overdrachtsverplichtingen aan de SBO die gelden in verband met het aantal leerlingen op de </t>
  </si>
  <si>
    <t>Het (dringende) advies is om 'ja' in te vullen.</t>
  </si>
  <si>
    <r>
      <t xml:space="preserve">Ook is het verborgen werkblad </t>
    </r>
    <r>
      <rPr>
        <sz val="10"/>
        <color rgb="FFC00000"/>
        <rFont val="Calibri"/>
        <family val="2"/>
      </rPr>
      <t>'hlpbl'</t>
    </r>
    <r>
      <rPr>
        <sz val="10"/>
        <rFont val="Calibri"/>
        <family val="2"/>
      </rPr>
      <t xml:space="preserve"> als hulpblad beschikbaar voor de snelle raming van de kosten van een functie.</t>
    </r>
  </si>
  <si>
    <t>Preventieve ambulante begeleiding (PAB)</t>
  </si>
  <si>
    <t>lln. naar schoolsoort SO</t>
  </si>
  <si>
    <t>PAB-budget</t>
  </si>
  <si>
    <t>teruggeplaatste ll SO</t>
  </si>
  <si>
    <t>Component AB in budget Pers- en Arb-beleid</t>
  </si>
  <si>
    <t>Totaal budget AB</t>
  </si>
  <si>
    <t>bijdrage besturen Pers obv peildatum</t>
  </si>
  <si>
    <t>bijdrage besturen Mat obv peildatum</t>
  </si>
  <si>
    <t xml:space="preserve">In dit werkblad wordt de omvang weergegeven van de overdrachtsverplichtingen aan het SO die gelden in verband met het aantal leerlingen op de peildatum. </t>
  </si>
  <si>
    <t xml:space="preserve">De overdracht op basis van de peildatum moet door het SWV zelf verrekend worden met de betreffende SO-scholen, inclusief de eventuele gevolgen van </t>
  </si>
  <si>
    <t>uitputting voor de personele resp. materiële overdracht naar de eigen schoolbesturen in het samenwerkingsverband.</t>
  </si>
  <si>
    <t xml:space="preserve">www.scenariomodelpo.nl </t>
  </si>
  <si>
    <t xml:space="preserve">Voor het berekenen van de overdrachtsbekostiging van de ZO per 1 oktober kan volstaan worden met de invulling van dit werkblad. </t>
  </si>
  <si>
    <t xml:space="preserve">De opgegeven leerlingen betreffen alleen de leerlingen van een SO-school voor dat aantal leerlingen dat tot dit verband moet worden gerekend. </t>
  </si>
  <si>
    <t>in 2017-2018 te stellen op 80% i.p.v. 75%. Is er sprake van een negatief overgangsbudget dan blijven de percentages 90 en 75% van toepassing.</t>
  </si>
  <si>
    <t xml:space="preserve">aan de scholen voor SO. Bij deze toekenning is ook onderscheid opgegeven tussen personele en materiële bekostiging. Het bedrag van de ambulante </t>
  </si>
  <si>
    <t xml:space="preserve">begeleiding is per schoolsoort gelijk voor basisscholen en SBO's. </t>
  </si>
  <si>
    <t xml:space="preserve">Werkblad 'overdr SO' </t>
  </si>
  <si>
    <t xml:space="preserve">Werkblad 'peild SO' </t>
  </si>
  <si>
    <t>Bijdrage besturen ivm uitputting zware ondersteuning 1 oktober</t>
  </si>
  <si>
    <t>Bijdrage besturen ivm uitputting zware ondersteuning 1 februari</t>
  </si>
  <si>
    <t>Bekostiging materieel SWV (art. 118 lid 8 en 9)</t>
  </si>
  <si>
    <t>SWV PO Passend Onderwijs</t>
  </si>
  <si>
    <t xml:space="preserve">is dat er een bijdrage moet worden geleverd voor bijv. de personele uitputting terwijl er voor materiële uitgaven nog een positief saldo is bij het SWV </t>
  </si>
  <si>
    <t xml:space="preserve">in de berekening van de materiële uitputting. </t>
  </si>
  <si>
    <t>bedrag per leerling bas, sbo en so</t>
  </si>
  <si>
    <t>uitputting:</t>
  </si>
  <si>
    <t xml:space="preserve">de eventuele uitputting weergegeven waarvan sprake is voor de overdracht  op basis van de peildatum voor de personele resp. de materiële bekostiging. </t>
  </si>
  <si>
    <r>
      <t xml:space="preserve">Het werkblad geeft </t>
    </r>
    <r>
      <rPr>
        <u/>
        <sz val="10"/>
        <rFont val="Calibri"/>
        <family val="2"/>
      </rPr>
      <t>ter informatie</t>
    </r>
    <r>
      <rPr>
        <sz val="10"/>
        <rFont val="Calibri"/>
        <family val="2"/>
      </rPr>
      <t xml:space="preserve"> ook weer wat de omvang is van de overdracht o.b.v. 1 oktober plus de overdracht o.b.v. de peildatum. Ook wordt</t>
    </r>
  </si>
  <si>
    <t xml:space="preserve">De bijdrage van het SWV aan de SO-scholen op basis van de tel- en de peildatum wordt ter informatie ook omgerekend in een bedrag per leerling voor </t>
  </si>
  <si>
    <t>iedere leerling die tot het SWV wordt gerekend.</t>
  </si>
  <si>
    <t xml:space="preserve">Voor de werkgeverslasten is een raming van het totaalpercentage opgenomen waarbij het dringende advies geldt deze raming bij te stellen op basis van </t>
  </si>
  <si>
    <r>
      <t xml:space="preserve">de overige baten en lasten LO en ZO weergegeven, waaronder de </t>
    </r>
    <r>
      <rPr>
        <u/>
        <sz val="10"/>
        <rFont val="Calibri"/>
        <family val="2"/>
      </rPr>
      <t>huidige</t>
    </r>
    <r>
      <rPr>
        <sz val="10"/>
        <rFont val="Calibri"/>
        <family val="2"/>
      </rPr>
      <t xml:space="preserve"> kosten van de arrangementen (=rugzakkosten) en de omvang van de </t>
    </r>
  </si>
  <si>
    <r>
      <t xml:space="preserve">herbestedingsverplichting (zie werkblad LGF school 14-15). </t>
    </r>
    <r>
      <rPr>
        <b/>
        <i/>
        <sz val="10"/>
        <rFont val="Calibri"/>
        <family val="2"/>
      </rPr>
      <t>Die laatste twee bedragen dienen door u bijgesteld te worden o.b.v. de gemaakte afspraken.</t>
    </r>
  </si>
  <si>
    <t>Duurzame inzetbaarheid</t>
  </si>
  <si>
    <t>Loonkosten</t>
  </si>
  <si>
    <t xml:space="preserve">bijz. budget </t>
  </si>
  <si>
    <t>overgangs-</t>
  </si>
  <si>
    <t>budget</t>
  </si>
  <si>
    <t xml:space="preserve">bijz budget </t>
  </si>
  <si>
    <t>uren</t>
  </si>
  <si>
    <t xml:space="preserve">loonkosten </t>
  </si>
  <si>
    <t>kn. duurz.</t>
  </si>
  <si>
    <t>oudere wn</t>
  </si>
  <si>
    <t>regel. bapo</t>
  </si>
  <si>
    <t>duurz inzet</t>
  </si>
  <si>
    <t>start leerkr</t>
  </si>
  <si>
    <t>excl. duurz inz</t>
  </si>
  <si>
    <t>inzetbaarh.</t>
  </si>
  <si>
    <t>werk ln.</t>
  </si>
  <si>
    <t>loonkn uur</t>
  </si>
  <si>
    <t xml:space="preserve">werkg ln </t>
  </si>
  <si>
    <t>zonder</t>
  </si>
  <si>
    <t>met</t>
  </si>
  <si>
    <t>% eigen</t>
  </si>
  <si>
    <t>maand</t>
  </si>
  <si>
    <t>excl. wg ln</t>
  </si>
  <si>
    <t>incl. wg ln</t>
  </si>
  <si>
    <t>per uur</t>
  </si>
  <si>
    <t>eigen bijdr</t>
  </si>
  <si>
    <t>bijdrage</t>
  </si>
  <si>
    <t>loonkosten SWV</t>
  </si>
  <si>
    <t>totaal personeel SWV</t>
  </si>
  <si>
    <t xml:space="preserve">De informatie over de SBO en de SO-school is voor iedereen beschikbaar via de website van DUO-CFI onder instellingsinformatie en ook via de </t>
  </si>
  <si>
    <t xml:space="preserve">Daarbij moeten de leerlingen die in het eerste jaar voor en na 1 oktober op de SBO zijn ingeschreven, afzonderlijk opgegeven worden in verband met </t>
  </si>
  <si>
    <t xml:space="preserve">Werkblad 'sal pers SWV' </t>
  </si>
  <si>
    <t xml:space="preserve">In dit werkblad kunnen de personele lasten worden opgevoerd van het personeel dat rechtstreeks is aangesteld bij het samenwerkingsverband </t>
  </si>
  <si>
    <t>voor de lichte en de zware ondersteuning. Een nader onderscheid tussen licht en zwaar blijft hierbij achterwege. Opgave naam is vereist voor berekening.</t>
  </si>
  <si>
    <r>
      <t xml:space="preserve">de </t>
    </r>
    <r>
      <rPr>
        <b/>
        <u/>
        <sz val="10"/>
        <rFont val="Calibri"/>
        <family val="2"/>
      </rPr>
      <t>raming</t>
    </r>
    <r>
      <rPr>
        <sz val="10"/>
        <rFont val="Calibri"/>
        <family val="2"/>
      </rPr>
      <t xml:space="preserve"> van 62% aan werkgeverslasten. Onderdeel van de berekening is ook de afzonderlijk berekende en zichtbare kosten Duurzame Inzetbaarheid cf. </t>
    </r>
  </si>
  <si>
    <t>de laatste cao PO. De verschillende verlofmogelijkheden zijn afzonderlijk zichtbaar.</t>
  </si>
  <si>
    <t>De hier vermelde kostenopgaven worden verwerkt in de werkbladen 'pers' en 'mat' bij projecten.</t>
  </si>
  <si>
    <t>De kosten van personeel aangesteld bij het SWV worden in het werkblad 'sal pers SWV' berekend en verwerkt.</t>
  </si>
  <si>
    <t>versie</t>
  </si>
  <si>
    <t>budget per lln</t>
  </si>
  <si>
    <t>budget pers per lln</t>
  </si>
  <si>
    <t>budget mat per lln</t>
  </si>
  <si>
    <t>budget pers tot</t>
  </si>
  <si>
    <t>budget mat tot</t>
  </si>
  <si>
    <t>Totaal projecten (personeel/ op schooljaar basis)</t>
  </si>
  <si>
    <t>Totaal projecten (materieel/ op kalenderjaarbasis)</t>
  </si>
  <si>
    <t>Mat LGF 2015</t>
  </si>
  <si>
    <t>het percentage zoals dat voor de eigen situatie daadwerkelijk van toepassing is.</t>
  </si>
  <si>
    <t>Pers LGF 15-16</t>
  </si>
  <si>
    <t>verschil</t>
  </si>
  <si>
    <t>GPL BAS</t>
  </si>
  <si>
    <t>GPL (V)SO</t>
  </si>
  <si>
    <t>Schooldeel</t>
  </si>
  <si>
    <t>Opgave OCW 15/16</t>
  </si>
  <si>
    <t>Mat LGF 2016</t>
  </si>
  <si>
    <t>comp AB budget P&amp;A</t>
  </si>
  <si>
    <t>2022/23</t>
  </si>
  <si>
    <t xml:space="preserve">peildatum (verrekening door het SWV zelf). De uitputting wordt vastgesteld voor de personele resp. materiële bekostiging afzonderlijk waardoor het mogelijk </t>
  </si>
  <si>
    <t xml:space="preserve">Voor het berekenen van de bekostiging voor de Lichte Ondersteuning (LO)  kan volstaan worden met de invulling van dit werkblad. </t>
  </si>
  <si>
    <t xml:space="preserve">De herbestedingsverplichting is in de wet aangegeven als de middelen die samenhangen met de LGF van 1 okt. 2013. Daarnaast is in het tripartite </t>
  </si>
  <si>
    <t>akkoord aangegeven dat SWV en (V)SO-scholen nader moeten overleggen over de andere componenten die met ambulante begeleiding samenhangen.</t>
  </si>
  <si>
    <t xml:space="preserve">Daartoe worden gerekend de preventieve ambulante begeleiding, en de component ambulante begeleiding in het budget </t>
  </si>
  <si>
    <t>Personeels- en Arbeidsmarktbeleid (P&amp;A). De terugplaatsings ambulante begeleiding blijft hierbij dus buiten beschouwing.</t>
  </si>
  <si>
    <t xml:space="preserve">Het SWV dient zelf na te gaan wat de behoefte is aan expertise en ervaring vanuit de SO-school en binnen dat kader streven naar zoveel mogelijk </t>
  </si>
  <si>
    <t>behoud van werkgelegenheid. Het gaat hierbij om een inspanningsverplichting.</t>
  </si>
  <si>
    <t>De toekenning van het schooldeel LGF wordt berekend per basisschool resp. SBO maar toegekend aan het SWV.</t>
  </si>
  <si>
    <t xml:space="preserve">Daarom volstaat de berekening met de aantallen rugzakken per soort rugzak zoals die aan de basisscholen en SBO's in het betreffende SWV zijn </t>
  </si>
  <si>
    <t xml:space="preserve">herbestedingsverplichting geldt. Deze bedragen worden vastgesteld op basis van de telling van 1 oktober 2013. Na 2015-2016 wordt het verhoogd met </t>
  </si>
  <si>
    <t>ingevoerd. Ook kunnen hier de projecten van een aanduiding worden voorzien die in een ander werkblad (project) nader kunnen worden ingevuld.</t>
  </si>
  <si>
    <t xml:space="preserve">De gegevens van het personeel worden voor de jaren daarna automatisch aangepast wat inschaling , aantal dienstjaren e.d. betreft. </t>
  </si>
  <si>
    <t>Opgave van een nieuw personeelslid kan nog in latere jaren plaatsvinden.</t>
  </si>
  <si>
    <t>ingevoerd. De bij 'pers' nader aangeduide projecten komen hier als zodanig terug.</t>
  </si>
  <si>
    <t>bijdrage Pers obv tel- en peildatum</t>
  </si>
  <si>
    <t>bijdrage Mat obv tel- en peildatum</t>
  </si>
  <si>
    <t>Arrangementen (cf. niveau opgave LGF 14-15)</t>
  </si>
  <si>
    <t>Herbestedingsverplichting AB LGF maximaal</t>
  </si>
  <si>
    <t xml:space="preserve">bekostiging personeel resp. materieel in het betreffende SWV op 1 februari t.o.v. 1 oktober daaraan voorafgaand niet te laten leiden tot </t>
  </si>
  <si>
    <t>U kunt uw keuze opgeven in de Kijkdoos.</t>
  </si>
  <si>
    <t>LOONKOSTEN PERSONEEL ONDERSTEUNING SWV</t>
  </si>
  <si>
    <t>Landelijk deelnamepercentage 1 okt 2014 en daarna</t>
  </si>
  <si>
    <t>Landelijk deelnamepercentage 1 okt. 2013 en daarna</t>
  </si>
  <si>
    <t xml:space="preserve">De PO- en de VO-Raad adviseren om toch een complete bekostiging toe te kennen, ook voor de extra leerlingen die in het voorafgaande schooljaar na 1 oktober </t>
  </si>
  <si>
    <t xml:space="preserve">T-1 en voor 2 februari bij de (V)SO-school zijn ingeschreven. </t>
  </si>
  <si>
    <t>Voorziening duurzame inzetbaarheid (ouderenverlof)</t>
  </si>
  <si>
    <t>Solvabiliteit 2</t>
  </si>
  <si>
    <t>rijksbijdragen/  totale baten</t>
  </si>
  <si>
    <t>overige overheidsbijdragen/ totale baten</t>
  </si>
  <si>
    <t>overige baten/  totale baten</t>
  </si>
  <si>
    <t>personele lasten/totale baten</t>
  </si>
  <si>
    <t>totale baten/ rijksbijdragen</t>
  </si>
  <si>
    <t>totale lasten/ rijksbijdragen</t>
  </si>
  <si>
    <t xml:space="preserve">personele lasten/ rijksbijdragen </t>
  </si>
  <si>
    <t xml:space="preserve">materiële lasten/ rijksbijdragen </t>
  </si>
  <si>
    <t>investeringen/  totale baten</t>
  </si>
  <si>
    <t>totale baten (incl. financiële baten)</t>
  </si>
  <si>
    <t xml:space="preserve">loonkosten/ per FTE </t>
  </si>
  <si>
    <t>kosten duurzame inzetbaarheid</t>
  </si>
  <si>
    <t>duurzame inzetbaarheid (in uren)</t>
  </si>
  <si>
    <t>lasten herbezettingsverplichting</t>
  </si>
  <si>
    <t>Ontwikkeling salarislasten</t>
  </si>
  <si>
    <t>Ontwikkeling overige lasten (materieel)</t>
  </si>
  <si>
    <t>Ontwikkeling lasten personeel</t>
  </si>
  <si>
    <t>lasten besturen basisscholen</t>
  </si>
  <si>
    <t>Toegekend aan besturen basisscholen</t>
  </si>
  <si>
    <t>overdrachtsverplichting SBO peildatum 1 febr</t>
  </si>
  <si>
    <t>overdrachtsverplichting SO peildatum 1 febr</t>
  </si>
  <si>
    <t>lasten arrangementen</t>
  </si>
  <si>
    <t>uitputting bekostiging zware ondersteuning</t>
  </si>
  <si>
    <t>Kapitalisatiefactor (incl. privaat vermogen)</t>
  </si>
  <si>
    <t>eigen bijdrage DI (dir, op en oop &gt;8)</t>
  </si>
  <si>
    <t>werkgeverslasten bij opname verlof</t>
  </si>
  <si>
    <t>eigen bijdrage DI (oop ≤8))</t>
  </si>
  <si>
    <t>Saldo liquide middelen 31 dec t-1</t>
  </si>
  <si>
    <t>Meerjarenbegroting Samenwerkingsverband Passend Onderwijs 2016</t>
  </si>
  <si>
    <t xml:space="preserve">In de werkbladen kunnen de witte cellen binnen de grijze omlijsting ingevuld worden. De heel lichtgele cellen bevatten een formule maar die kan </t>
  </si>
  <si>
    <t xml:space="preserve">wel overschreven worden. De felgele velden zijn voorzien van een formule die niet overschreven kan worden. </t>
  </si>
  <si>
    <r>
      <t xml:space="preserve">Om te weten hoeveel elke SBO aan basisbekostiging en 2% ondersteuningsbekostiging van het Rijk ontvangt, is er het verborgen werkblad </t>
    </r>
    <r>
      <rPr>
        <sz val="10"/>
        <color rgb="FFC00000"/>
        <rFont val="Calibri"/>
        <family val="2"/>
      </rPr>
      <t>'SBO'</t>
    </r>
    <r>
      <rPr>
        <sz val="10"/>
        <rFont val="Calibri"/>
        <family val="2"/>
      </rPr>
      <t>.</t>
    </r>
  </si>
  <si>
    <t xml:space="preserve">Houd er rekening mee dat het grensverkeer in 2014-2015 startte en er dus geen bekostiging voor grensverkeerleerlingen in dat schooljaar </t>
  </si>
  <si>
    <t xml:space="preserve">de SBO. In dat geval wordt een negatieve overdrachtsverplichting berekend, wat inhoudt dat de SBO in principe ondersteuningsmiddelen </t>
  </si>
  <si>
    <t xml:space="preserve">De groeigegevens van het kijkglas 3 zijn integraal verwerkt in de Kijkdoos, die na invoering van het Brinnummer van het verband direct de personele </t>
  </si>
  <si>
    <t>kalenderjaar laat zien. Voor de (V)SO-school is er een soortgelijke Kijkdoos. De kijkdozen zijn te vinden op de website van de PO-Raad onder Toolbox.</t>
  </si>
  <si>
    <t>De peildatum is wettelijk op 1 februari gesteld.</t>
  </si>
  <si>
    <t>Daardoor vond er voor 2014-2015 nog geen overdracht plaats vanwege de T-1 systematiek.</t>
  </si>
  <si>
    <t xml:space="preserve">In dit werkblad wordt de berekening weergegeven van de toekenning van de leerlinggebonden financiering (LGF) schooldeel zoals die </t>
  </si>
  <si>
    <t xml:space="preserve">Een soortgelijke berekening vindt plaats van de omvang van het totale budget ambulante begeleiding dat voor de (rugzak)leerlingen werd bekostigd </t>
  </si>
  <si>
    <t xml:space="preserve">overdrachtsverplichting per SO-school voor het schooljaar volgend op 1 februari en de materiële overdrachtsverplichting per kalenderjaar voor het </t>
  </si>
  <si>
    <t xml:space="preserve">aanvullende overdracht te laten vallen. Het advies is om ook de MI over te dragen. </t>
  </si>
  <si>
    <t>In overleg met de PO-Raad, de VO-Raad en het ministerie is besloten om daarbij een daling van het aantal leerlingen van een school in een SWV voor de</t>
  </si>
  <si>
    <t>Het onderscheid LO en ZO is hierbij niet reëel mogelijk en is daarom achterwege gebleven.</t>
  </si>
  <si>
    <t>HERBESTEDINGSVERPLICHTING 2015-2016</t>
  </si>
  <si>
    <t>Overige rijksbijdragen OCW</t>
  </si>
  <si>
    <t>Loonkosten (incl. werkgeverslasten)</t>
  </si>
  <si>
    <t/>
  </si>
  <si>
    <t xml:space="preserve">Een goede prognose van het aantal basisschoolleerlingen is te vinden:    </t>
  </si>
  <si>
    <t xml:space="preserve">De omvang van dit totale bedrag is van belang omdat dit het (maximale) bedrag is waarvoor trekkingsrechten bestonden in 2014-2015 vanuit het SWV </t>
  </si>
  <si>
    <t xml:space="preserve">op de betreffende SO-scholen. Voor de herbestedingsverplichting in 2015-2016 geldt dit (na indexering) ook als het maximale bedrag waarvoor de </t>
  </si>
  <si>
    <t>Ook de nieuwste bedragen uit de sheets van OCW en ook het effect van de nieuwe EMB-regeling zijn verwerkt (Stcrt 2015 nr. 19108).</t>
  </si>
  <si>
    <t>Werkblad 'herbest'</t>
  </si>
  <si>
    <t>PEILDATUM: OVERDRACHTSVERPLICHTING AAN SO EN BEREKENING EVENTUELE UITPUTTING</t>
  </si>
  <si>
    <r>
      <t>Percentages 1 oktober T-1:</t>
    </r>
    <r>
      <rPr>
        <sz val="10"/>
        <rFont val="Calibri"/>
        <family val="2"/>
      </rPr>
      <t xml:space="preserve"> Het deelnamepercentage wordt hier berekend waarbij onderscheid wordt gemaakt in het totaal </t>
    </r>
  </si>
  <si>
    <r>
      <t>geeft het zuiverst het deelname</t>
    </r>
    <r>
      <rPr>
        <b/>
        <sz val="10"/>
        <rFont val="Calibri"/>
        <family val="2"/>
      </rPr>
      <t>percentage</t>
    </r>
    <r>
      <rPr>
        <sz val="10"/>
        <rFont val="Calibri"/>
        <family val="2"/>
      </rPr>
      <t xml:space="preserve"> van het verband weer.</t>
    </r>
  </si>
  <si>
    <t>Voor de bepaling van het overgangsbudget vult u de bedragen in die DUO voor u heeft vastgesteld in de beschikking o.b.v. de leerlingtelling van 1 okt. 2011.</t>
  </si>
  <si>
    <t xml:space="preserve">peildatum dat meestal boven de 2% ligt. Daarbij is er geen keuze meer van de peildatum: die is 1 februari. Voor de MI is er de keuze om die ook onder de </t>
  </si>
  <si>
    <r>
      <t xml:space="preserve">De bedragen worden opgehaald uit het werkblad 'pers' resp. 'mat' zoals ze daar op basis van de uitkomsten in de </t>
    </r>
    <r>
      <rPr>
        <b/>
        <sz val="10"/>
        <rFont val="Calibri"/>
        <family val="2"/>
      </rPr>
      <t>Kijkdoos</t>
    </r>
    <r>
      <rPr>
        <sz val="10"/>
        <rFont val="Calibri"/>
        <family val="2"/>
      </rPr>
      <t xml:space="preserve"> SWV PO zijn ingevuld voor </t>
    </r>
  </si>
  <si>
    <t xml:space="preserve">Daarbij is rekening gehouden met de categoriën voor de ondersteuning en met de bekostiging onderscheiden naar lln. jonger dan 8 jaar en 8 jaar en ouder. </t>
  </si>
  <si>
    <t>van toename van het totaal aantal leerlingen. Zo niet, dan wordt de overdrachtsverplichting op nul gesteld. Zie de kijkdoos waarin deze regels verwerkt zijn.</t>
  </si>
  <si>
    <t xml:space="preserve">een terugbetaling. De uitkomst wordt in dat geval € 0,00. Ook wordt de uitkomst van -8 jr en 8+ jr met elkaar verrekend onder de voorwaarde dat er sprake is </t>
  </si>
  <si>
    <t xml:space="preserve">Indexering voor 2015-2016 </t>
  </si>
  <si>
    <t>Met prijsindex P 2015-2016 april 2015 en M 2015</t>
  </si>
  <si>
    <t>Arrangementen (cf. niveau LGF 14-15 met index 15-16)</t>
  </si>
  <si>
    <t>Normatieve bekostiging</t>
  </si>
  <si>
    <t>Bijstelling van versie 27 sept. 2015:</t>
  </si>
  <si>
    <t xml:space="preserve"> - De bijstelling betreft de invoering van de nieuwe bedragen in het blad 'tab' o.b.v. de Regeling bekostiging personeel PO </t>
  </si>
  <si>
    <t>worden alle inkomende resp. uitgaande grensverkeerleerlingen per SWV over en weer gesommeerd.</t>
  </si>
  <si>
    <t>plaatsvond, maar nu pas voor het eerst in het schooljaar 2015-2016 (T-1 systematiek).</t>
  </si>
  <si>
    <t>de totale bedragen nu uitgesplitst naar personeel en materieel. Het berekende 100% bedrag wordt vervolgens geindexeerd (zie 'tab' vanaf rij 80).</t>
  </si>
  <si>
    <t xml:space="preserve">toegekend op basis van de telling 1 okt. 2013, met de prijzen van voorjaar 2015 en gevolgd door de indexering. </t>
  </si>
  <si>
    <t>de index zoals opgegeven in de Regeling bekostiging van 26 okt. 2015 in art. 29.</t>
  </si>
  <si>
    <t xml:space="preserve">het schooljaar 2015-2016 resp. kalenderjaar 2015 en geraamd voor de jaren daarna (regel 135 resp. regel 148). Het instrument Kijkdoos is eveneens </t>
  </si>
  <si>
    <t>geupdatet met de nieuwste bedragen.</t>
  </si>
  <si>
    <t>Voor de materiële instandhouding (Londo) betreft het de bedragen voor 2015 en 2016.</t>
  </si>
  <si>
    <t>( Stcrt 2015 nr. 36610, d.d. 15 oktober 2015.)</t>
  </si>
  <si>
    <r>
      <t xml:space="preserve">De bedragen betreffen de bedragen zoals die voor het schooljaar voor </t>
    </r>
    <r>
      <rPr>
        <b/>
        <sz val="10"/>
        <rFont val="Calibri"/>
        <family val="2"/>
      </rPr>
      <t>2015-2016 in oktober 2015</t>
    </r>
    <r>
      <rPr>
        <sz val="10"/>
        <rFont val="Calibri"/>
        <family val="2"/>
      </rPr>
      <t xml:space="preserve"> voorlopig zijn gepubliceerd. </t>
    </r>
  </si>
  <si>
    <t>verhoging t.o.v. 2016</t>
  </si>
  <si>
    <t>piet</t>
  </si>
  <si>
    <t>Bijstelling versie 20 juni 2016:</t>
  </si>
  <si>
    <t xml:space="preserve"> - De bijstelling betreft vooral de nieuwe salarisbedragen vanaf 1 januari 2016.</t>
  </si>
  <si>
    <t xml:space="preserve">zogenaamde kijkglazen. Er zijn nu vijf kijkglazen beschikbaar. </t>
  </si>
  <si>
    <t xml:space="preserve">Ook DUO levert prognoses per school: </t>
  </si>
  <si>
    <t xml:space="preserve">Open Onderwijsdata DUO </t>
  </si>
  <si>
    <t xml:space="preserve">Daarbij geldt een overgangsbudget voor personeel resp. materieel (Artikel XV resp. XVI van de wet). In de opgave 2014/15 van het ministerie worden </t>
  </si>
  <si>
    <r>
      <t xml:space="preserve">Er is besloten om het percentage dat geldt voor de </t>
    </r>
    <r>
      <rPr>
        <u/>
        <sz val="10"/>
        <rFont val="Calibri"/>
        <family val="2"/>
      </rPr>
      <t>afbouw van het positieve overgangsbudget</t>
    </r>
    <r>
      <rPr>
        <sz val="10"/>
        <rFont val="Calibri"/>
        <family val="2"/>
      </rPr>
      <t xml:space="preserve"> in 2016-2017 te stellen op 95% i.p.v. 90% en </t>
    </r>
  </si>
  <si>
    <t xml:space="preserve">geldt voor het schooljaar 2014-2015 (zie de sheets van OCW) met daarbij toegepast de prijsbijstelling en indexering naar 2015-2016. </t>
  </si>
  <si>
    <t>De indeling van de Staat van baten en lasten volgt de betreffende voorschriften omtrent de jaarrekening.</t>
  </si>
  <si>
    <t>Uit de gegevens kunnen, samen met de gegevens van verplichte en generieke overdrachten, de opbouw van de balans voor het SWV worden gemaakt.</t>
  </si>
  <si>
    <t>Ook de Balans volgt de indeling conform de voorschriften voor de jaarrekening en is ook de specifieke indeling voor het SWV te maken.</t>
  </si>
  <si>
    <r>
      <t xml:space="preserve">Als salaristabellen zijn die van </t>
    </r>
    <r>
      <rPr>
        <b/>
        <sz val="10"/>
        <rFont val="Calibri"/>
        <family val="2"/>
      </rPr>
      <t>1 sept. 2015</t>
    </r>
    <r>
      <rPr>
        <sz val="10"/>
        <rFont val="Calibri"/>
        <family val="2"/>
      </rPr>
      <t xml:space="preserve"> en de </t>
    </r>
    <r>
      <rPr>
        <b/>
        <sz val="10"/>
        <rFont val="Calibri"/>
        <family val="2"/>
      </rPr>
      <t>nieuwe van 1 jan. 2016</t>
    </r>
    <r>
      <rPr>
        <sz val="10"/>
        <rFont val="Calibri"/>
        <family val="2"/>
      </rPr>
      <t xml:space="preserve"> opgenomen.</t>
    </r>
  </si>
  <si>
    <t>veelal met name ook gaat om de voormalige LGF zal er meestal sprake zijn van een specifieke aanvullende opgave per school.</t>
  </si>
  <si>
    <t xml:space="preserve"> - De indexering i.v.m. de herbesteding is bijgesteld conform de info op pg. 20 van de publicatie van 26 okt. 2015.</t>
  </si>
  <si>
    <t xml:space="preserve"> - In verband met het voorgaande is de toelichting op enkele punten bijgesteld.</t>
  </si>
  <si>
    <t>Verwachting is dat er nog een ophoging van de GPL bedragen komt die najaar 2016 bekend zal worden gemaakt.</t>
  </si>
  <si>
    <r>
      <t xml:space="preserve">Er zijn ook de verborgen werkbladen </t>
    </r>
    <r>
      <rPr>
        <sz val="10"/>
        <color rgb="FFC00000"/>
        <rFont val="Calibri"/>
        <family val="2"/>
      </rPr>
      <t xml:space="preserve">'bas LO', 'bas ZO', 'herbest', 'peild SBO', 'overdr SO' </t>
    </r>
    <r>
      <rPr>
        <sz val="10"/>
        <rFont val="Calibri"/>
        <family val="2"/>
      </rPr>
      <t>waarin gegevens zijn te vinden.</t>
    </r>
  </si>
  <si>
    <t>PO9999</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</si>
</sst>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2" formatCode="_ &quot;€&quot;\ * #,##0_ ;_ &quot;€&quot;\ * \-#,##0_ ;_ &quot;€&quot;\ * &quot;-&quot;_ ;_ @_ "/>
    <numFmt numFmtId="44" formatCode="_ &quot;€&quot;\ * #,##0.00_ ;_ &quot;€&quot;\ * \-#,##0.00_ ;_ &quot;€&quot;\ * &quot;-&quot;??_ ;_ @_ "/>
    <numFmt numFmtId="164" formatCode="_-&quot;€&quot;\ * #,##0_-;_-&quot;€&quot;\ * #,##0\-;_-&quot;€&quot;\ * &quot;-&quot;_-;_-@_-"/>
    <numFmt numFmtId="165" formatCode="_-&quot;€&quot;\ * #,##0.00_-;_-&quot;€&quot;\ * #,##0.00\-;_-&quot;€&quot;\ * &quot;-&quot;??_-;_-@_-"/>
    <numFmt numFmtId="166" formatCode="_(&quot;€&quot;\ * #,##0_);_(&quot;€&quot;\ * \(#,##0\);_(&quot;€&quot;\ * &quot;-&quot;_);_(@_)"/>
    <numFmt numFmtId="167" formatCode="_(&quot;€&quot;\ * #,##0.00_);_(&quot;€&quot;\ * \(#,##0.00\);_(&quot;€&quot;\ * &quot;-&quot;??_);_(@_)"/>
    <numFmt numFmtId="168" formatCode="_-&quot;fl&quot;\ * #,##0.00_-;_-&quot;fl&quot;\ * #,##0.00\-;_-&quot;fl&quot;\ * &quot;-&quot;??_-;_-@_-"/>
    <numFmt numFmtId="169" formatCode="0.0000"/>
    <numFmt numFmtId="170" formatCode="0.00000"/>
    <numFmt numFmtId="171" formatCode="_-&quot;€&quot;\ * #,##0_-;_-&quot;€&quot;\ * #,##0\-;_-&quot;€&quot;\ * &quot;-&quot;??_-;_-@_-"/>
    <numFmt numFmtId="172" formatCode="&quot;€&quot;\ #,##0_-"/>
    <numFmt numFmtId="173" formatCode="#,##0_ ;\-#,##0\ "/>
    <numFmt numFmtId="174" formatCode="0.0%"/>
    <numFmt numFmtId="175" formatCode="dd/mm/yy"/>
    <numFmt numFmtId="176" formatCode="d\ mmmm\ yyyy"/>
    <numFmt numFmtId="177" formatCode="[$-413]d/mmm/yy;@"/>
    <numFmt numFmtId="178" formatCode="#,##0.0_ ;\-#,##0.0\ "/>
    <numFmt numFmtId="179" formatCode="[$-413]d/mmm;@"/>
    <numFmt numFmtId="180" formatCode="0.0000%"/>
    <numFmt numFmtId="181" formatCode="_([$€-413]\ * #,##0_);_([$€-413]\ * \(#,##0\);_([$€-413]\ * &quot;-&quot;_);_(@_)"/>
    <numFmt numFmtId="182" formatCode="_-&quot;€&quot;\ * #,##0.00_-;_-&quot;€&quot;\ * #,##0.00\-;_-&quot;€&quot;\ * &quot;-&quot;_-;_-@_-"/>
    <numFmt numFmtId="183" formatCode="&quot;€&quot;\ #,##0.00_-"/>
    <numFmt numFmtId="184" formatCode="0_ ;\-0\ "/>
    <numFmt numFmtId="185" formatCode="0.000%"/>
    <numFmt numFmtId="186" formatCode="_(&quot;€&quot;* #,##0_);_(&quot;€&quot;* \(#,##0\);_(&quot;€&quot;* &quot;-&quot;_);_(@_)"/>
    <numFmt numFmtId="187" formatCode="_(&quot;€&quot;* #,##0.00_);_(&quot;€&quot;* \(#,##0.00\);_(&quot;€&quot;* &quot;-&quot;??_);_(@_)"/>
    <numFmt numFmtId="188" formatCode="0.0"/>
    <numFmt numFmtId="189" formatCode="0.000000"/>
    <numFmt numFmtId="190" formatCode="_ [$€-413]\ * #,##0.00_ ;_ [$€-413]\ * \-#,##0.00_ ;_ [$€-413]\ * &quot;-&quot;??_ ;_ @_ "/>
    <numFmt numFmtId="191" formatCode="#,##0.0000_ ;\-#,##0.0000\ "/>
    <numFmt numFmtId="192" formatCode="0.0000_ ;\-0.0000\ "/>
    <numFmt numFmtId="193" formatCode="[$-413]d/mmm/yyyy;@"/>
  </numFmts>
  <fonts count="167" x14ac:knownFonts="1">
    <font>
      <sz val="10"/>
      <name val="Arial"/>
    </font>
    <font>
      <sz val="10"/>
      <name val="Arial"/>
      <family val="2"/>
    </font>
    <font>
      <sz val="8"/>
      <color indexed="81"/>
      <name val="Tahoma"/>
      <family val="2"/>
    </font>
    <font>
      <sz val="9"/>
      <color indexed="81"/>
      <name val="Tahoma"/>
      <family val="2"/>
    </font>
    <font>
      <u/>
      <sz val="10"/>
      <color indexed="12"/>
      <name val="Arial"/>
      <family val="2"/>
    </font>
    <font>
      <sz val="8"/>
      <name val="Arial"/>
      <family val="2"/>
    </font>
    <font>
      <sz val="10"/>
      <name val="Calibri"/>
      <family val="2"/>
    </font>
    <font>
      <b/>
      <sz val="10"/>
      <name val="Calibri"/>
      <family val="2"/>
    </font>
    <font>
      <b/>
      <sz val="10"/>
      <color indexed="10"/>
      <name val="Calibri"/>
      <family val="2"/>
    </font>
    <font>
      <u/>
      <sz val="10"/>
      <name val="Calibri"/>
      <family val="2"/>
    </font>
    <font>
      <b/>
      <u/>
      <sz val="10"/>
      <name val="Calibri"/>
      <family val="2"/>
    </font>
    <font>
      <b/>
      <sz val="12"/>
      <name val="Calibri"/>
      <family val="2"/>
    </font>
    <font>
      <sz val="10"/>
      <name val="Calibri"/>
      <family val="2"/>
    </font>
    <font>
      <b/>
      <sz val="10"/>
      <name val="Calibri"/>
      <family val="2"/>
    </font>
    <font>
      <b/>
      <i/>
      <sz val="10"/>
      <name val="Calibri"/>
      <family val="2"/>
    </font>
    <font>
      <b/>
      <sz val="14"/>
      <name val="Calibri"/>
      <family val="2"/>
    </font>
    <font>
      <i/>
      <sz val="10"/>
      <name val="Calibri"/>
      <family val="2"/>
    </font>
    <font>
      <sz val="14"/>
      <name val="Calibri"/>
      <family val="2"/>
    </font>
    <font>
      <sz val="12"/>
      <name val="Calibri"/>
      <family val="2"/>
    </font>
    <font>
      <sz val="11"/>
      <name val="Calibri"/>
      <family val="2"/>
    </font>
    <font>
      <b/>
      <sz val="11"/>
      <name val="Calibri"/>
      <family val="2"/>
    </font>
    <font>
      <b/>
      <i/>
      <sz val="12"/>
      <name val="Calibri"/>
      <family val="2"/>
    </font>
    <font>
      <i/>
      <sz val="10"/>
      <color indexed="10"/>
      <name val="Calibri"/>
      <family val="2"/>
    </font>
    <font>
      <b/>
      <i/>
      <sz val="10"/>
      <color indexed="10"/>
      <name val="Calibri"/>
      <family val="2"/>
    </font>
    <font>
      <b/>
      <sz val="14"/>
      <color indexed="10"/>
      <name val="Calibri"/>
      <family val="2"/>
    </font>
    <font>
      <b/>
      <sz val="10"/>
      <color indexed="10"/>
      <name val="Calibri"/>
      <family val="2"/>
    </font>
    <font>
      <sz val="10"/>
      <color indexed="10"/>
      <name val="Calibri"/>
      <family val="2"/>
    </font>
    <font>
      <sz val="14"/>
      <color indexed="10"/>
      <name val="Calibri"/>
      <family val="2"/>
    </font>
    <font>
      <i/>
      <sz val="14"/>
      <color indexed="10"/>
      <name val="Calibri"/>
      <family val="2"/>
    </font>
    <font>
      <sz val="8"/>
      <name val="Calibri"/>
      <family val="2"/>
    </font>
    <font>
      <b/>
      <sz val="10"/>
      <color indexed="18"/>
      <name val="Calibri"/>
      <family val="2"/>
    </font>
    <font>
      <i/>
      <sz val="10"/>
      <color indexed="62"/>
      <name val="Calibri"/>
      <family val="2"/>
    </font>
    <font>
      <sz val="10"/>
      <color indexed="62"/>
      <name val="Calibri"/>
      <family val="2"/>
    </font>
    <font>
      <b/>
      <i/>
      <sz val="14"/>
      <name val="Calibri"/>
      <family val="2"/>
    </font>
    <font>
      <b/>
      <sz val="10"/>
      <color indexed="62"/>
      <name val="Calibri"/>
      <family val="2"/>
    </font>
    <font>
      <b/>
      <sz val="10"/>
      <color indexed="9"/>
      <name val="Calibri"/>
      <family val="2"/>
    </font>
    <font>
      <sz val="10"/>
      <color indexed="8"/>
      <name val="Calibri"/>
      <family val="2"/>
    </font>
    <font>
      <sz val="10"/>
      <color indexed="12"/>
      <name val="Calibri"/>
      <family val="2"/>
    </font>
    <font>
      <b/>
      <sz val="11"/>
      <color indexed="9"/>
      <name val="Calibri"/>
      <family val="2"/>
    </font>
    <font>
      <b/>
      <sz val="14"/>
      <color indexed="60"/>
      <name val="Calibri"/>
      <family val="2"/>
    </font>
    <font>
      <i/>
      <sz val="10"/>
      <color indexed="60"/>
      <name val="Calibri"/>
      <family val="2"/>
    </font>
    <font>
      <sz val="10"/>
      <color indexed="60"/>
      <name val="Calibri"/>
      <family val="2"/>
    </font>
    <font>
      <b/>
      <i/>
      <sz val="10"/>
      <color indexed="60"/>
      <name val="Calibri"/>
      <family val="2"/>
    </font>
    <font>
      <b/>
      <sz val="10"/>
      <color indexed="60"/>
      <name val="Calibri"/>
      <family val="2"/>
    </font>
    <font>
      <b/>
      <i/>
      <sz val="10"/>
      <color indexed="9"/>
      <name val="Calibri"/>
      <family val="2"/>
    </font>
    <font>
      <sz val="10"/>
      <color indexed="9"/>
      <name val="Calibri"/>
      <family val="2"/>
    </font>
    <font>
      <b/>
      <sz val="10"/>
      <color indexed="9"/>
      <name val="Calibri"/>
      <family val="2"/>
    </font>
    <font>
      <sz val="10"/>
      <color indexed="81"/>
      <name val="Tahoma"/>
      <family val="2"/>
    </font>
    <font>
      <sz val="10"/>
      <color indexed="30"/>
      <name val="Calibri"/>
      <family val="2"/>
    </font>
    <font>
      <sz val="8"/>
      <name val="Arial"/>
      <family val="2"/>
    </font>
    <font>
      <sz val="10"/>
      <color indexed="22"/>
      <name val="Calibri"/>
      <family val="2"/>
    </font>
    <font>
      <b/>
      <sz val="10"/>
      <color indexed="60"/>
      <name val="Calibri"/>
      <family val="2"/>
    </font>
    <font>
      <b/>
      <sz val="14"/>
      <color indexed="60"/>
      <name val="Calibri"/>
      <family val="2"/>
    </font>
    <font>
      <b/>
      <sz val="10"/>
      <color indexed="9"/>
      <name val="Calibri"/>
      <family val="2"/>
    </font>
    <font>
      <b/>
      <i/>
      <sz val="10"/>
      <color indexed="9"/>
      <name val="Calibri"/>
      <family val="2"/>
    </font>
    <font>
      <sz val="10"/>
      <color indexed="60"/>
      <name val="Calibri"/>
      <family val="2"/>
    </font>
    <font>
      <i/>
      <sz val="10"/>
      <color indexed="60"/>
      <name val="Calibri"/>
      <family val="2"/>
    </font>
    <font>
      <b/>
      <i/>
      <sz val="10"/>
      <color indexed="60"/>
      <name val="Calibri"/>
      <family val="2"/>
    </font>
    <font>
      <b/>
      <i/>
      <sz val="10"/>
      <color indexed="22"/>
      <name val="Calibri"/>
      <family val="2"/>
    </font>
    <font>
      <b/>
      <sz val="9"/>
      <color indexed="81"/>
      <name val="Tahoma"/>
      <family val="2"/>
    </font>
    <font>
      <sz val="10"/>
      <color indexed="10"/>
      <name val="Calibri"/>
      <family val="2"/>
    </font>
    <font>
      <sz val="10"/>
      <color indexed="60"/>
      <name val="Calibri"/>
      <family val="2"/>
    </font>
    <font>
      <i/>
      <sz val="10"/>
      <color indexed="60"/>
      <name val="Calibri"/>
      <family val="2"/>
    </font>
    <font>
      <b/>
      <sz val="10"/>
      <color indexed="60"/>
      <name val="Calibri"/>
      <family val="2"/>
    </font>
    <font>
      <sz val="10"/>
      <color indexed="9"/>
      <name val="Calibri"/>
      <family val="2"/>
    </font>
    <font>
      <sz val="10"/>
      <color indexed="23"/>
      <name val="Calibri"/>
      <family val="2"/>
    </font>
    <font>
      <b/>
      <sz val="10"/>
      <color indexed="30"/>
      <name val="Calibri"/>
      <family val="2"/>
    </font>
    <font>
      <sz val="10"/>
      <color indexed="30"/>
      <name val="Calibri"/>
      <family val="2"/>
    </font>
    <font>
      <i/>
      <sz val="10"/>
      <color indexed="30"/>
      <name val="Calibri"/>
      <family val="2"/>
    </font>
    <font>
      <sz val="14"/>
      <color indexed="60"/>
      <name val="Calibri"/>
      <family val="2"/>
    </font>
    <font>
      <b/>
      <i/>
      <sz val="14"/>
      <color indexed="60"/>
      <name val="Calibri"/>
      <family val="2"/>
    </font>
    <font>
      <i/>
      <sz val="14"/>
      <color indexed="60"/>
      <name val="Calibri"/>
      <family val="2"/>
    </font>
    <font>
      <sz val="10"/>
      <color indexed="60"/>
      <name val="Arial"/>
      <family val="2"/>
    </font>
    <font>
      <b/>
      <sz val="10"/>
      <color indexed="9"/>
      <name val="Calibri"/>
      <family val="2"/>
    </font>
    <font>
      <sz val="10"/>
      <color indexed="10"/>
      <name val="Arial"/>
      <family val="2"/>
    </font>
    <font>
      <b/>
      <sz val="10"/>
      <name val="Arial"/>
      <family val="2"/>
    </font>
    <font>
      <i/>
      <sz val="10"/>
      <color indexed="8"/>
      <name val="Calibri"/>
      <family val="2"/>
    </font>
    <font>
      <sz val="8"/>
      <name val="Arial"/>
      <family val="2"/>
    </font>
    <font>
      <b/>
      <sz val="10"/>
      <color indexed="60"/>
      <name val="Calibri"/>
      <family val="2"/>
    </font>
    <font>
      <b/>
      <i/>
      <sz val="10"/>
      <color indexed="60"/>
      <name val="Calibri"/>
      <family val="2"/>
    </font>
    <font>
      <sz val="10"/>
      <color indexed="60"/>
      <name val="Calibri"/>
      <family val="2"/>
    </font>
    <font>
      <i/>
      <sz val="10"/>
      <color indexed="60"/>
      <name val="Calibri"/>
      <family val="2"/>
    </font>
    <font>
      <sz val="10"/>
      <name val="Calibri"/>
      <family val="2"/>
    </font>
    <font>
      <b/>
      <sz val="10"/>
      <name val="Calibri"/>
      <family val="2"/>
    </font>
    <font>
      <sz val="10"/>
      <color indexed="10"/>
      <name val="Calibri"/>
      <family val="2"/>
    </font>
    <font>
      <b/>
      <i/>
      <sz val="10"/>
      <name val="Calibri"/>
      <family val="2"/>
    </font>
    <font>
      <b/>
      <sz val="10"/>
      <color indexed="10"/>
      <name val="Calibri"/>
      <family val="2"/>
    </font>
    <font>
      <i/>
      <sz val="10"/>
      <name val="Calibri"/>
      <family val="2"/>
    </font>
    <font>
      <b/>
      <i/>
      <sz val="10"/>
      <color indexed="10"/>
      <name val="Calibri"/>
      <family val="2"/>
    </font>
    <font>
      <sz val="10"/>
      <color indexed="8"/>
      <name val="Calibri"/>
      <family val="2"/>
    </font>
    <font>
      <sz val="11"/>
      <color indexed="62"/>
      <name val="Calibri"/>
      <family val="2"/>
    </font>
    <font>
      <b/>
      <sz val="12"/>
      <color theme="3"/>
      <name val="Calibri"/>
      <family val="2"/>
    </font>
    <font>
      <b/>
      <sz val="10"/>
      <color theme="0"/>
      <name val="Calibri"/>
      <family val="2"/>
    </font>
    <font>
      <sz val="10"/>
      <name val="Calibri"/>
      <family val="2"/>
      <scheme val="minor"/>
    </font>
    <font>
      <sz val="10"/>
      <color theme="0"/>
      <name val="Calibri"/>
      <family val="2"/>
    </font>
    <font>
      <b/>
      <i/>
      <sz val="11"/>
      <name val="Calibri"/>
      <family val="2"/>
    </font>
    <font>
      <b/>
      <i/>
      <sz val="10"/>
      <color rgb="FF993300"/>
      <name val="Calibri"/>
      <family val="2"/>
      <scheme val="minor"/>
    </font>
    <font>
      <sz val="10"/>
      <color theme="0" tint="-0.249977111117893"/>
      <name val="Calibri"/>
      <family val="2"/>
    </font>
    <font>
      <u/>
      <sz val="10"/>
      <color theme="0"/>
      <name val="Arial"/>
      <family val="2"/>
    </font>
    <font>
      <i/>
      <sz val="10"/>
      <color theme="0" tint="-0.249977111117893"/>
      <name val="Calibri"/>
      <family val="2"/>
    </font>
    <font>
      <b/>
      <sz val="10"/>
      <color theme="0" tint="-0.249977111117893"/>
      <name val="Calibri"/>
      <family val="2"/>
    </font>
    <font>
      <sz val="10"/>
      <color theme="9" tint="-0.249977111117893"/>
      <name val="Calibri"/>
      <family val="2"/>
    </font>
    <font>
      <i/>
      <sz val="10"/>
      <color rgb="FFFF0000"/>
      <name val="Calibri"/>
      <family val="2"/>
    </font>
    <font>
      <sz val="10"/>
      <color indexed="8"/>
      <name val="Calibri"/>
      <family val="2"/>
      <scheme val="minor"/>
    </font>
    <font>
      <sz val="10"/>
      <color rgb="FFE26B0A"/>
      <name val="Calibri"/>
      <family val="2"/>
    </font>
    <font>
      <b/>
      <sz val="10"/>
      <color rgb="FFE26B0A"/>
      <name val="Calibri"/>
      <family val="2"/>
    </font>
    <font>
      <sz val="10"/>
      <color rgb="FFFF0000"/>
      <name val="Calibri"/>
      <family val="2"/>
    </font>
    <font>
      <b/>
      <sz val="10"/>
      <color rgb="FFC00000"/>
      <name val="Calibri"/>
      <family val="2"/>
    </font>
    <font>
      <i/>
      <sz val="10"/>
      <color rgb="FFC00000"/>
      <name val="Calibri"/>
      <family val="2"/>
    </font>
    <font>
      <sz val="10"/>
      <color rgb="FF0070C0"/>
      <name val="Calibri"/>
      <family val="2"/>
    </font>
    <font>
      <b/>
      <i/>
      <sz val="10"/>
      <color theme="0"/>
      <name val="Calibri"/>
      <family val="2"/>
    </font>
    <font>
      <sz val="10"/>
      <color theme="0" tint="-0.34998626667073579"/>
      <name val="Calibri"/>
      <family val="2"/>
    </font>
    <font>
      <sz val="10"/>
      <color theme="0" tint="-0.34998626667073579"/>
      <name val="Arial"/>
      <family val="2"/>
    </font>
    <font>
      <b/>
      <i/>
      <sz val="11"/>
      <color rgb="FF00B050"/>
      <name val="Calibri"/>
      <family val="2"/>
    </font>
    <font>
      <b/>
      <sz val="10"/>
      <color rgb="FF0070C0"/>
      <name val="Calibri"/>
      <family val="2"/>
    </font>
    <font>
      <sz val="10"/>
      <color rgb="FF0070C0"/>
      <name val="Calibri"/>
      <family val="2"/>
      <scheme val="minor"/>
    </font>
    <font>
      <b/>
      <i/>
      <sz val="10"/>
      <color rgb="FF0070C0"/>
      <name val="Calibri"/>
      <family val="2"/>
    </font>
    <font>
      <b/>
      <sz val="10"/>
      <color rgb="FFFF0000"/>
      <name val="Calibri"/>
      <family val="2"/>
    </font>
    <font>
      <sz val="11"/>
      <name val="Calibri"/>
      <family val="2"/>
      <scheme val="minor"/>
    </font>
    <font>
      <b/>
      <sz val="11"/>
      <name val="Calibri"/>
      <family val="2"/>
      <scheme val="minor"/>
    </font>
    <font>
      <b/>
      <sz val="11"/>
      <color indexed="9"/>
      <name val="Calibri"/>
      <family val="2"/>
      <scheme val="minor"/>
    </font>
    <font>
      <i/>
      <sz val="10"/>
      <color rgb="FF00B050"/>
      <name val="Calibri"/>
      <family val="2"/>
    </font>
    <font>
      <b/>
      <i/>
      <sz val="10"/>
      <color rgb="FF00B050"/>
      <name val="Calibri"/>
      <family val="2"/>
    </font>
    <font>
      <b/>
      <sz val="10"/>
      <color rgb="FF00B050"/>
      <name val="Calibri"/>
      <family val="2"/>
    </font>
    <font>
      <i/>
      <sz val="10"/>
      <color rgb="FF00B050"/>
      <name val="Calibri"/>
      <family val="2"/>
      <scheme val="minor"/>
    </font>
    <font>
      <sz val="10"/>
      <color rgb="FF00B050"/>
      <name val="Calibri"/>
      <family val="2"/>
      <scheme val="minor"/>
    </font>
    <font>
      <sz val="10"/>
      <color rgb="FFC00000"/>
      <name val="Calibri"/>
      <family val="2"/>
    </font>
    <font>
      <sz val="10"/>
      <color rgb="FFC00000"/>
      <name val="Arial"/>
      <family val="2"/>
    </font>
    <font>
      <sz val="10"/>
      <color theme="0" tint="-0.14999847407452621"/>
      <name val="Calibri"/>
      <family val="2"/>
    </font>
    <font>
      <sz val="14"/>
      <color theme="0"/>
      <name val="Calibri"/>
      <family val="2"/>
    </font>
    <font>
      <i/>
      <sz val="10"/>
      <color theme="1" tint="0.34998626667073579"/>
      <name val="Calibri"/>
      <family val="2"/>
    </font>
    <font>
      <sz val="10"/>
      <color theme="1" tint="0.34998626667073579"/>
      <name val="Calibri"/>
      <family val="2"/>
    </font>
    <font>
      <b/>
      <i/>
      <sz val="10"/>
      <color theme="1" tint="0.34998626667073579"/>
      <name val="Calibri"/>
      <family val="2"/>
    </font>
    <font>
      <b/>
      <sz val="10"/>
      <color theme="1" tint="0.34998626667073579"/>
      <name val="Calibri"/>
      <family val="2"/>
    </font>
    <font>
      <b/>
      <i/>
      <sz val="10"/>
      <color theme="1" tint="0.499984740745262"/>
      <name val="Calibri"/>
      <family val="2"/>
    </font>
    <font>
      <b/>
      <sz val="10"/>
      <color theme="1"/>
      <name val="Calibri"/>
      <family val="2"/>
    </font>
    <font>
      <sz val="14"/>
      <color rgb="FFC00000"/>
      <name val="Calibri"/>
      <family val="2"/>
    </font>
    <font>
      <sz val="10"/>
      <color theme="1" tint="0.34998626667073579"/>
      <name val="Arial"/>
      <family val="2"/>
    </font>
    <font>
      <b/>
      <u/>
      <sz val="10"/>
      <color theme="1" tint="0.34998626667073579"/>
      <name val="Calibri"/>
      <family val="2"/>
    </font>
    <font>
      <i/>
      <sz val="12"/>
      <color indexed="10"/>
      <name val="Calibri"/>
      <family val="2"/>
    </font>
    <font>
      <b/>
      <i/>
      <sz val="12"/>
      <color indexed="10"/>
      <name val="Calibri"/>
      <family val="2"/>
    </font>
    <font>
      <sz val="12"/>
      <name val="Arial"/>
      <family val="2"/>
    </font>
    <font>
      <sz val="12"/>
      <color indexed="10"/>
      <name val="Calibri"/>
      <family val="2"/>
    </font>
    <font>
      <b/>
      <sz val="12"/>
      <color indexed="10"/>
      <name val="Calibri"/>
      <family val="2"/>
    </font>
    <font>
      <sz val="12"/>
      <color theme="0"/>
      <name val="Calibri"/>
      <family val="2"/>
    </font>
    <font>
      <b/>
      <sz val="12"/>
      <name val="Arial"/>
      <family val="2"/>
    </font>
    <font>
      <b/>
      <sz val="12"/>
      <color rgb="FFC00000"/>
      <name val="Calibri"/>
      <family val="2"/>
    </font>
    <font>
      <sz val="12"/>
      <color rgb="FFC00000"/>
      <name val="Calibri"/>
      <family val="2"/>
    </font>
    <font>
      <b/>
      <i/>
      <sz val="10"/>
      <color theme="1" tint="0.34998626667073579"/>
      <name val="Calibri"/>
      <family val="2"/>
      <scheme val="minor"/>
    </font>
    <font>
      <sz val="10"/>
      <color theme="1"/>
      <name val="Calibri"/>
      <family val="2"/>
    </font>
    <font>
      <b/>
      <sz val="12"/>
      <color theme="1" tint="0.34998626667073579"/>
      <name val="Calibri"/>
      <family val="2"/>
    </font>
    <font>
      <b/>
      <sz val="10"/>
      <color theme="1" tint="0.249977111117893"/>
      <name val="Calibri"/>
      <family val="2"/>
    </font>
    <font>
      <b/>
      <sz val="10"/>
      <color indexed="9"/>
      <name val="Calibri"/>
      <family val="2"/>
      <scheme val="minor"/>
    </font>
    <font>
      <b/>
      <sz val="10"/>
      <color theme="1" tint="0.34998626667073579"/>
      <name val="Calibri"/>
      <family val="2"/>
      <scheme val="minor"/>
    </font>
    <font>
      <sz val="10"/>
      <color theme="1" tint="0.34998626667073579"/>
      <name val="Calibri"/>
      <family val="2"/>
      <scheme val="minor"/>
    </font>
    <font>
      <b/>
      <i/>
      <sz val="10"/>
      <color theme="1" tint="0.249977111117893"/>
      <name val="Calibri"/>
      <family val="2"/>
    </font>
    <font>
      <i/>
      <sz val="10"/>
      <color theme="1" tint="0.249977111117893"/>
      <name val="Calibri"/>
      <family val="2"/>
    </font>
    <font>
      <b/>
      <i/>
      <sz val="10"/>
      <name val="Calibri"/>
      <family val="2"/>
      <scheme val="minor"/>
    </font>
    <font>
      <i/>
      <sz val="10"/>
      <color theme="1" tint="0.34998626667073579"/>
      <name val="Calibri"/>
      <family val="2"/>
      <scheme val="minor"/>
    </font>
    <font>
      <i/>
      <sz val="14"/>
      <color theme="1" tint="0.34998626667073579"/>
      <name val="Calibri"/>
      <family val="2"/>
      <scheme val="minor"/>
    </font>
    <font>
      <sz val="12"/>
      <color theme="1" tint="0.34998626667073579"/>
      <name val="Calibri"/>
      <family val="2"/>
      <scheme val="minor"/>
    </font>
    <font>
      <i/>
      <sz val="12"/>
      <color theme="1" tint="0.34998626667073579"/>
      <name val="Calibri"/>
      <family val="2"/>
      <scheme val="minor"/>
    </font>
    <font>
      <b/>
      <i/>
      <sz val="12"/>
      <color rgb="FFC00000"/>
      <name val="Calibri"/>
      <family val="2"/>
    </font>
    <font>
      <u/>
      <sz val="9"/>
      <color indexed="81"/>
      <name val="Tahoma"/>
      <family val="2"/>
    </font>
    <font>
      <b/>
      <sz val="10"/>
      <color theme="1" tint="0.34998626667073579"/>
      <name val="Arial"/>
      <family val="2"/>
    </font>
    <font>
      <b/>
      <sz val="10"/>
      <color indexed="81"/>
      <name val="Tahoma"/>
      <family val="2"/>
    </font>
    <font>
      <i/>
      <sz val="12"/>
      <name val="Calibri"/>
      <family val="2"/>
    </font>
  </fonts>
  <fills count="1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0"/>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0066CC"/>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rgb="FFFFFFCC"/>
        <bgColor indexed="64"/>
      </patternFill>
    </fill>
    <fill>
      <patternFill patternType="solid">
        <fgColor theme="3" tint="0.79998168889431442"/>
        <bgColor indexed="64"/>
      </patternFill>
    </fill>
    <fill>
      <patternFill patternType="solid">
        <fgColor indexed="43"/>
        <bgColor indexed="64"/>
      </patternFill>
    </fill>
  </fills>
  <borders count="59">
    <border>
      <left/>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top style="thin">
        <color indexed="64"/>
      </top>
      <bottom/>
      <diagonal/>
    </border>
    <border>
      <left/>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top/>
      <bottom style="double">
        <color indexed="64"/>
      </bottom>
      <diagonal/>
    </border>
    <border>
      <left/>
      <right/>
      <top/>
      <bottom style="double">
        <color indexed="64"/>
      </bottom>
      <diagonal/>
    </border>
    <border>
      <left/>
      <right style="thin">
        <color auto="1"/>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double">
        <color rgb="FF993300"/>
      </left>
      <right/>
      <top style="double">
        <color rgb="FF993300"/>
      </top>
      <bottom/>
      <diagonal/>
    </border>
    <border>
      <left/>
      <right/>
      <top style="double">
        <color rgb="FF993300"/>
      </top>
      <bottom/>
      <diagonal/>
    </border>
    <border>
      <left/>
      <right style="double">
        <color rgb="FF993300"/>
      </right>
      <top style="double">
        <color rgb="FF993300"/>
      </top>
      <bottom/>
      <diagonal/>
    </border>
    <border>
      <left style="double">
        <color rgb="FF993300"/>
      </left>
      <right/>
      <top/>
      <bottom/>
      <diagonal/>
    </border>
    <border>
      <left/>
      <right style="double">
        <color rgb="FF993300"/>
      </right>
      <top/>
      <bottom/>
      <diagonal/>
    </border>
    <border>
      <left style="double">
        <color rgb="FF993300"/>
      </left>
      <right/>
      <top/>
      <bottom style="double">
        <color rgb="FF993300"/>
      </bottom>
      <diagonal/>
    </border>
    <border>
      <left/>
      <right/>
      <top/>
      <bottom style="double">
        <color rgb="FF993300"/>
      </bottom>
      <diagonal/>
    </border>
    <border>
      <left/>
      <right style="double">
        <color rgb="FF993300"/>
      </right>
      <top/>
      <bottom style="double">
        <color rgb="FF993300"/>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0.24994659260841701"/>
      </left>
      <right style="thin">
        <color theme="0" tint="-0.24994659260841701"/>
      </right>
      <top/>
      <bottom style="thin">
        <color theme="0" tint="-0.24994659260841701"/>
      </bottom>
      <diagonal/>
    </border>
    <border>
      <left style="thin">
        <color theme="0"/>
      </left>
      <right style="thin">
        <color theme="0"/>
      </right>
      <top style="thin">
        <color theme="0"/>
      </top>
      <bottom style="thin">
        <color theme="0"/>
      </bottom>
      <diagonal/>
    </border>
    <border>
      <left style="thin">
        <color indexed="64"/>
      </left>
      <right/>
      <top style="thin">
        <color indexed="64"/>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style="thin">
        <color indexed="2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indexed="22"/>
      </bottom>
      <diagonal/>
    </border>
  </borders>
  <cellStyleXfs count="4">
    <xf numFmtId="0" fontId="0" fillId="0" borderId="0"/>
    <xf numFmtId="0" fontId="4" fillId="0" borderId="0" applyNumberFormat="0" applyFill="0" applyBorder="0" applyAlignment="0" applyProtection="0">
      <alignment vertical="top"/>
      <protection locked="0"/>
    </xf>
    <xf numFmtId="9" fontId="1" fillId="0" borderId="0" applyFont="0" applyFill="0" applyBorder="0" applyAlignment="0" applyProtection="0"/>
    <xf numFmtId="168" fontId="1" fillId="0" borderId="0" applyFont="0" applyFill="0" applyBorder="0" applyAlignment="0" applyProtection="0"/>
  </cellStyleXfs>
  <cellXfs count="1555">
    <xf numFmtId="0" fontId="0" fillId="0" borderId="0" xfId="0"/>
    <xf numFmtId="0" fontId="11" fillId="0" borderId="0" xfId="0" applyFont="1"/>
    <xf numFmtId="0" fontId="7" fillId="0" borderId="0" xfId="0" applyFont="1"/>
    <xf numFmtId="0" fontId="37" fillId="2" borderId="0" xfId="0" applyFont="1" applyFill="1"/>
    <xf numFmtId="0" fontId="4" fillId="0" borderId="0" xfId="1" applyAlignment="1" applyProtection="1"/>
    <xf numFmtId="0" fontId="6" fillId="2" borderId="0" xfId="0" applyFont="1" applyFill="1"/>
    <xf numFmtId="0" fontId="12" fillId="3" borderId="0" xfId="0" applyFont="1" applyFill="1" applyBorder="1" applyProtection="1"/>
    <xf numFmtId="0" fontId="13" fillId="3" borderId="0" xfId="0" applyFont="1" applyFill="1" applyBorder="1" applyProtection="1"/>
    <xf numFmtId="0" fontId="17" fillId="3" borderId="0" xfId="0" applyFont="1" applyFill="1" applyBorder="1" applyProtection="1"/>
    <xf numFmtId="0" fontId="12" fillId="3" borderId="0" xfId="0" applyFont="1" applyFill="1" applyBorder="1" applyAlignment="1" applyProtection="1">
      <alignment horizontal="left"/>
    </xf>
    <xf numFmtId="0" fontId="15" fillId="3" borderId="0" xfId="0" applyFont="1" applyFill="1" applyBorder="1" applyProtection="1"/>
    <xf numFmtId="0" fontId="16" fillId="3" borderId="0" xfId="0" applyFont="1" applyFill="1" applyBorder="1" applyProtection="1"/>
    <xf numFmtId="0" fontId="14" fillId="3" borderId="0" xfId="0" applyFont="1" applyFill="1" applyBorder="1" applyAlignment="1" applyProtection="1">
      <alignment horizontal="center"/>
    </xf>
    <xf numFmtId="0" fontId="27" fillId="3" borderId="0" xfId="0" applyFont="1" applyFill="1" applyBorder="1" applyProtection="1"/>
    <xf numFmtId="0" fontId="12" fillId="3" borderId="0" xfId="0" applyFont="1" applyFill="1" applyBorder="1"/>
    <xf numFmtId="1" fontId="12" fillId="3" borderId="0" xfId="0" applyNumberFormat="1" applyFont="1" applyFill="1" applyBorder="1" applyProtection="1"/>
    <xf numFmtId="0" fontId="13" fillId="3" borderId="0" xfId="0" applyFont="1" applyFill="1" applyBorder="1"/>
    <xf numFmtId="49" fontId="29" fillId="3" borderId="0" xfId="0" applyNumberFormat="1" applyFont="1" applyFill="1" applyBorder="1" applyAlignment="1" applyProtection="1">
      <alignment horizontal="right"/>
    </xf>
    <xf numFmtId="49" fontId="12" fillId="3" borderId="0" xfId="0" applyNumberFormat="1" applyFont="1" applyFill="1" applyBorder="1" applyAlignment="1" applyProtection="1">
      <alignment horizontal="left"/>
    </xf>
    <xf numFmtId="0" fontId="29" fillId="3" borderId="0" xfId="0" applyFont="1" applyFill="1" applyBorder="1" applyAlignment="1" applyProtection="1">
      <alignment horizontal="right"/>
    </xf>
    <xf numFmtId="0" fontId="12" fillId="3" borderId="0" xfId="0" applyFont="1" applyFill="1" applyAlignment="1" applyProtection="1">
      <alignment horizontal="left"/>
    </xf>
    <xf numFmtId="0" fontId="29" fillId="3" borderId="0" xfId="0" applyFont="1" applyFill="1" applyBorder="1" applyAlignment="1">
      <alignment horizontal="right"/>
    </xf>
    <xf numFmtId="2" fontId="29" fillId="3" borderId="0" xfId="0" applyNumberFormat="1" applyFont="1" applyFill="1" applyBorder="1" applyAlignment="1">
      <alignment horizontal="right" wrapText="1"/>
    </xf>
    <xf numFmtId="0" fontId="12" fillId="2" borderId="2" xfId="0" applyFont="1" applyFill="1" applyBorder="1" applyProtection="1"/>
    <xf numFmtId="0" fontId="12" fillId="2" borderId="3" xfId="0" applyFont="1" applyFill="1" applyBorder="1" applyProtection="1"/>
    <xf numFmtId="0" fontId="12" fillId="2" borderId="4" xfId="0" applyFont="1" applyFill="1" applyBorder="1" applyProtection="1"/>
    <xf numFmtId="0" fontId="12" fillId="2" borderId="5" xfId="0" applyFont="1" applyFill="1" applyBorder="1" applyProtection="1"/>
    <xf numFmtId="0" fontId="12" fillId="2" borderId="0" xfId="0" applyFont="1" applyFill="1" applyBorder="1" applyProtection="1"/>
    <xf numFmtId="0" fontId="13" fillId="2" borderId="0" xfId="0" applyFont="1" applyFill="1" applyBorder="1" applyProtection="1"/>
    <xf numFmtId="0" fontId="12" fillId="2" borderId="0" xfId="0" applyFont="1" applyFill="1" applyBorder="1" applyAlignment="1" applyProtection="1">
      <alignment horizontal="center"/>
    </xf>
    <xf numFmtId="0" fontId="12" fillId="2" borderId="6" xfId="0" applyFont="1" applyFill="1" applyBorder="1" applyProtection="1"/>
    <xf numFmtId="0" fontId="17" fillId="2" borderId="5" xfId="0" applyFont="1" applyFill="1" applyBorder="1" applyProtection="1"/>
    <xf numFmtId="0" fontId="17" fillId="2" borderId="0" xfId="0" applyFont="1" applyFill="1" applyBorder="1" applyProtection="1"/>
    <xf numFmtId="0" fontId="17" fillId="2" borderId="6" xfId="0" applyFont="1" applyFill="1" applyBorder="1" applyProtection="1"/>
    <xf numFmtId="0" fontId="14" fillId="2" borderId="5" xfId="0" applyFont="1" applyFill="1" applyBorder="1" applyProtection="1"/>
    <xf numFmtId="0" fontId="14" fillId="2" borderId="6" xfId="0" applyFont="1" applyFill="1" applyBorder="1" applyProtection="1"/>
    <xf numFmtId="0" fontId="38" fillId="2" borderId="7" xfId="0" applyFont="1" applyFill="1" applyBorder="1" applyAlignment="1" applyProtection="1">
      <alignment horizontal="right"/>
    </xf>
    <xf numFmtId="0" fontId="12" fillId="3" borderId="8" xfId="0" applyFont="1" applyFill="1" applyBorder="1" applyProtection="1"/>
    <xf numFmtId="0" fontId="12" fillId="3" borderId="9" xfId="0" applyFont="1" applyFill="1" applyBorder="1" applyProtection="1"/>
    <xf numFmtId="0" fontId="12" fillId="3" borderId="10" xfId="0" applyFont="1" applyFill="1" applyBorder="1" applyProtection="1"/>
    <xf numFmtId="0" fontId="12" fillId="3" borderId="11" xfId="0" applyFont="1" applyFill="1" applyBorder="1" applyProtection="1"/>
    <xf numFmtId="0" fontId="12" fillId="3" borderId="1" xfId="0" applyFont="1" applyFill="1" applyBorder="1" applyProtection="1"/>
    <xf numFmtId="0" fontId="12" fillId="3" borderId="12" xfId="0" applyFont="1" applyFill="1" applyBorder="1" applyProtection="1"/>
    <xf numFmtId="0" fontId="14" fillId="3" borderId="11" xfId="0" applyFont="1" applyFill="1" applyBorder="1" applyProtection="1"/>
    <xf numFmtId="0" fontId="14" fillId="3" borderId="12" xfId="0" applyFont="1" applyFill="1" applyBorder="1" applyProtection="1"/>
    <xf numFmtId="0" fontId="13" fillId="3" borderId="1" xfId="0" applyFont="1" applyFill="1" applyBorder="1" applyProtection="1"/>
    <xf numFmtId="0" fontId="16" fillId="3" borderId="1" xfId="0" applyFont="1" applyFill="1" applyBorder="1" applyProtection="1"/>
    <xf numFmtId="0" fontId="12" fillId="3" borderId="13" xfId="0" applyFont="1" applyFill="1" applyBorder="1" applyProtection="1"/>
    <xf numFmtId="0" fontId="12" fillId="3" borderId="14" xfId="0" applyFont="1" applyFill="1" applyBorder="1" applyProtection="1"/>
    <xf numFmtId="0" fontId="12" fillId="3" borderId="14" xfId="0" applyFont="1" applyFill="1" applyBorder="1" applyAlignment="1" applyProtection="1">
      <alignment horizontal="center"/>
    </xf>
    <xf numFmtId="0" fontId="12" fillId="3" borderId="15" xfId="0" applyFont="1" applyFill="1" applyBorder="1" applyProtection="1"/>
    <xf numFmtId="0" fontId="13" fillId="3" borderId="9" xfId="0" applyFont="1" applyFill="1" applyBorder="1" applyProtection="1"/>
    <xf numFmtId="0" fontId="12" fillId="2" borderId="1" xfId="0" applyFont="1" applyFill="1" applyBorder="1" applyAlignment="1" applyProtection="1">
      <alignment horizontal="center"/>
      <protection locked="0"/>
    </xf>
    <xf numFmtId="0" fontId="41" fillId="2" borderId="0" xfId="0" applyFont="1" applyFill="1" applyBorder="1" applyProtection="1"/>
    <xf numFmtId="49" fontId="42" fillId="2" borderId="0" xfId="0" applyNumberFormat="1" applyFont="1" applyFill="1" applyBorder="1" applyAlignment="1" applyProtection="1">
      <alignment horizontal="center"/>
    </xf>
    <xf numFmtId="0" fontId="44" fillId="4" borderId="1" xfId="0" applyFont="1" applyFill="1" applyBorder="1" applyAlignment="1" applyProtection="1">
      <alignment horizontal="center"/>
    </xf>
    <xf numFmtId="0" fontId="27" fillId="2" borderId="5" xfId="0" applyFont="1" applyFill="1" applyBorder="1" applyProtection="1"/>
    <xf numFmtId="0" fontId="27" fillId="2" borderId="0" xfId="0" applyFont="1" applyFill="1" applyBorder="1" applyProtection="1"/>
    <xf numFmtId="0" fontId="27" fillId="2" borderId="6" xfId="0" applyFont="1" applyFill="1" applyBorder="1" applyProtection="1"/>
    <xf numFmtId="49" fontId="17" fillId="2" borderId="0" xfId="0" applyNumberFormat="1" applyFont="1" applyFill="1" applyBorder="1" applyProtection="1"/>
    <xf numFmtId="0" fontId="6" fillId="3" borderId="1" xfId="0" applyFont="1" applyFill="1" applyBorder="1" applyAlignment="1" applyProtection="1">
      <alignment horizontal="left"/>
    </xf>
    <xf numFmtId="0" fontId="13" fillId="3" borderId="14" xfId="0" applyFont="1" applyFill="1" applyBorder="1" applyProtection="1"/>
    <xf numFmtId="0" fontId="41" fillId="2" borderId="0" xfId="0" applyFont="1" applyFill="1" applyBorder="1" applyAlignment="1" applyProtection="1">
      <alignment horizontal="center"/>
    </xf>
    <xf numFmtId="0" fontId="14" fillId="2" borderId="0" xfId="0" applyFont="1" applyFill="1" applyBorder="1" applyAlignment="1" applyProtection="1">
      <alignment horizontal="left"/>
    </xf>
    <xf numFmtId="0" fontId="14" fillId="2" borderId="0" xfId="0" applyFont="1" applyFill="1" applyBorder="1" applyAlignment="1" applyProtection="1">
      <alignment horizontal="center"/>
    </xf>
    <xf numFmtId="0" fontId="39" fillId="2" borderId="0" xfId="0" applyFont="1" applyFill="1" applyBorder="1" applyAlignment="1" applyProtection="1">
      <alignment horizontal="left"/>
    </xf>
    <xf numFmtId="0" fontId="16" fillId="2" borderId="0" xfId="0" applyFont="1" applyFill="1" applyBorder="1" applyProtection="1"/>
    <xf numFmtId="0" fontId="7" fillId="2" borderId="0" xfId="0" applyFont="1" applyFill="1" applyBorder="1" applyProtection="1"/>
    <xf numFmtId="0" fontId="15" fillId="2" borderId="0" xfId="0" applyFont="1" applyFill="1" applyBorder="1" applyProtection="1"/>
    <xf numFmtId="0" fontId="43" fillId="2" borderId="0" xfId="0" applyFont="1" applyFill="1" applyBorder="1" applyProtection="1"/>
    <xf numFmtId="0" fontId="41" fillId="2" borderId="0" xfId="0" applyFont="1" applyFill="1" applyBorder="1" applyAlignment="1" applyProtection="1"/>
    <xf numFmtId="0" fontId="42" fillId="2" borderId="0" xfId="0" applyFont="1" applyFill="1" applyBorder="1" applyAlignment="1" applyProtection="1">
      <alignment horizontal="center"/>
    </xf>
    <xf numFmtId="0" fontId="16" fillId="2" borderId="5" xfId="0" applyFont="1" applyFill="1" applyBorder="1" applyProtection="1"/>
    <xf numFmtId="0" fontId="16" fillId="2" borderId="6" xfId="0" applyFont="1" applyFill="1" applyBorder="1" applyProtection="1"/>
    <xf numFmtId="0" fontId="16" fillId="2" borderId="0" xfId="0" applyFont="1" applyFill="1" applyBorder="1" applyAlignment="1" applyProtection="1">
      <alignment horizontal="left"/>
    </xf>
    <xf numFmtId="0" fontId="13" fillId="3" borderId="8" xfId="0" applyFont="1" applyFill="1" applyBorder="1" applyProtection="1"/>
    <xf numFmtId="0" fontId="14" fillId="3" borderId="1" xfId="0" applyFont="1" applyFill="1" applyBorder="1" applyAlignment="1" applyProtection="1">
      <alignment horizontal="center"/>
    </xf>
    <xf numFmtId="164" fontId="6" fillId="2" borderId="1" xfId="0" applyNumberFormat="1" applyFont="1" applyFill="1" applyBorder="1" applyAlignment="1" applyProtection="1">
      <alignment horizontal="center"/>
      <protection locked="0"/>
    </xf>
    <xf numFmtId="164" fontId="6" fillId="5" borderId="1" xfId="0" applyNumberFormat="1" applyFont="1" applyFill="1" applyBorder="1" applyAlignment="1" applyProtection="1">
      <alignment horizontal="center"/>
    </xf>
    <xf numFmtId="0" fontId="6" fillId="3" borderId="14" xfId="0" applyFont="1" applyFill="1" applyBorder="1" applyAlignment="1" applyProtection="1">
      <alignment horizontal="center"/>
    </xf>
    <xf numFmtId="0" fontId="6" fillId="2" borderId="0" xfId="0" applyFont="1" applyFill="1" applyBorder="1" applyAlignment="1" applyProtection="1">
      <alignment horizontal="center"/>
    </xf>
    <xf numFmtId="0" fontId="6" fillId="3" borderId="1" xfId="0" applyFont="1" applyFill="1" applyBorder="1" applyAlignment="1" applyProtection="1">
      <alignment horizontal="center"/>
    </xf>
    <xf numFmtId="0" fontId="6" fillId="2" borderId="2" xfId="0" applyFont="1" applyFill="1" applyBorder="1" applyProtection="1"/>
    <xf numFmtId="0" fontId="6" fillId="2" borderId="3" xfId="0" applyFont="1" applyFill="1" applyBorder="1" applyProtection="1"/>
    <xf numFmtId="0" fontId="6" fillId="2" borderId="3" xfId="0" applyFont="1" applyFill="1" applyBorder="1" applyAlignment="1" applyProtection="1">
      <alignment horizontal="center"/>
    </xf>
    <xf numFmtId="0" fontId="6" fillId="2" borderId="4" xfId="0" applyFont="1" applyFill="1" applyBorder="1" applyProtection="1"/>
    <xf numFmtId="0" fontId="6" fillId="2" borderId="5" xfId="0" applyFont="1" applyFill="1" applyBorder="1" applyProtection="1"/>
    <xf numFmtId="0" fontId="6" fillId="2" borderId="0" xfId="0" applyFont="1" applyFill="1" applyBorder="1" applyProtection="1"/>
    <xf numFmtId="0" fontId="6" fillId="2" borderId="6" xfId="0" applyFont="1" applyFill="1" applyBorder="1" applyProtection="1"/>
    <xf numFmtId="0" fontId="6" fillId="3" borderId="9" xfId="0" applyFont="1" applyFill="1" applyBorder="1" applyAlignment="1" applyProtection="1">
      <alignment horizontal="center"/>
    </xf>
    <xf numFmtId="0" fontId="7" fillId="2" borderId="5" xfId="0" applyFont="1" applyFill="1" applyBorder="1" applyProtection="1"/>
    <xf numFmtId="0" fontId="6" fillId="3" borderId="13" xfId="0" applyFont="1" applyFill="1" applyBorder="1" applyProtection="1"/>
    <xf numFmtId="0" fontId="6" fillId="3" borderId="14" xfId="0" applyFont="1" applyFill="1" applyBorder="1" applyProtection="1"/>
    <xf numFmtId="0" fontId="6" fillId="2" borderId="7" xfId="0" applyFont="1" applyFill="1" applyBorder="1" applyProtection="1"/>
    <xf numFmtId="0" fontId="6" fillId="2" borderId="7" xfId="0" applyFont="1" applyFill="1" applyBorder="1" applyAlignment="1" applyProtection="1">
      <alignment horizontal="center"/>
    </xf>
    <xf numFmtId="0" fontId="6" fillId="2" borderId="16" xfId="0" applyFont="1" applyFill="1" applyBorder="1" applyProtection="1"/>
    <xf numFmtId="0" fontId="6" fillId="2" borderId="17" xfId="0" applyFont="1" applyFill="1" applyBorder="1" applyProtection="1"/>
    <xf numFmtId="0" fontId="15" fillId="2" borderId="0" xfId="0" applyFont="1" applyFill="1" applyBorder="1" applyAlignment="1" applyProtection="1">
      <alignment horizontal="center"/>
    </xf>
    <xf numFmtId="0" fontId="15" fillId="2" borderId="0" xfId="0" applyFont="1" applyFill="1" applyBorder="1" applyAlignment="1" applyProtection="1">
      <alignment horizontal="left"/>
    </xf>
    <xf numFmtId="0" fontId="15" fillId="2" borderId="6" xfId="0" applyFont="1" applyFill="1" applyBorder="1" applyProtection="1"/>
    <xf numFmtId="0" fontId="6" fillId="3" borderId="10" xfId="0" applyFont="1" applyFill="1" applyBorder="1" applyAlignment="1" applyProtection="1">
      <alignment horizontal="center"/>
    </xf>
    <xf numFmtId="0" fontId="7" fillId="2" borderId="6" xfId="0" applyFont="1" applyFill="1" applyBorder="1" applyProtection="1"/>
    <xf numFmtId="0" fontId="6" fillId="3" borderId="12" xfId="0" applyFont="1" applyFill="1" applyBorder="1" applyAlignment="1" applyProtection="1">
      <alignment horizontal="center"/>
    </xf>
    <xf numFmtId="0" fontId="14" fillId="3" borderId="1" xfId="0" applyFont="1" applyFill="1" applyBorder="1" applyAlignment="1" applyProtection="1">
      <alignment horizontal="left"/>
    </xf>
    <xf numFmtId="0" fontId="40" fillId="2" borderId="0" xfId="0" applyFont="1" applyFill="1" applyBorder="1" applyAlignment="1" applyProtection="1">
      <alignment horizontal="center"/>
    </xf>
    <xf numFmtId="0" fontId="40" fillId="2" borderId="0" xfId="0" applyFont="1" applyFill="1" applyBorder="1" applyAlignment="1" applyProtection="1">
      <alignment horizontal="left"/>
    </xf>
    <xf numFmtId="0" fontId="12" fillId="2" borderId="1" xfId="0" applyFont="1" applyFill="1" applyBorder="1" applyAlignment="1" applyProtection="1">
      <alignment horizontal="left"/>
      <protection locked="0"/>
    </xf>
    <xf numFmtId="0" fontId="6" fillId="0" borderId="0" xfId="0" applyFont="1"/>
    <xf numFmtId="164" fontId="44" fillId="4" borderId="1" xfId="0" applyNumberFormat="1" applyFont="1" applyFill="1" applyBorder="1" applyProtection="1"/>
    <xf numFmtId="0" fontId="6" fillId="2" borderId="0" xfId="0" applyFont="1" applyFill="1" applyAlignment="1"/>
    <xf numFmtId="0" fontId="14" fillId="0" borderId="0" xfId="0" applyFont="1"/>
    <xf numFmtId="0" fontId="11" fillId="2" borderId="0" xfId="0" applyFont="1" applyFill="1" applyBorder="1" applyProtection="1"/>
    <xf numFmtId="0" fontId="12" fillId="2" borderId="6" xfId="0" applyFont="1" applyFill="1" applyBorder="1"/>
    <xf numFmtId="0" fontId="12" fillId="2" borderId="17" xfId="0" applyFont="1" applyFill="1" applyBorder="1"/>
    <xf numFmtId="0" fontId="12" fillId="2" borderId="7" xfId="0" applyFont="1" applyFill="1" applyBorder="1"/>
    <xf numFmtId="0" fontId="12" fillId="2" borderId="16" xfId="0" applyFont="1" applyFill="1" applyBorder="1"/>
    <xf numFmtId="0" fontId="12" fillId="3" borderId="12" xfId="0" applyFont="1" applyFill="1" applyBorder="1"/>
    <xf numFmtId="0" fontId="12" fillId="3" borderId="1" xfId="0" applyFont="1" applyFill="1" applyBorder="1"/>
    <xf numFmtId="0" fontId="12" fillId="3" borderId="1" xfId="0" applyFont="1" applyFill="1" applyBorder="1" applyAlignment="1">
      <alignment horizontal="center"/>
    </xf>
    <xf numFmtId="164" fontId="44" fillId="4" borderId="1" xfId="0" applyNumberFormat="1" applyFont="1" applyFill="1" applyBorder="1" applyAlignment="1" applyProtection="1"/>
    <xf numFmtId="0" fontId="51" fillId="3" borderId="1" xfId="0" applyFont="1" applyFill="1" applyBorder="1" applyProtection="1"/>
    <xf numFmtId="0" fontId="52" fillId="2" borderId="0" xfId="0" applyFont="1" applyFill="1" applyBorder="1" applyProtection="1"/>
    <xf numFmtId="0" fontId="12" fillId="2" borderId="1" xfId="0" applyNumberFormat="1" applyFont="1" applyFill="1" applyBorder="1" applyAlignment="1" applyProtection="1">
      <alignment horizontal="center"/>
      <protection locked="0"/>
    </xf>
    <xf numFmtId="169" fontId="12" fillId="2" borderId="1" xfId="0" applyNumberFormat="1" applyFont="1" applyFill="1" applyBorder="1" applyAlignment="1" applyProtection="1">
      <alignment horizontal="center"/>
      <protection locked="0"/>
    </xf>
    <xf numFmtId="165" fontId="12" fillId="5" borderId="1" xfId="0" applyNumberFormat="1" applyFont="1" applyFill="1" applyBorder="1" applyAlignment="1" applyProtection="1">
      <alignment horizontal="center"/>
      <protection locked="0"/>
    </xf>
    <xf numFmtId="165" fontId="12" fillId="5" borderId="1" xfId="0" applyNumberFormat="1" applyFont="1" applyFill="1" applyBorder="1" applyAlignment="1" applyProtection="1">
      <alignment horizontal="center"/>
    </xf>
    <xf numFmtId="165" fontId="53" fillId="4" borderId="1" xfId="0" applyNumberFormat="1" applyFont="1" applyFill="1" applyBorder="1" applyAlignment="1" applyProtection="1">
      <alignment horizontal="center"/>
    </xf>
    <xf numFmtId="169" fontId="30" fillId="2" borderId="1" xfId="0" applyNumberFormat="1" applyFont="1" applyFill="1" applyBorder="1" applyAlignment="1" applyProtection="1">
      <alignment horizontal="center"/>
      <protection locked="0"/>
    </xf>
    <xf numFmtId="164" fontId="54" fillId="4" borderId="1" xfId="0" applyNumberFormat="1" applyFont="1" applyFill="1" applyBorder="1" applyAlignment="1" applyProtection="1">
      <alignment horizontal="center"/>
    </xf>
    <xf numFmtId="49" fontId="57" fillId="2" borderId="0" xfId="0" applyNumberFormat="1" applyFont="1" applyFill="1" applyBorder="1" applyAlignment="1" applyProtection="1">
      <alignment horizontal="center"/>
    </xf>
    <xf numFmtId="0" fontId="56" fillId="2" borderId="0" xfId="0" applyFont="1" applyFill="1" applyBorder="1" applyProtection="1"/>
    <xf numFmtId="0" fontId="6" fillId="3" borderId="0" xfId="0" applyFont="1" applyFill="1" applyBorder="1" applyProtection="1"/>
    <xf numFmtId="0" fontId="6" fillId="3" borderId="0" xfId="0" applyFont="1" applyFill="1" applyBorder="1" applyAlignment="1" applyProtection="1">
      <alignment horizontal="left"/>
    </xf>
    <xf numFmtId="0" fontId="6" fillId="3" borderId="0" xfId="0" applyFont="1" applyFill="1" applyBorder="1" applyAlignment="1" applyProtection="1"/>
    <xf numFmtId="0" fontId="6" fillId="3" borderId="0" xfId="0" applyFont="1" applyFill="1" applyBorder="1" applyAlignment="1" applyProtection="1">
      <alignment horizontal="center"/>
    </xf>
    <xf numFmtId="0" fontId="7" fillId="3" borderId="0" xfId="0" applyFont="1" applyFill="1" applyBorder="1" applyProtection="1"/>
    <xf numFmtId="0" fontId="7" fillId="3" borderId="0" xfId="0" applyFont="1" applyFill="1" applyBorder="1" applyAlignment="1" applyProtection="1">
      <alignment horizontal="left"/>
    </xf>
    <xf numFmtId="0" fontId="7" fillId="3" borderId="0" xfId="0" applyFont="1" applyFill="1" applyBorder="1" applyAlignment="1" applyProtection="1"/>
    <xf numFmtId="0" fontId="7" fillId="3" borderId="0" xfId="0" applyFont="1" applyFill="1" applyBorder="1" applyAlignment="1" applyProtection="1">
      <alignment horizontal="center"/>
    </xf>
    <xf numFmtId="0" fontId="14" fillId="3" borderId="0" xfId="0" applyFont="1" applyFill="1" applyBorder="1" applyProtection="1"/>
    <xf numFmtId="0" fontId="6" fillId="0" borderId="1" xfId="0" applyFont="1" applyFill="1" applyBorder="1" applyAlignment="1" applyProtection="1">
      <alignment horizontal="center"/>
      <protection locked="0"/>
    </xf>
    <xf numFmtId="164" fontId="6" fillId="0" borderId="1" xfId="0" applyNumberFormat="1" applyFont="1" applyFill="1" applyBorder="1" applyAlignment="1" applyProtection="1">
      <protection locked="0"/>
    </xf>
    <xf numFmtId="0" fontId="6" fillId="2" borderId="0" xfId="0" applyFont="1" applyFill="1" applyBorder="1" applyAlignment="1" applyProtection="1">
      <alignment horizontal="left"/>
    </xf>
    <xf numFmtId="0" fontId="6" fillId="2" borderId="0" xfId="0" applyFont="1" applyFill="1" applyBorder="1" applyAlignment="1" applyProtection="1"/>
    <xf numFmtId="0" fontId="15" fillId="2" borderId="0" xfId="0" applyFont="1" applyFill="1" applyBorder="1" applyAlignment="1" applyProtection="1"/>
    <xf numFmtId="0" fontId="7" fillId="2" borderId="0" xfId="0" applyFont="1" applyFill="1" applyBorder="1" applyAlignment="1" applyProtection="1">
      <alignment horizontal="left"/>
    </xf>
    <xf numFmtId="0" fontId="7" fillId="2" borderId="0" xfId="0" applyFont="1" applyFill="1" applyBorder="1" applyAlignment="1" applyProtection="1"/>
    <xf numFmtId="0" fontId="7" fillId="2" borderId="0" xfId="0" applyFont="1" applyFill="1" applyBorder="1" applyAlignment="1" applyProtection="1">
      <alignment horizontal="center"/>
    </xf>
    <xf numFmtId="0" fontId="6" fillId="2" borderId="3" xfId="0" applyFont="1" applyFill="1" applyBorder="1" applyAlignment="1" applyProtection="1">
      <alignment horizontal="left"/>
    </xf>
    <xf numFmtId="0" fontId="6" fillId="2" borderId="3" xfId="0" applyFont="1" applyFill="1" applyBorder="1" applyAlignment="1" applyProtection="1"/>
    <xf numFmtId="0" fontId="15" fillId="2" borderId="5" xfId="0" applyFont="1" applyFill="1" applyBorder="1" applyProtection="1"/>
    <xf numFmtId="0" fontId="14" fillId="2" borderId="5" xfId="0" applyFont="1" applyFill="1" applyBorder="1" applyAlignment="1" applyProtection="1">
      <alignment horizontal="center"/>
    </xf>
    <xf numFmtId="0" fontId="14" fillId="2" borderId="6" xfId="0" applyFont="1" applyFill="1" applyBorder="1" applyAlignment="1" applyProtection="1">
      <alignment horizontal="center"/>
    </xf>
    <xf numFmtId="0" fontId="6" fillId="2" borderId="5" xfId="0" applyFont="1" applyFill="1" applyBorder="1" applyAlignment="1" applyProtection="1">
      <alignment horizontal="center"/>
    </xf>
    <xf numFmtId="0" fontId="6" fillId="2" borderId="6" xfId="0" applyFont="1" applyFill="1" applyBorder="1" applyAlignment="1" applyProtection="1">
      <alignment horizontal="center"/>
    </xf>
    <xf numFmtId="0" fontId="6" fillId="2" borderId="7" xfId="0" applyFont="1" applyFill="1" applyBorder="1" applyAlignment="1" applyProtection="1">
      <alignment horizontal="left"/>
    </xf>
    <xf numFmtId="0" fontId="6" fillId="2" borderId="7" xfId="0" applyFont="1" applyFill="1" applyBorder="1" applyAlignment="1" applyProtection="1"/>
    <xf numFmtId="0" fontId="52" fillId="2" borderId="0" xfId="0" applyFont="1" applyFill="1" applyBorder="1" applyAlignment="1" applyProtection="1">
      <alignment horizontal="left"/>
    </xf>
    <xf numFmtId="0" fontId="57" fillId="2" borderId="0" xfId="0" applyFont="1" applyFill="1" applyBorder="1" applyAlignment="1" applyProtection="1">
      <alignment horizontal="left"/>
    </xf>
    <xf numFmtId="0" fontId="57" fillId="2" borderId="0" xfId="0" applyFont="1" applyFill="1" applyBorder="1" applyAlignment="1" applyProtection="1"/>
    <xf numFmtId="0" fontId="55" fillId="2" borderId="0" xfId="0" applyFont="1" applyFill="1" applyBorder="1" applyAlignment="1" applyProtection="1">
      <alignment horizontal="center"/>
    </xf>
    <xf numFmtId="0" fontId="51" fillId="2" borderId="0" xfId="0" applyFont="1" applyFill="1" applyBorder="1" applyAlignment="1" applyProtection="1">
      <alignment horizontal="left"/>
    </xf>
    <xf numFmtId="0" fontId="51" fillId="2" borderId="0" xfId="0" applyFont="1" applyFill="1" applyBorder="1" applyProtection="1"/>
    <xf numFmtId="0" fontId="55" fillId="2" borderId="0" xfId="0" applyFont="1" applyFill="1" applyBorder="1" applyProtection="1"/>
    <xf numFmtId="0" fontId="56" fillId="2" borderId="0" xfId="0" applyFont="1" applyFill="1" applyBorder="1" applyAlignment="1" applyProtection="1">
      <alignment horizontal="left"/>
    </xf>
    <xf numFmtId="0" fontId="56" fillId="2" borderId="0" xfId="0" applyFont="1" applyFill="1" applyBorder="1" applyAlignment="1" applyProtection="1"/>
    <xf numFmtId="0" fontId="56" fillId="2" borderId="0" xfId="0" applyFont="1" applyFill="1" applyBorder="1" applyAlignment="1" applyProtection="1">
      <alignment horizontal="center"/>
    </xf>
    <xf numFmtId="0" fontId="57" fillId="2" borderId="0" xfId="0" applyFont="1" applyFill="1" applyBorder="1" applyAlignment="1" applyProtection="1">
      <alignment horizontal="center"/>
    </xf>
    <xf numFmtId="0" fontId="55" fillId="2" borderId="0" xfId="0" applyFont="1" applyFill="1" applyBorder="1" applyAlignment="1" applyProtection="1">
      <alignment horizontal="left"/>
    </xf>
    <xf numFmtId="0" fontId="55" fillId="2" borderId="0" xfId="0" applyFont="1" applyFill="1" applyBorder="1" applyAlignment="1" applyProtection="1"/>
    <xf numFmtId="16" fontId="56" fillId="2" borderId="0" xfId="0" applyNumberFormat="1" applyFont="1" applyFill="1" applyBorder="1" applyAlignment="1" applyProtection="1">
      <alignment horizontal="center"/>
    </xf>
    <xf numFmtId="0" fontId="6" fillId="3" borderId="8" xfId="0" applyFont="1" applyFill="1" applyBorder="1" applyAlignment="1" applyProtection="1">
      <alignment horizontal="center"/>
    </xf>
    <xf numFmtId="0" fontId="6" fillId="3" borderId="9" xfId="0" applyFont="1" applyFill="1" applyBorder="1" applyAlignment="1" applyProtection="1">
      <alignment horizontal="left"/>
    </xf>
    <xf numFmtId="0" fontId="6" fillId="3" borderId="9" xfId="0" applyFont="1" applyFill="1" applyBorder="1" applyAlignment="1" applyProtection="1"/>
    <xf numFmtId="0" fontId="6" fillId="3" borderId="11" xfId="0" applyFont="1" applyFill="1" applyBorder="1" applyAlignment="1" applyProtection="1">
      <alignment horizontal="center"/>
    </xf>
    <xf numFmtId="0" fontId="14" fillId="3" borderId="1" xfId="0" applyFont="1" applyFill="1" applyBorder="1" applyAlignment="1" applyProtection="1"/>
    <xf numFmtId="0" fontId="6" fillId="3" borderId="14" xfId="0" applyFont="1" applyFill="1" applyBorder="1" applyAlignment="1" applyProtection="1">
      <alignment horizontal="left"/>
    </xf>
    <xf numFmtId="0" fontId="6" fillId="3" borderId="14" xfId="0" applyFont="1" applyFill="1" applyBorder="1" applyAlignment="1" applyProtection="1"/>
    <xf numFmtId="0" fontId="6" fillId="3" borderId="15" xfId="0" applyFont="1" applyFill="1" applyBorder="1" applyProtection="1"/>
    <xf numFmtId="0" fontId="6" fillId="2" borderId="1" xfId="0" applyFont="1" applyFill="1" applyBorder="1" applyAlignment="1" applyProtection="1">
      <alignment horizontal="left"/>
      <protection locked="0"/>
    </xf>
    <xf numFmtId="0" fontId="6" fillId="2" borderId="1" xfId="0" applyFont="1" applyFill="1" applyBorder="1" applyAlignment="1" applyProtection="1">
      <protection locked="0"/>
    </xf>
    <xf numFmtId="0" fontId="6" fillId="2" borderId="1" xfId="0" applyFont="1" applyFill="1" applyBorder="1" applyAlignment="1" applyProtection="1">
      <alignment horizontal="center"/>
      <protection locked="0"/>
    </xf>
    <xf numFmtId="164" fontId="6" fillId="2" borderId="1" xfId="0" applyNumberFormat="1" applyFont="1" applyFill="1" applyBorder="1" applyAlignment="1" applyProtection="1">
      <protection locked="0"/>
    </xf>
    <xf numFmtId="0" fontId="40" fillId="2" borderId="0" xfId="0" applyFont="1" applyFill="1" applyBorder="1" applyProtection="1"/>
    <xf numFmtId="0" fontId="42" fillId="2" borderId="0" xfId="0" applyFont="1" applyFill="1" applyBorder="1" applyAlignment="1" applyProtection="1">
      <alignment horizontal="left"/>
    </xf>
    <xf numFmtId="0" fontId="42" fillId="2" borderId="0" xfId="0" applyFont="1" applyFill="1" applyBorder="1" applyAlignment="1" applyProtection="1"/>
    <xf numFmtId="0" fontId="43" fillId="2" borderId="0" xfId="0" applyFont="1" applyFill="1" applyBorder="1" applyAlignment="1" applyProtection="1">
      <alignment horizontal="left"/>
    </xf>
    <xf numFmtId="0" fontId="40" fillId="2" borderId="0" xfId="0" applyFont="1" applyFill="1" applyBorder="1" applyAlignment="1" applyProtection="1"/>
    <xf numFmtId="0" fontId="41" fillId="2" borderId="0" xfId="0" applyFont="1" applyFill="1" applyBorder="1" applyAlignment="1" applyProtection="1">
      <alignment horizontal="left"/>
    </xf>
    <xf numFmtId="16" fontId="40" fillId="2" borderId="0" xfId="0" applyNumberFormat="1" applyFont="1" applyFill="1" applyBorder="1" applyAlignment="1" applyProtection="1">
      <alignment horizontal="center"/>
    </xf>
    <xf numFmtId="166" fontId="44" fillId="4" borderId="1" xfId="0" applyNumberFormat="1" applyFont="1" applyFill="1" applyBorder="1" applyAlignment="1" applyProtection="1">
      <alignment horizontal="center"/>
    </xf>
    <xf numFmtId="0" fontId="12" fillId="2" borderId="0" xfId="0" applyFont="1" applyFill="1" applyBorder="1" applyAlignment="1" applyProtection="1"/>
    <xf numFmtId="0" fontId="16" fillId="2" borderId="3" xfId="0" applyFont="1" applyFill="1" applyBorder="1" applyProtection="1"/>
    <xf numFmtId="0" fontId="12" fillId="2" borderId="3" xfId="0" applyFont="1" applyFill="1" applyBorder="1" applyAlignment="1" applyProtection="1"/>
    <xf numFmtId="0" fontId="12" fillId="2" borderId="7" xfId="0" applyFont="1" applyFill="1" applyBorder="1" applyProtection="1"/>
    <xf numFmtId="0" fontId="12" fillId="2" borderId="7" xfId="0" applyFont="1" applyFill="1" applyBorder="1" applyAlignment="1" applyProtection="1"/>
    <xf numFmtId="0" fontId="12" fillId="3" borderId="0" xfId="0" applyFont="1" applyFill="1" applyProtection="1"/>
    <xf numFmtId="0" fontId="12" fillId="3" borderId="0" xfId="0" applyFont="1" applyFill="1" applyBorder="1" applyAlignment="1" applyProtection="1">
      <alignment horizontal="center"/>
    </xf>
    <xf numFmtId="0" fontId="69" fillId="3" borderId="0" xfId="0" applyFont="1" applyFill="1" applyProtection="1"/>
    <xf numFmtId="0" fontId="14" fillId="3" borderId="0" xfId="0" applyFont="1" applyFill="1" applyProtection="1"/>
    <xf numFmtId="0" fontId="13" fillId="3" borderId="0" xfId="0" applyFont="1" applyFill="1" applyProtection="1"/>
    <xf numFmtId="0" fontId="12" fillId="3" borderId="0" xfId="0" applyFont="1" applyFill="1" applyAlignment="1" applyProtection="1">
      <alignment horizontal="center"/>
    </xf>
    <xf numFmtId="0" fontId="12" fillId="2" borderId="3" xfId="0" applyFont="1" applyFill="1" applyBorder="1" applyAlignment="1" applyProtection="1">
      <alignment horizontal="center"/>
    </xf>
    <xf numFmtId="0" fontId="69" fillId="2" borderId="5" xfId="0" applyFont="1" applyFill="1" applyBorder="1" applyProtection="1"/>
    <xf numFmtId="0" fontId="69" fillId="2" borderId="0" xfId="0" applyFont="1" applyFill="1" applyBorder="1" applyProtection="1"/>
    <xf numFmtId="0" fontId="69" fillId="2" borderId="0" xfId="0" applyFont="1" applyFill="1" applyBorder="1" applyAlignment="1" applyProtection="1">
      <alignment horizontal="center"/>
    </xf>
    <xf numFmtId="0" fontId="69" fillId="2" borderId="6" xfId="0" applyFont="1" applyFill="1" applyBorder="1" applyProtection="1"/>
    <xf numFmtId="0" fontId="13" fillId="2" borderId="5" xfId="0" applyFont="1" applyFill="1" applyBorder="1" applyProtection="1"/>
    <xf numFmtId="0" fontId="13" fillId="2" borderId="6" xfId="0" applyFont="1" applyFill="1" applyBorder="1" applyProtection="1"/>
    <xf numFmtId="0" fontId="45" fillId="2" borderId="0" xfId="0" applyFont="1" applyFill="1" applyBorder="1" applyProtection="1"/>
    <xf numFmtId="0" fontId="45" fillId="2" borderId="0" xfId="0" applyFont="1" applyFill="1" applyBorder="1" applyAlignment="1" applyProtection="1">
      <alignment horizontal="center"/>
    </xf>
    <xf numFmtId="0" fontId="12" fillId="2" borderId="17" xfId="0" applyFont="1" applyFill="1" applyBorder="1" applyProtection="1"/>
    <xf numFmtId="0" fontId="12" fillId="2" borderId="7" xfId="0" applyFont="1" applyFill="1" applyBorder="1" applyAlignment="1" applyProtection="1">
      <alignment horizontal="center"/>
    </xf>
    <xf numFmtId="0" fontId="12" fillId="2" borderId="16" xfId="0" applyFont="1" applyFill="1" applyBorder="1" applyProtection="1"/>
    <xf numFmtId="0" fontId="6" fillId="3" borderId="0" xfId="0" applyFont="1" applyFill="1" applyProtection="1"/>
    <xf numFmtId="0" fontId="7" fillId="3" borderId="0" xfId="0" applyFont="1" applyFill="1" applyProtection="1"/>
    <xf numFmtId="0" fontId="7" fillId="3" borderId="0" xfId="0" applyFont="1" applyFill="1" applyAlignment="1" applyProtection="1">
      <alignment horizontal="center"/>
    </xf>
    <xf numFmtId="0" fontId="6" fillId="3" borderId="0" xfId="0" applyFont="1" applyFill="1" applyAlignment="1" applyProtection="1">
      <alignment horizontal="center"/>
    </xf>
    <xf numFmtId="0" fontId="62" fillId="2" borderId="0" xfId="0" applyFont="1" applyFill="1" applyBorder="1" applyAlignment="1" applyProtection="1">
      <alignment horizontal="right"/>
    </xf>
    <xf numFmtId="0" fontId="61" fillId="2" borderId="0" xfId="0" applyFont="1" applyFill="1" applyBorder="1" applyProtection="1"/>
    <xf numFmtId="0" fontId="45" fillId="2" borderId="7" xfId="0" applyFont="1" applyFill="1" applyBorder="1" applyProtection="1"/>
    <xf numFmtId="0" fontId="45" fillId="2" borderId="7" xfId="0" applyFont="1" applyFill="1" applyBorder="1" applyAlignment="1" applyProtection="1">
      <alignment horizontal="center"/>
    </xf>
    <xf numFmtId="0" fontId="45" fillId="2" borderId="3" xfId="0" applyFont="1" applyFill="1" applyBorder="1" applyProtection="1"/>
    <xf numFmtId="0" fontId="45" fillId="2" borderId="3" xfId="0" applyFont="1" applyFill="1" applyBorder="1" applyAlignment="1" applyProtection="1">
      <alignment horizontal="center"/>
    </xf>
    <xf numFmtId="0" fontId="26" fillId="3" borderId="0" xfId="0" applyFont="1" applyFill="1" applyBorder="1" applyProtection="1"/>
    <xf numFmtId="0" fontId="26" fillId="3" borderId="0" xfId="0" applyFont="1" applyFill="1" applyProtection="1"/>
    <xf numFmtId="0" fontId="26" fillId="2" borderId="5" xfId="0" applyFont="1" applyFill="1" applyBorder="1" applyProtection="1"/>
    <xf numFmtId="0" fontId="26" fillId="2" borderId="0" xfId="0" applyFont="1" applyFill="1" applyBorder="1" applyProtection="1"/>
    <xf numFmtId="0" fontId="26" fillId="2" borderId="6" xfId="0" applyFont="1" applyFill="1" applyBorder="1" applyProtection="1"/>
    <xf numFmtId="0" fontId="46" fillId="2" borderId="0" xfId="0" applyFont="1" applyFill="1" applyBorder="1" applyProtection="1"/>
    <xf numFmtId="0" fontId="46" fillId="2" borderId="7" xfId="0" applyFont="1" applyFill="1" applyBorder="1" applyProtection="1"/>
    <xf numFmtId="0" fontId="46" fillId="2" borderId="3" xfId="0" applyFont="1" applyFill="1" applyBorder="1" applyProtection="1"/>
    <xf numFmtId="164" fontId="12" fillId="2" borderId="7" xfId="0" applyNumberFormat="1" applyFont="1" applyFill="1" applyBorder="1" applyAlignment="1" applyProtection="1">
      <alignment horizontal="center"/>
    </xf>
    <xf numFmtId="0" fontId="61" fillId="2" borderId="0" xfId="0" applyFont="1" applyFill="1" applyBorder="1" applyAlignment="1" applyProtection="1">
      <alignment horizontal="center"/>
    </xf>
    <xf numFmtId="175" fontId="12" fillId="3" borderId="0" xfId="0" applyNumberFormat="1" applyFont="1" applyFill="1" applyBorder="1" applyAlignment="1" applyProtection="1">
      <alignment horizontal="center"/>
    </xf>
    <xf numFmtId="0" fontId="12" fillId="3" borderId="0" xfId="0" applyNumberFormat="1" applyFont="1" applyFill="1" applyBorder="1" applyAlignment="1" applyProtection="1">
      <alignment horizontal="center"/>
    </xf>
    <xf numFmtId="169" fontId="12" fillId="3" borderId="0" xfId="0" applyNumberFormat="1" applyFont="1" applyFill="1" applyBorder="1" applyAlignment="1" applyProtection="1">
      <alignment horizontal="center"/>
    </xf>
    <xf numFmtId="171" fontId="6" fillId="3" borderId="0" xfId="0" applyNumberFormat="1" applyFont="1" applyFill="1" applyBorder="1" applyProtection="1"/>
    <xf numFmtId="0" fontId="71" fillId="3" borderId="0" xfId="0" applyFont="1" applyFill="1" applyBorder="1" applyProtection="1"/>
    <xf numFmtId="0" fontId="18" fillId="3" borderId="0" xfId="0" applyFont="1" applyFill="1" applyBorder="1" applyProtection="1"/>
    <xf numFmtId="171" fontId="26" fillId="3" borderId="0" xfId="0" applyNumberFormat="1" applyFont="1" applyFill="1" applyBorder="1" applyAlignment="1" applyProtection="1">
      <alignment horizontal="center"/>
    </xf>
    <xf numFmtId="0" fontId="40" fillId="3" borderId="0" xfId="0" applyFont="1" applyFill="1" applyBorder="1" applyAlignment="1" applyProtection="1">
      <alignment horizontal="center"/>
    </xf>
    <xf numFmtId="171" fontId="22" fillId="3" borderId="0" xfId="0" applyNumberFormat="1" applyFont="1" applyFill="1" applyBorder="1" applyAlignment="1" applyProtection="1">
      <alignment horizontal="center"/>
    </xf>
    <xf numFmtId="171" fontId="12" fillId="3" borderId="0" xfId="3" applyNumberFormat="1" applyFont="1" applyFill="1" applyBorder="1" applyProtection="1"/>
    <xf numFmtId="0" fontId="29" fillId="3" borderId="0" xfId="0" applyFont="1" applyFill="1" applyAlignment="1" applyProtection="1">
      <alignment horizontal="right"/>
    </xf>
    <xf numFmtId="0" fontId="12" fillId="2" borderId="0" xfId="0" applyFont="1" applyFill="1" applyBorder="1" applyAlignment="1" applyProtection="1">
      <alignment horizontal="left"/>
    </xf>
    <xf numFmtId="175" fontId="12" fillId="2" borderId="0" xfId="0" applyNumberFormat="1" applyFont="1" applyFill="1" applyBorder="1" applyAlignment="1" applyProtection="1">
      <alignment horizontal="center"/>
    </xf>
    <xf numFmtId="0" fontId="12" fillId="2" borderId="0" xfId="0" applyNumberFormat="1" applyFont="1" applyFill="1" applyBorder="1" applyAlignment="1" applyProtection="1">
      <alignment horizontal="center"/>
    </xf>
    <xf numFmtId="169" fontId="12" fillId="2" borderId="0" xfId="0" applyNumberFormat="1" applyFont="1" applyFill="1" applyBorder="1" applyAlignment="1" applyProtection="1">
      <alignment horizontal="center"/>
    </xf>
    <xf numFmtId="171" fontId="6" fillId="2" borderId="0" xfId="0" applyNumberFormat="1" applyFont="1" applyFill="1" applyBorder="1" applyProtection="1"/>
    <xf numFmtId="0" fontId="70" fillId="2" borderId="5" xfId="0" applyFont="1" applyFill="1" applyBorder="1" applyAlignment="1" applyProtection="1">
      <alignment horizontal="left"/>
    </xf>
    <xf numFmtId="0" fontId="71" fillId="2" borderId="0" xfId="0" applyFont="1" applyFill="1" applyBorder="1" applyProtection="1"/>
    <xf numFmtId="0" fontId="71" fillId="2" borderId="0" xfId="0" applyFont="1" applyFill="1" applyBorder="1" applyAlignment="1" applyProtection="1">
      <alignment horizontal="left"/>
    </xf>
    <xf numFmtId="0" fontId="71" fillId="2" borderId="0" xfId="0" applyFont="1" applyFill="1" applyBorder="1" applyAlignment="1" applyProtection="1">
      <alignment horizontal="center"/>
    </xf>
    <xf numFmtId="175" fontId="71" fillId="2" borderId="0" xfId="0" applyNumberFormat="1" applyFont="1" applyFill="1" applyBorder="1" applyAlignment="1" applyProtection="1">
      <alignment horizontal="center"/>
    </xf>
    <xf numFmtId="0" fontId="71" fillId="2" borderId="0" xfId="0" applyNumberFormat="1" applyFont="1" applyFill="1" applyBorder="1" applyAlignment="1" applyProtection="1">
      <alignment horizontal="center"/>
    </xf>
    <xf numFmtId="169" fontId="71" fillId="2" borderId="0" xfId="0" applyNumberFormat="1" applyFont="1" applyFill="1" applyBorder="1" applyAlignment="1" applyProtection="1">
      <alignment horizontal="center"/>
    </xf>
    <xf numFmtId="171" fontId="71" fillId="2" borderId="0" xfId="0" applyNumberFormat="1" applyFont="1" applyFill="1" applyBorder="1" applyProtection="1"/>
    <xf numFmtId="0" fontId="18" fillId="2" borderId="5" xfId="0" applyFont="1" applyFill="1" applyBorder="1" applyProtection="1"/>
    <xf numFmtId="0" fontId="18" fillId="2" borderId="0" xfId="0" applyFont="1" applyFill="1" applyBorder="1" applyProtection="1"/>
    <xf numFmtId="0" fontId="19" fillId="2" borderId="0" xfId="0" applyFont="1" applyFill="1" applyBorder="1" applyAlignment="1" applyProtection="1">
      <alignment horizontal="left"/>
    </xf>
    <xf numFmtId="176" fontId="20" fillId="2" borderId="0" xfId="0" applyNumberFormat="1" applyFont="1" applyFill="1" applyBorder="1" applyAlignment="1" applyProtection="1">
      <alignment horizontal="left"/>
    </xf>
    <xf numFmtId="0" fontId="21" fillId="2" borderId="0" xfId="0" applyFont="1" applyFill="1" applyBorder="1" applyAlignment="1" applyProtection="1">
      <alignment horizontal="left"/>
    </xf>
    <xf numFmtId="0" fontId="21" fillId="2" borderId="0" xfId="0" applyFont="1" applyFill="1" applyBorder="1" applyAlignment="1" applyProtection="1">
      <alignment horizontal="center"/>
    </xf>
    <xf numFmtId="175" fontId="21" fillId="2" borderId="0" xfId="0" applyNumberFormat="1" applyFont="1" applyFill="1" applyBorder="1" applyAlignment="1" applyProtection="1">
      <alignment horizontal="center"/>
    </xf>
    <xf numFmtId="0" fontId="18" fillId="2" borderId="0" xfId="0" applyNumberFormat="1" applyFont="1" applyFill="1" applyBorder="1" applyAlignment="1" applyProtection="1">
      <alignment horizontal="center"/>
    </xf>
    <xf numFmtId="169" fontId="18" fillId="2" borderId="0" xfId="0" applyNumberFormat="1" applyFont="1" applyFill="1" applyBorder="1" applyAlignment="1" applyProtection="1">
      <alignment horizontal="center"/>
    </xf>
    <xf numFmtId="171" fontId="18" fillId="2" borderId="0" xfId="0" applyNumberFormat="1" applyFont="1" applyFill="1" applyBorder="1" applyProtection="1"/>
    <xf numFmtId="2" fontId="18" fillId="2" borderId="0" xfId="0" applyNumberFormat="1" applyFont="1" applyFill="1" applyBorder="1" applyProtection="1"/>
    <xf numFmtId="0" fontId="18" fillId="2" borderId="6" xfId="0" applyFont="1" applyFill="1" applyBorder="1" applyProtection="1"/>
    <xf numFmtId="176" fontId="13" fillId="2" borderId="0" xfId="0" applyNumberFormat="1" applyFont="1" applyFill="1" applyBorder="1" applyAlignment="1" applyProtection="1">
      <alignment horizontal="left"/>
    </xf>
    <xf numFmtId="0" fontId="16" fillId="2" borderId="0" xfId="0" applyNumberFormat="1" applyFont="1" applyFill="1" applyBorder="1" applyAlignment="1" applyProtection="1">
      <alignment horizontal="center"/>
    </xf>
    <xf numFmtId="169" fontId="12" fillId="2" borderId="0" xfId="3" applyNumberFormat="1" applyFont="1" applyFill="1" applyBorder="1" applyAlignment="1" applyProtection="1">
      <alignment horizontal="center"/>
    </xf>
    <xf numFmtId="171" fontId="12" fillId="2" borderId="0" xfId="3" applyNumberFormat="1" applyFont="1" applyFill="1" applyBorder="1" applyProtection="1"/>
    <xf numFmtId="171" fontId="6" fillId="2" borderId="0" xfId="3" applyNumberFormat="1" applyFont="1" applyFill="1" applyBorder="1" applyAlignment="1" applyProtection="1">
      <alignment horizontal="left"/>
    </xf>
    <xf numFmtId="0" fontId="12" fillId="2" borderId="7" xfId="0" applyFont="1" applyFill="1" applyBorder="1" applyAlignment="1" applyProtection="1">
      <alignment horizontal="left"/>
    </xf>
    <xf numFmtId="175" fontId="12" fillId="2" borderId="7" xfId="0" applyNumberFormat="1" applyFont="1" applyFill="1" applyBorder="1" applyAlignment="1" applyProtection="1">
      <alignment horizontal="center"/>
    </xf>
    <xf numFmtId="0" fontId="12" fillId="2" borderId="7" xfId="0" applyNumberFormat="1" applyFont="1" applyFill="1" applyBorder="1" applyAlignment="1" applyProtection="1">
      <alignment horizontal="center"/>
    </xf>
    <xf numFmtId="169" fontId="12" fillId="2" borderId="7" xfId="3" applyNumberFormat="1" applyFont="1" applyFill="1" applyBorder="1" applyAlignment="1" applyProtection="1">
      <alignment horizontal="center"/>
    </xf>
    <xf numFmtId="169" fontId="12" fillId="2" borderId="7" xfId="0" applyNumberFormat="1" applyFont="1" applyFill="1" applyBorder="1" applyAlignment="1" applyProtection="1">
      <alignment horizontal="center"/>
    </xf>
    <xf numFmtId="171" fontId="12" fillId="2" borderId="7" xfId="3" applyNumberFormat="1" applyFont="1" applyFill="1" applyBorder="1" applyProtection="1"/>
    <xf numFmtId="171" fontId="6" fillId="2" borderId="7" xfId="3" applyNumberFormat="1" applyFont="1" applyFill="1" applyBorder="1" applyAlignment="1" applyProtection="1">
      <alignment horizontal="left"/>
    </xf>
    <xf numFmtId="0" fontId="69" fillId="2" borderId="0" xfId="0" applyFont="1" applyFill="1" applyBorder="1" applyAlignment="1" applyProtection="1"/>
    <xf numFmtId="49" fontId="40" fillId="2" borderId="0" xfId="0" applyNumberFormat="1" applyFont="1" applyFill="1" applyBorder="1" applyAlignment="1" applyProtection="1">
      <alignment horizontal="center"/>
    </xf>
    <xf numFmtId="164" fontId="6" fillId="2" borderId="7" xfId="0" applyNumberFormat="1" applyFont="1" applyFill="1" applyBorder="1" applyAlignment="1" applyProtection="1"/>
    <xf numFmtId="0" fontId="16" fillId="3" borderId="0" xfId="0" applyFont="1" applyFill="1" applyProtection="1"/>
    <xf numFmtId="0" fontId="6" fillId="3" borderId="0" xfId="0" applyFont="1" applyFill="1" applyAlignment="1" applyProtection="1"/>
    <xf numFmtId="180" fontId="12" fillId="3" borderId="0" xfId="0" applyNumberFormat="1" applyFont="1" applyFill="1" applyProtection="1"/>
    <xf numFmtId="0" fontId="12" fillId="3" borderId="0" xfId="0" applyFont="1" applyFill="1" applyAlignment="1" applyProtection="1"/>
    <xf numFmtId="164" fontId="6" fillId="2" borderId="7" xfId="0" applyNumberFormat="1" applyFont="1" applyFill="1" applyBorder="1" applyAlignment="1" applyProtection="1">
      <alignment horizontal="center"/>
    </xf>
    <xf numFmtId="0" fontId="16" fillId="3" borderId="0" xfId="0" applyFont="1" applyFill="1" applyBorder="1" applyAlignment="1" applyProtection="1">
      <alignment horizontal="center"/>
    </xf>
    <xf numFmtId="0" fontId="7" fillId="2" borderId="0" xfId="0" applyFont="1" applyFill="1" applyBorder="1" applyAlignment="1" applyProtection="1">
      <alignment horizontal="right"/>
    </xf>
    <xf numFmtId="0" fontId="16" fillId="2" borderId="0" xfId="0" applyFont="1" applyFill="1" applyBorder="1" applyAlignment="1" applyProtection="1">
      <alignment horizontal="center"/>
    </xf>
    <xf numFmtId="164" fontId="6" fillId="2" borderId="0" xfId="0" applyNumberFormat="1" applyFont="1" applyFill="1" applyBorder="1" applyProtection="1"/>
    <xf numFmtId="164" fontId="40" fillId="2" borderId="0" xfId="0" applyNumberFormat="1" applyFont="1" applyFill="1" applyBorder="1" applyProtection="1"/>
    <xf numFmtId="0" fontId="40" fillId="2" borderId="5" xfId="0" applyFont="1" applyFill="1" applyBorder="1" applyAlignment="1" applyProtection="1">
      <alignment horizontal="center"/>
    </xf>
    <xf numFmtId="0" fontId="40" fillId="2" borderId="6" xfId="0" applyFont="1" applyFill="1" applyBorder="1" applyAlignment="1" applyProtection="1">
      <alignment horizontal="center"/>
    </xf>
    <xf numFmtId="0" fontId="16" fillId="2" borderId="5" xfId="0" applyFont="1" applyFill="1" applyBorder="1" applyAlignment="1" applyProtection="1">
      <alignment horizontal="center"/>
    </xf>
    <xf numFmtId="0" fontId="16" fillId="2" borderId="6" xfId="0" applyFont="1" applyFill="1" applyBorder="1" applyAlignment="1" applyProtection="1">
      <alignment horizontal="center"/>
    </xf>
    <xf numFmtId="49" fontId="26" fillId="2" borderId="0" xfId="0" applyNumberFormat="1" applyFont="1" applyFill="1" applyBorder="1" applyAlignment="1" applyProtection="1">
      <alignment horizontal="center"/>
    </xf>
    <xf numFmtId="0" fontId="14" fillId="2" borderId="0" xfId="0" applyFont="1" applyFill="1" applyBorder="1" applyAlignment="1" applyProtection="1">
      <alignment horizontal="right"/>
    </xf>
    <xf numFmtId="165" fontId="16" fillId="2" borderId="0" xfId="3" applyNumberFormat="1" applyFont="1" applyFill="1" applyBorder="1" applyProtection="1"/>
    <xf numFmtId="165" fontId="16" fillId="2" borderId="6" xfId="3" applyNumberFormat="1" applyFont="1" applyFill="1" applyBorder="1" applyProtection="1"/>
    <xf numFmtId="0" fontId="22" fillId="2" borderId="0" xfId="0" applyNumberFormat="1" applyFont="1" applyFill="1" applyBorder="1" applyAlignment="1" applyProtection="1">
      <alignment horizontal="right"/>
    </xf>
    <xf numFmtId="0" fontId="23" fillId="2" borderId="0" xfId="0" applyFont="1" applyFill="1" applyBorder="1" applyAlignment="1" applyProtection="1">
      <alignment horizontal="right"/>
    </xf>
    <xf numFmtId="165" fontId="22" fillId="2" borderId="0" xfId="3" applyNumberFormat="1" applyFont="1" applyFill="1" applyBorder="1" applyProtection="1"/>
    <xf numFmtId="165" fontId="22" fillId="2" borderId="6" xfId="3" applyNumberFormat="1" applyFont="1" applyFill="1" applyBorder="1" applyProtection="1"/>
    <xf numFmtId="0" fontId="7" fillId="2" borderId="5" xfId="0" applyFont="1" applyFill="1" applyBorder="1" applyAlignment="1" applyProtection="1">
      <alignment horizontal="left"/>
    </xf>
    <xf numFmtId="164" fontId="6" fillId="2" borderId="0" xfId="0" applyNumberFormat="1" applyFont="1" applyFill="1" applyBorder="1" applyAlignment="1" applyProtection="1">
      <alignment horizontal="left"/>
    </xf>
    <xf numFmtId="164" fontId="7" fillId="2" borderId="0" xfId="0" applyNumberFormat="1" applyFont="1" applyFill="1" applyBorder="1" applyAlignment="1" applyProtection="1">
      <alignment horizontal="left"/>
    </xf>
    <xf numFmtId="0" fontId="7" fillId="2" borderId="7" xfId="0" applyFont="1" applyFill="1" applyBorder="1" applyAlignment="1" applyProtection="1">
      <alignment horizontal="right"/>
    </xf>
    <xf numFmtId="171" fontId="7" fillId="2" borderId="7" xfId="0" applyNumberFormat="1" applyFont="1" applyFill="1" applyBorder="1" applyProtection="1"/>
    <xf numFmtId="0" fontId="14" fillId="2" borderId="0" xfId="0" applyFont="1" applyFill="1" applyBorder="1" applyProtection="1"/>
    <xf numFmtId="49" fontId="16" fillId="2" borderId="0" xfId="0" applyNumberFormat="1" applyFont="1" applyFill="1" applyBorder="1" applyAlignment="1" applyProtection="1">
      <alignment horizontal="center"/>
    </xf>
    <xf numFmtId="0" fontId="8" fillId="2" borderId="5" xfId="0" applyFont="1" applyFill="1" applyBorder="1" applyProtection="1"/>
    <xf numFmtId="0" fontId="8" fillId="2" borderId="0" xfId="0" applyFont="1" applyFill="1" applyBorder="1" applyProtection="1"/>
    <xf numFmtId="0" fontId="22" fillId="2" borderId="0" xfId="0" applyFont="1" applyFill="1" applyBorder="1" applyProtection="1"/>
    <xf numFmtId="0" fontId="23" fillId="2" borderId="0" xfId="0" applyFont="1" applyFill="1" applyBorder="1" applyAlignment="1" applyProtection="1">
      <alignment horizontal="center"/>
    </xf>
    <xf numFmtId="0" fontId="6" fillId="2" borderId="0" xfId="0" applyFont="1" applyFill="1" applyBorder="1" applyAlignment="1" applyProtection="1">
      <alignment horizontal="right"/>
    </xf>
    <xf numFmtId="164" fontId="7" fillId="2" borderId="0" xfId="0" applyNumberFormat="1" applyFont="1" applyFill="1" applyBorder="1" applyAlignment="1" applyProtection="1">
      <alignment horizontal="center"/>
    </xf>
    <xf numFmtId="0" fontId="7" fillId="2" borderId="7" xfId="0" applyFont="1" applyFill="1" applyBorder="1" applyProtection="1"/>
    <xf numFmtId="173" fontId="7" fillId="2" borderId="7" xfId="0" applyNumberFormat="1" applyFont="1" applyFill="1" applyBorder="1" applyAlignment="1" applyProtection="1">
      <alignment horizontal="center"/>
    </xf>
    <xf numFmtId="0" fontId="1" fillId="3" borderId="0" xfId="0" applyFont="1" applyFill="1" applyBorder="1" applyProtection="1"/>
    <xf numFmtId="0" fontId="1" fillId="3" borderId="0" xfId="0" applyFont="1" applyFill="1" applyBorder="1" applyAlignment="1" applyProtection="1">
      <alignment horizontal="center"/>
    </xf>
    <xf numFmtId="0" fontId="26" fillId="2" borderId="0" xfId="0" applyFont="1" applyFill="1" applyBorder="1" applyAlignment="1" applyProtection="1">
      <alignment horizontal="center"/>
    </xf>
    <xf numFmtId="0" fontId="74" fillId="3" borderId="0" xfId="0" applyFont="1" applyFill="1" applyBorder="1" applyProtection="1"/>
    <xf numFmtId="0" fontId="23" fillId="2" borderId="0" xfId="0" applyFont="1" applyFill="1" applyBorder="1" applyProtection="1"/>
    <xf numFmtId="0" fontId="75" fillId="3" borderId="0" xfId="0" applyFont="1" applyFill="1" applyBorder="1" applyProtection="1"/>
    <xf numFmtId="164" fontId="6" fillId="2" borderId="0" xfId="0" applyNumberFormat="1" applyFont="1" applyFill="1" applyBorder="1" applyAlignment="1" applyProtection="1">
      <alignment horizontal="center"/>
    </xf>
    <xf numFmtId="0" fontId="8" fillId="0" borderId="0" xfId="0" applyFont="1"/>
    <xf numFmtId="0" fontId="6" fillId="0" borderId="0" xfId="0" applyNumberFormat="1" applyFont="1"/>
    <xf numFmtId="0" fontId="63" fillId="0" borderId="0" xfId="0" applyFont="1"/>
    <xf numFmtId="0" fontId="50" fillId="2" borderId="0" xfId="0" applyFont="1" applyFill="1" applyBorder="1" applyAlignment="1" applyProtection="1"/>
    <xf numFmtId="0" fontId="41" fillId="2" borderId="6" xfId="0" applyFont="1" applyFill="1" applyBorder="1" applyProtection="1"/>
    <xf numFmtId="0" fontId="41" fillId="3" borderId="0" xfId="0" applyFont="1" applyFill="1" applyBorder="1" applyProtection="1"/>
    <xf numFmtId="0" fontId="6" fillId="0" borderId="0" xfId="0" quotePrefix="1" applyFont="1"/>
    <xf numFmtId="0" fontId="43" fillId="0" borderId="0" xfId="0" applyFont="1"/>
    <xf numFmtId="0" fontId="16" fillId="2" borderId="0" xfId="0" applyFont="1" applyFill="1" applyBorder="1" applyAlignment="1" applyProtection="1">
      <alignment horizontal="right"/>
    </xf>
    <xf numFmtId="0" fontId="79" fillId="2" borderId="0" xfId="0" applyFont="1" applyFill="1" applyBorder="1" applyAlignment="1" applyProtection="1">
      <alignment horizontal="right"/>
    </xf>
    <xf numFmtId="49" fontId="79" fillId="2" borderId="0" xfId="0" applyNumberFormat="1" applyFont="1" applyFill="1" applyBorder="1" applyAlignment="1" applyProtection="1">
      <alignment horizontal="center"/>
    </xf>
    <xf numFmtId="1" fontId="79" fillId="2" borderId="0" xfId="0" applyNumberFormat="1" applyFont="1" applyFill="1" applyBorder="1" applyAlignment="1" applyProtection="1">
      <alignment horizontal="center"/>
    </xf>
    <xf numFmtId="0" fontId="80" fillId="2" borderId="0" xfId="0" applyFont="1" applyFill="1" applyBorder="1" applyProtection="1"/>
    <xf numFmtId="164" fontId="12" fillId="2" borderId="0" xfId="0" applyNumberFormat="1" applyFont="1" applyFill="1" applyBorder="1" applyAlignment="1" applyProtection="1"/>
    <xf numFmtId="0" fontId="79" fillId="2" borderId="0" xfId="0" applyNumberFormat="1" applyFont="1" applyFill="1" applyBorder="1" applyAlignment="1" applyProtection="1">
      <alignment horizontal="center"/>
    </xf>
    <xf numFmtId="164" fontId="12" fillId="2" borderId="3" xfId="0" applyNumberFormat="1" applyFont="1" applyFill="1" applyBorder="1" applyAlignment="1" applyProtection="1"/>
    <xf numFmtId="164" fontId="12" fillId="2" borderId="7" xfId="0" applyNumberFormat="1" applyFont="1" applyFill="1" applyBorder="1" applyAlignment="1" applyProtection="1"/>
    <xf numFmtId="0" fontId="80" fillId="2" borderId="0" xfId="0" applyFont="1" applyFill="1" applyBorder="1" applyAlignment="1" applyProtection="1"/>
    <xf numFmtId="0" fontId="82" fillId="0" borderId="0" xfId="0" applyFont="1" applyFill="1" applyBorder="1" applyAlignment="1" applyProtection="1">
      <alignment horizontal="left"/>
    </xf>
    <xf numFmtId="0" fontId="83" fillId="0" borderId="0" xfId="0" applyFont="1" applyFill="1" applyBorder="1" applyAlignment="1" applyProtection="1">
      <alignment horizontal="left"/>
    </xf>
    <xf numFmtId="0" fontId="82" fillId="0" borderId="0" xfId="0" applyFont="1" applyAlignment="1" applyProtection="1">
      <alignment horizontal="left"/>
    </xf>
    <xf numFmtId="1" fontId="82" fillId="0" borderId="0" xfId="0" applyNumberFormat="1" applyFont="1" applyFill="1" applyBorder="1" applyAlignment="1" applyProtection="1">
      <alignment horizontal="left"/>
    </xf>
    <xf numFmtId="1" fontId="83" fillId="0" borderId="0" xfId="0" applyNumberFormat="1" applyFont="1" applyFill="1" applyBorder="1" applyAlignment="1" applyProtection="1">
      <alignment horizontal="left"/>
    </xf>
    <xf numFmtId="1" fontId="82" fillId="0" borderId="0" xfId="0" applyNumberFormat="1" applyFont="1" applyAlignment="1" applyProtection="1">
      <alignment horizontal="left"/>
    </xf>
    <xf numFmtId="0" fontId="82" fillId="0" borderId="0" xfId="0" applyFont="1" applyFill="1" applyAlignment="1" applyProtection="1">
      <alignment horizontal="left"/>
    </xf>
    <xf numFmtId="0" fontId="83" fillId="0" borderId="0" xfId="0" applyFont="1" applyFill="1" applyBorder="1" applyProtection="1"/>
    <xf numFmtId="169" fontId="82" fillId="0" borderId="0" xfId="0" applyNumberFormat="1" applyFont="1" applyFill="1" applyBorder="1" applyAlignment="1" applyProtection="1">
      <alignment horizontal="left"/>
    </xf>
    <xf numFmtId="0" fontId="83" fillId="0" borderId="0" xfId="0" quotePrefix="1" applyFont="1" applyFill="1" applyBorder="1" applyAlignment="1" applyProtection="1">
      <alignment horizontal="left"/>
    </xf>
    <xf numFmtId="0" fontId="82" fillId="0" borderId="0" xfId="0" quotePrefix="1" applyFont="1" applyFill="1" applyBorder="1" applyAlignment="1" applyProtection="1">
      <alignment horizontal="left"/>
    </xf>
    <xf numFmtId="170" fontId="82" fillId="0" borderId="0" xfId="0" applyNumberFormat="1" applyFont="1" applyFill="1" applyBorder="1" applyAlignment="1" applyProtection="1">
      <alignment horizontal="left"/>
    </xf>
    <xf numFmtId="0" fontId="84" fillId="0" borderId="0" xfId="0" applyFont="1" applyFill="1" applyBorder="1" applyProtection="1"/>
    <xf numFmtId="0" fontId="84" fillId="0" borderId="0" xfId="0" applyFont="1" applyFill="1" applyBorder="1" applyAlignment="1" applyProtection="1">
      <alignment horizontal="left"/>
    </xf>
    <xf numFmtId="0" fontId="84" fillId="0" borderId="0" xfId="0" applyFont="1" applyAlignment="1" applyProtection="1">
      <alignment horizontal="left"/>
    </xf>
    <xf numFmtId="49" fontId="85" fillId="0" borderId="0" xfId="0" applyNumberFormat="1" applyFont="1" applyFill="1" applyBorder="1" applyAlignment="1" applyProtection="1">
      <alignment horizontal="left"/>
    </xf>
    <xf numFmtId="165" fontId="82" fillId="0" borderId="0" xfId="0" applyNumberFormat="1" applyFont="1" applyFill="1" applyBorder="1" applyAlignment="1" applyProtection="1">
      <alignment horizontal="left"/>
    </xf>
    <xf numFmtId="0" fontId="82" fillId="0" borderId="0" xfId="0" applyFont="1" applyFill="1" applyBorder="1" applyProtection="1"/>
    <xf numFmtId="4" fontId="82" fillId="0" borderId="0" xfId="0" applyNumberFormat="1" applyFont="1" applyFill="1" applyBorder="1" applyAlignment="1" applyProtection="1">
      <alignment horizontal="left"/>
    </xf>
    <xf numFmtId="0" fontId="86" fillId="0" borderId="0" xfId="0" applyFont="1" applyFill="1" applyBorder="1" applyAlignment="1" applyProtection="1">
      <alignment horizontal="left"/>
    </xf>
    <xf numFmtId="167" fontId="82" fillId="0" borderId="0" xfId="0" applyNumberFormat="1" applyFont="1" applyFill="1" applyBorder="1" applyAlignment="1" applyProtection="1">
      <alignment horizontal="left"/>
    </xf>
    <xf numFmtId="0" fontId="84" fillId="0" borderId="0" xfId="0" applyFont="1" applyFill="1" applyAlignment="1" applyProtection="1">
      <alignment horizontal="left"/>
    </xf>
    <xf numFmtId="1" fontId="83" fillId="0" borderId="0" xfId="0" applyNumberFormat="1" applyFont="1" applyFill="1" applyBorder="1" applyAlignment="1" applyProtection="1">
      <alignment horizontal="center"/>
    </xf>
    <xf numFmtId="0" fontId="83" fillId="0" borderId="0" xfId="0" applyFont="1" applyAlignment="1" applyProtection="1">
      <alignment horizontal="left"/>
    </xf>
    <xf numFmtId="1" fontId="82" fillId="0" borderId="0" xfId="0" applyNumberFormat="1" applyFont="1" applyAlignment="1" applyProtection="1">
      <alignment horizontal="center"/>
    </xf>
    <xf numFmtId="0" fontId="82" fillId="0" borderId="0" xfId="0" applyFont="1" applyProtection="1"/>
    <xf numFmtId="167" fontId="82" fillId="0" borderId="0" xfId="0" applyNumberFormat="1" applyFont="1" applyAlignment="1" applyProtection="1">
      <alignment horizontal="right"/>
    </xf>
    <xf numFmtId="167" fontId="82" fillId="0" borderId="0" xfId="0" applyNumberFormat="1" applyFont="1" applyFill="1" applyAlignment="1" applyProtection="1">
      <alignment horizontal="left"/>
    </xf>
    <xf numFmtId="167" fontId="82" fillId="0" borderId="0" xfId="0" applyNumberFormat="1" applyFont="1" applyAlignment="1" applyProtection="1">
      <alignment horizontal="left"/>
    </xf>
    <xf numFmtId="9" fontId="82" fillId="0" borderId="0" xfId="0" applyNumberFormat="1" applyFont="1" applyAlignment="1" applyProtection="1">
      <alignment horizontal="center"/>
    </xf>
    <xf numFmtId="0" fontId="82" fillId="0" borderId="0" xfId="0" applyFont="1" applyFill="1" applyProtection="1"/>
    <xf numFmtId="0" fontId="88" fillId="0" borderId="0" xfId="0" applyFont="1" applyAlignment="1" applyProtection="1">
      <alignment horizontal="left"/>
    </xf>
    <xf numFmtId="0" fontId="82" fillId="0" borderId="0" xfId="0" applyFont="1" applyAlignment="1" applyProtection="1">
      <alignment horizontal="center"/>
    </xf>
    <xf numFmtId="0" fontId="82" fillId="0" borderId="0" xfId="0" applyFont="1" applyFill="1" applyAlignment="1" applyProtection="1">
      <alignment horizontal="right"/>
    </xf>
    <xf numFmtId="0" fontId="87" fillId="0" borderId="0" xfId="0" applyFont="1" applyFill="1" applyBorder="1" applyAlignment="1" applyProtection="1">
      <alignment horizontal="left"/>
    </xf>
    <xf numFmtId="0" fontId="87" fillId="0" borderId="0" xfId="0" applyFont="1" applyFill="1" applyBorder="1" applyAlignment="1" applyProtection="1">
      <alignment horizontal="left" indent="1"/>
    </xf>
    <xf numFmtId="0" fontId="87" fillId="0" borderId="0" xfId="0" applyFont="1" applyFill="1" applyAlignment="1" applyProtection="1">
      <alignment horizontal="left"/>
    </xf>
    <xf numFmtId="174" fontId="82" fillId="0" borderId="0" xfId="0" applyNumberFormat="1" applyFont="1" applyFill="1" applyBorder="1" applyAlignment="1" applyProtection="1">
      <alignment horizontal="left"/>
    </xf>
    <xf numFmtId="49" fontId="82" fillId="0" borderId="0" xfId="0" applyNumberFormat="1" applyFont="1" applyFill="1" applyBorder="1" applyAlignment="1" applyProtection="1">
      <alignment horizontal="left"/>
    </xf>
    <xf numFmtId="0" fontId="89" fillId="0" borderId="0" xfId="0" applyFont="1" applyFill="1" applyBorder="1" applyAlignment="1" applyProtection="1">
      <alignment horizontal="left"/>
    </xf>
    <xf numFmtId="0" fontId="82" fillId="0" borderId="0" xfId="0" applyFont="1" applyFill="1" applyBorder="1" applyAlignment="1" applyProtection="1">
      <alignment horizontal="right"/>
    </xf>
    <xf numFmtId="2" fontId="82" fillId="0" borderId="0" xfId="0" applyNumberFormat="1" applyFont="1" applyFill="1" applyBorder="1" applyAlignment="1" applyProtection="1">
      <alignment horizontal="center" wrapText="1"/>
    </xf>
    <xf numFmtId="2" fontId="82" fillId="0" borderId="0" xfId="0" applyNumberFormat="1" applyFont="1" applyFill="1" applyBorder="1" applyAlignment="1" applyProtection="1">
      <alignment horizontal="left" wrapText="1"/>
    </xf>
    <xf numFmtId="2" fontId="82" fillId="0" borderId="0" xfId="0" applyNumberFormat="1" applyFont="1" applyAlignment="1" applyProtection="1">
      <alignment horizontal="center"/>
    </xf>
    <xf numFmtId="2" fontId="83" fillId="0" borderId="0" xfId="0" applyNumberFormat="1" applyFont="1" applyFill="1" applyBorder="1" applyAlignment="1" applyProtection="1">
      <alignment horizontal="left" wrapText="1"/>
    </xf>
    <xf numFmtId="164" fontId="35" fillId="2" borderId="0" xfId="0" applyNumberFormat="1" applyFont="1" applyFill="1" applyBorder="1" applyAlignment="1" applyProtection="1"/>
    <xf numFmtId="0" fontId="41" fillId="2" borderId="0" xfId="0" applyFont="1" applyFill="1" applyBorder="1" applyAlignment="1" applyProtection="1">
      <alignment horizontal="right"/>
    </xf>
    <xf numFmtId="0" fontId="80" fillId="2" borderId="0" xfId="0" applyFont="1" applyFill="1" applyBorder="1" applyAlignment="1" applyProtection="1">
      <alignment horizontal="center"/>
    </xf>
    <xf numFmtId="0" fontId="6" fillId="0" borderId="0" xfId="0" applyFont="1" applyAlignment="1" applyProtection="1">
      <alignment horizontal="left"/>
    </xf>
    <xf numFmtId="0" fontId="8" fillId="0" borderId="0" xfId="0" applyFont="1" applyFill="1" applyBorder="1" applyAlignment="1" applyProtection="1">
      <alignment horizontal="right"/>
    </xf>
    <xf numFmtId="0" fontId="91" fillId="0" borderId="0" xfId="0" applyFont="1" applyFill="1" applyBorder="1" applyAlignment="1" applyProtection="1">
      <alignment horizontal="left"/>
    </xf>
    <xf numFmtId="0" fontId="6" fillId="6" borderId="0" xfId="0" applyFont="1" applyFill="1" applyBorder="1" applyProtection="1"/>
    <xf numFmtId="0" fontId="12" fillId="6" borderId="0" xfId="0" applyFont="1" applyFill="1" applyBorder="1" applyProtection="1"/>
    <xf numFmtId="0" fontId="12" fillId="6" borderId="0" xfId="0" applyFont="1" applyFill="1" applyBorder="1" applyAlignment="1" applyProtection="1">
      <alignment horizontal="center"/>
    </xf>
    <xf numFmtId="0" fontId="82" fillId="0" borderId="0" xfId="0" applyFont="1" applyBorder="1" applyAlignment="1" applyProtection="1">
      <alignment horizontal="left"/>
    </xf>
    <xf numFmtId="0" fontId="6" fillId="0" borderId="0" xfId="0" applyFont="1" applyFill="1" applyBorder="1" applyProtection="1"/>
    <xf numFmtId="0" fontId="6" fillId="0" borderId="0" xfId="0" applyFont="1" applyBorder="1" applyAlignment="1" applyProtection="1">
      <alignment horizontal="left"/>
    </xf>
    <xf numFmtId="0" fontId="92" fillId="0" borderId="0" xfId="0" applyFont="1" applyFill="1" applyBorder="1" applyAlignment="1" applyProtection="1">
      <alignment horizontal="left"/>
    </xf>
    <xf numFmtId="0" fontId="6" fillId="0" borderId="0" xfId="0" applyFont="1" applyAlignment="1" applyProtection="1">
      <alignment horizontal="center"/>
    </xf>
    <xf numFmtId="44" fontId="82" fillId="0" borderId="0" xfId="0" applyNumberFormat="1" applyFont="1" applyFill="1" applyAlignment="1" applyProtection="1">
      <alignment horizontal="left"/>
    </xf>
    <xf numFmtId="44" fontId="82" fillId="0" borderId="0" xfId="0" applyNumberFormat="1" applyFont="1" applyAlignment="1" applyProtection="1">
      <alignment horizontal="left"/>
    </xf>
    <xf numFmtId="0" fontId="7" fillId="0" borderId="0" xfId="0" applyFont="1" applyFill="1" applyBorder="1" applyAlignment="1" applyProtection="1">
      <alignment horizontal="left"/>
    </xf>
    <xf numFmtId="165" fontId="6" fillId="0" borderId="0" xfId="0" applyNumberFormat="1" applyFont="1" applyFill="1" applyBorder="1" applyAlignment="1" applyProtection="1">
      <alignment horizontal="left"/>
    </xf>
    <xf numFmtId="0" fontId="7" fillId="0" borderId="0" xfId="0" applyFont="1" applyAlignment="1" applyProtection="1">
      <alignment horizontal="left"/>
    </xf>
    <xf numFmtId="0" fontId="94" fillId="0" borderId="0" xfId="0" applyFont="1" applyAlignment="1" applyProtection="1">
      <alignment horizontal="left"/>
    </xf>
    <xf numFmtId="167" fontId="94" fillId="0" borderId="0" xfId="0" applyNumberFormat="1" applyFont="1" applyAlignment="1" applyProtection="1">
      <alignment horizontal="left"/>
    </xf>
    <xf numFmtId="0" fontId="7" fillId="0" borderId="0" xfId="0" applyFont="1" applyFill="1" applyBorder="1" applyProtection="1"/>
    <xf numFmtId="177" fontId="82" fillId="0" borderId="0" xfId="0" applyNumberFormat="1" applyFont="1" applyFill="1" applyBorder="1" applyAlignment="1" applyProtection="1">
      <alignment horizontal="left"/>
    </xf>
    <xf numFmtId="0" fontId="82" fillId="0" borderId="0" xfId="0" applyFont="1" applyFill="1" applyBorder="1" applyAlignment="1" applyProtection="1">
      <alignment horizontal="center"/>
    </xf>
    <xf numFmtId="0" fontId="0" fillId="0" borderId="0" xfId="0" applyProtection="1"/>
    <xf numFmtId="44" fontId="82" fillId="0" borderId="0" xfId="0" applyNumberFormat="1" applyFont="1" applyProtection="1"/>
    <xf numFmtId="167" fontId="82" fillId="0" borderId="0" xfId="0" applyNumberFormat="1" applyFont="1" applyFill="1" applyBorder="1" applyProtection="1"/>
    <xf numFmtId="1" fontId="82" fillId="0" borderId="0" xfId="0" applyNumberFormat="1" applyFont="1" applyFill="1" applyBorder="1" applyAlignment="1" applyProtection="1">
      <alignment horizontal="center"/>
    </xf>
    <xf numFmtId="0" fontId="83" fillId="0" borderId="0" xfId="0" quotePrefix="1" applyFont="1" applyFill="1" applyAlignment="1" applyProtection="1">
      <alignment horizontal="left"/>
    </xf>
    <xf numFmtId="0" fontId="83" fillId="0" borderId="0" xfId="0" applyFont="1" applyFill="1" applyProtection="1"/>
    <xf numFmtId="182" fontId="6" fillId="0" borderId="0" xfId="0" applyNumberFormat="1" applyFont="1" applyFill="1" applyBorder="1" applyAlignment="1" applyProtection="1">
      <alignment horizontal="left"/>
    </xf>
    <xf numFmtId="0" fontId="83" fillId="0" borderId="0" xfId="0" applyFont="1" applyAlignment="1" applyProtection="1">
      <alignment horizontal="center"/>
    </xf>
    <xf numFmtId="167" fontId="82" fillId="0" borderId="0" xfId="0" applyNumberFormat="1" applyFont="1" applyProtection="1"/>
    <xf numFmtId="0" fontId="82" fillId="0" borderId="0" xfId="0" quotePrefix="1" applyFont="1" applyAlignment="1" applyProtection="1">
      <alignment horizontal="left"/>
    </xf>
    <xf numFmtId="0" fontId="82" fillId="0" borderId="0" xfId="0" applyFont="1" applyAlignment="1" applyProtection="1">
      <alignment horizontal="right"/>
    </xf>
    <xf numFmtId="0" fontId="0" fillId="3" borderId="0" xfId="0" applyFill="1" applyProtection="1"/>
    <xf numFmtId="0" fontId="90" fillId="0" borderId="17" xfId="0" applyFont="1" applyBorder="1" applyProtection="1"/>
    <xf numFmtId="0" fontId="6" fillId="7" borderId="1" xfId="0" applyFont="1" applyFill="1" applyBorder="1" applyAlignment="1" applyProtection="1">
      <alignment horizontal="left"/>
    </xf>
    <xf numFmtId="0" fontId="6" fillId="7" borderId="1" xfId="0" applyFont="1" applyFill="1" applyBorder="1" applyAlignment="1" applyProtection="1">
      <alignment horizontal="center"/>
    </xf>
    <xf numFmtId="0" fontId="6" fillId="2" borderId="1" xfId="0" applyFont="1" applyFill="1" applyBorder="1" applyAlignment="1" applyProtection="1"/>
    <xf numFmtId="0" fontId="6" fillId="0" borderId="0" xfId="0" applyFont="1" applyFill="1" applyProtection="1"/>
    <xf numFmtId="0" fontId="12" fillId="6" borderId="0" xfId="0" applyFont="1" applyFill="1" applyProtection="1"/>
    <xf numFmtId="0" fontId="39" fillId="2" borderId="0" xfId="0" applyFont="1" applyFill="1" applyBorder="1" applyProtection="1"/>
    <xf numFmtId="0" fontId="6" fillId="0" borderId="0" xfId="0" applyFont="1" applyFill="1" applyBorder="1" applyAlignment="1" applyProtection="1">
      <alignment horizontal="left"/>
    </xf>
    <xf numFmtId="0" fontId="12" fillId="0" borderId="18" xfId="0" applyFont="1" applyFill="1" applyBorder="1" applyProtection="1"/>
    <xf numFmtId="0" fontId="7" fillId="0" borderId="0" xfId="0" applyFont="1" applyProtection="1"/>
    <xf numFmtId="0" fontId="6" fillId="0" borderId="0" xfId="0" applyFont="1" applyProtection="1"/>
    <xf numFmtId="169" fontId="6" fillId="0" borderId="0" xfId="0" applyNumberFormat="1" applyFont="1" applyAlignment="1" applyProtection="1">
      <alignment horizontal="right"/>
    </xf>
    <xf numFmtId="169" fontId="6" fillId="0" borderId="0" xfId="0" applyNumberFormat="1" applyFont="1" applyFill="1" applyBorder="1" applyAlignment="1" applyProtection="1">
      <alignment horizontal="right"/>
    </xf>
    <xf numFmtId="44" fontId="84" fillId="0" borderId="0" xfId="0" applyNumberFormat="1" applyFont="1" applyAlignment="1" applyProtection="1">
      <alignment horizontal="left"/>
    </xf>
    <xf numFmtId="0" fontId="98" fillId="2" borderId="7" xfId="1" applyFont="1" applyFill="1" applyBorder="1" applyAlignment="1" applyProtection="1">
      <alignment horizontal="right"/>
    </xf>
    <xf numFmtId="0" fontId="12" fillId="2" borderId="19" xfId="0" applyFont="1" applyFill="1" applyBorder="1" applyAlignment="1" applyProtection="1">
      <alignment horizontal="center"/>
    </xf>
    <xf numFmtId="0" fontId="12" fillId="2" borderId="19" xfId="0" applyFont="1" applyFill="1" applyBorder="1" applyProtection="1"/>
    <xf numFmtId="44" fontId="101" fillId="0" borderId="0" xfId="0" applyNumberFormat="1" applyFont="1" applyAlignment="1" applyProtection="1">
      <alignment horizontal="left"/>
    </xf>
    <xf numFmtId="0" fontId="7" fillId="0" borderId="0" xfId="0" quotePrefix="1" applyFont="1" applyFill="1" applyAlignment="1" applyProtection="1">
      <alignment horizontal="left"/>
    </xf>
    <xf numFmtId="167" fontId="101" fillId="0" borderId="0" xfId="0" applyNumberFormat="1" applyFont="1" applyAlignment="1" applyProtection="1">
      <alignment horizontal="left"/>
    </xf>
    <xf numFmtId="49" fontId="6" fillId="0" borderId="0" xfId="0" applyNumberFormat="1" applyFont="1" applyFill="1" applyBorder="1" applyAlignment="1" applyProtection="1">
      <alignment horizontal="left"/>
    </xf>
    <xf numFmtId="185" fontId="82" fillId="0" borderId="0" xfId="0" applyNumberFormat="1" applyFont="1" applyFill="1" applyBorder="1" applyAlignment="1" applyProtection="1">
      <alignment horizontal="right"/>
    </xf>
    <xf numFmtId="0" fontId="6" fillId="6" borderId="0" xfId="0" applyFont="1" applyFill="1" applyProtection="1"/>
    <xf numFmtId="0" fontId="6" fillId="0" borderId="0" xfId="0" applyFont="1" applyAlignment="1" applyProtection="1">
      <alignment horizontal="right"/>
    </xf>
    <xf numFmtId="3" fontId="82" fillId="0" borderId="0" xfId="0" applyNumberFormat="1" applyFont="1" applyFill="1" applyBorder="1" applyAlignment="1" applyProtection="1">
      <alignment horizontal="center"/>
    </xf>
    <xf numFmtId="0" fontId="93" fillId="0" borderId="0" xfId="0" applyFont="1" applyFill="1" applyAlignment="1" applyProtection="1">
      <alignment horizontal="center"/>
    </xf>
    <xf numFmtId="167" fontId="104" fillId="0" borderId="0" xfId="0" applyNumberFormat="1" applyFont="1" applyAlignment="1" applyProtection="1">
      <alignment horizontal="left"/>
    </xf>
    <xf numFmtId="167" fontId="105" fillId="0" borderId="0" xfId="0" applyNumberFormat="1" applyFont="1" applyAlignment="1" applyProtection="1">
      <alignment horizontal="left"/>
    </xf>
    <xf numFmtId="44" fontId="105" fillId="0" borderId="0" xfId="0" applyNumberFormat="1" applyFont="1" applyAlignment="1" applyProtection="1">
      <alignment horizontal="left"/>
    </xf>
    <xf numFmtId="0" fontId="104" fillId="0" borderId="0" xfId="0" applyFont="1" applyAlignment="1" applyProtection="1">
      <alignment horizontal="left"/>
    </xf>
    <xf numFmtId="0" fontId="106" fillId="0" borderId="0" xfId="0" applyFont="1"/>
    <xf numFmtId="0" fontId="12" fillId="0" borderId="22" xfId="0" applyFont="1" applyFill="1" applyBorder="1" applyAlignment="1" applyProtection="1">
      <alignment horizontal="center"/>
    </xf>
    <xf numFmtId="0" fontId="6" fillId="0" borderId="22" xfId="0" applyFont="1" applyFill="1" applyBorder="1" applyAlignment="1" applyProtection="1">
      <alignment horizontal="center"/>
    </xf>
    <xf numFmtId="0" fontId="6" fillId="0" borderId="23" xfId="0" applyFont="1" applyFill="1" applyBorder="1" applyProtection="1"/>
    <xf numFmtId="0" fontId="6" fillId="0" borderId="22" xfId="0" applyFont="1" applyFill="1" applyBorder="1" applyProtection="1"/>
    <xf numFmtId="0" fontId="12" fillId="0" borderId="22" xfId="0" applyFont="1" applyFill="1" applyBorder="1" applyAlignment="1" applyProtection="1"/>
    <xf numFmtId="0" fontId="12" fillId="2" borderId="22" xfId="0" applyFont="1" applyFill="1" applyBorder="1" applyAlignment="1" applyProtection="1"/>
    <xf numFmtId="0" fontId="12" fillId="2" borderId="22" xfId="0" applyFont="1" applyFill="1" applyBorder="1" applyProtection="1"/>
    <xf numFmtId="0" fontId="12" fillId="2" borderId="23" xfId="0" applyFont="1" applyFill="1" applyBorder="1" applyAlignment="1" applyProtection="1"/>
    <xf numFmtId="0" fontId="6" fillId="6" borderId="0" xfId="0" applyFont="1" applyFill="1" applyBorder="1" applyAlignment="1" applyProtection="1"/>
    <xf numFmtId="186" fontId="6" fillId="6" borderId="0" xfId="0" applyNumberFormat="1" applyFont="1" applyFill="1" applyBorder="1" applyAlignment="1" applyProtection="1">
      <alignment horizontal="center"/>
    </xf>
    <xf numFmtId="186" fontId="6" fillId="6" borderId="0" xfId="0" applyNumberFormat="1" applyFont="1" applyFill="1" applyBorder="1" applyProtection="1"/>
    <xf numFmtId="0" fontId="6" fillId="8" borderId="24" xfId="0" applyFont="1" applyFill="1" applyBorder="1" applyProtection="1"/>
    <xf numFmtId="0" fontId="6" fillId="8" borderId="22" xfId="0" applyFont="1" applyFill="1" applyBorder="1" applyProtection="1"/>
    <xf numFmtId="0" fontId="6" fillId="8" borderId="22" xfId="0" applyFont="1" applyFill="1" applyBorder="1" applyAlignment="1" applyProtection="1"/>
    <xf numFmtId="186" fontId="6" fillId="8" borderId="22" xfId="0" applyNumberFormat="1" applyFont="1" applyFill="1" applyBorder="1" applyAlignment="1" applyProtection="1">
      <alignment horizontal="center"/>
    </xf>
    <xf numFmtId="186" fontId="6" fillId="8" borderId="22" xfId="0" applyNumberFormat="1" applyFont="1" applyFill="1" applyBorder="1" applyProtection="1"/>
    <xf numFmtId="0" fontId="6" fillId="8" borderId="23" xfId="0" applyFont="1" applyFill="1" applyBorder="1" applyProtection="1"/>
    <xf numFmtId="0" fontId="6" fillId="10" borderId="0" xfId="0" applyFont="1" applyFill="1" applyBorder="1" applyProtection="1"/>
    <xf numFmtId="0" fontId="6" fillId="8" borderId="5" xfId="0" applyFont="1" applyFill="1" applyBorder="1" applyProtection="1"/>
    <xf numFmtId="0" fontId="6" fillId="8" borderId="0" xfId="0" applyFont="1" applyFill="1" applyBorder="1" applyProtection="1"/>
    <xf numFmtId="0" fontId="6" fillId="8" borderId="0" xfId="0" applyFont="1" applyFill="1" applyBorder="1" applyAlignment="1" applyProtection="1"/>
    <xf numFmtId="186" fontId="6" fillId="8" borderId="0" xfId="0" applyNumberFormat="1" applyFont="1" applyFill="1" applyBorder="1" applyAlignment="1" applyProtection="1">
      <alignment horizontal="center"/>
    </xf>
    <xf numFmtId="186" fontId="6" fillId="8" borderId="0" xfId="0" applyNumberFormat="1" applyFont="1" applyFill="1" applyBorder="1" applyProtection="1"/>
    <xf numFmtId="0" fontId="6" fillId="8" borderId="25" xfId="0" applyFont="1" applyFill="1" applyBorder="1" applyProtection="1"/>
    <xf numFmtId="0" fontId="24" fillId="8" borderId="5" xfId="0" applyFont="1" applyFill="1" applyBorder="1" applyProtection="1"/>
    <xf numFmtId="186" fontId="17" fillId="8" borderId="0" xfId="0" applyNumberFormat="1" applyFont="1" applyFill="1" applyBorder="1" applyProtection="1"/>
    <xf numFmtId="0" fontId="27" fillId="8" borderId="25" xfId="0" applyFont="1" applyFill="1" applyBorder="1" applyProtection="1"/>
    <xf numFmtId="0" fontId="27" fillId="10" borderId="0" xfId="0" applyFont="1" applyFill="1" applyBorder="1" applyProtection="1"/>
    <xf numFmtId="0" fontId="17" fillId="8" borderId="0" xfId="0" applyFont="1" applyFill="1" applyBorder="1" applyProtection="1"/>
    <xf numFmtId="0" fontId="14" fillId="8" borderId="0" xfId="0" applyFont="1" applyFill="1" applyBorder="1" applyAlignment="1" applyProtection="1">
      <alignment horizontal="center"/>
    </xf>
    <xf numFmtId="0" fontId="14" fillId="8" borderId="5" xfId="0" applyFont="1" applyFill="1" applyBorder="1" applyProtection="1"/>
    <xf numFmtId="186" fontId="6" fillId="10" borderId="0" xfId="0" applyNumberFormat="1" applyFont="1" applyFill="1" applyBorder="1" applyProtection="1"/>
    <xf numFmtId="186" fontId="6" fillId="8" borderId="5" xfId="0" applyNumberFormat="1" applyFont="1" applyFill="1" applyBorder="1" applyProtection="1"/>
    <xf numFmtId="186" fontId="6" fillId="8" borderId="25" xfId="0" applyNumberFormat="1" applyFont="1" applyFill="1" applyBorder="1" applyProtection="1"/>
    <xf numFmtId="0" fontId="6" fillId="8" borderId="0" xfId="0" applyNumberFormat="1" applyFont="1" applyFill="1" applyBorder="1" applyAlignment="1" applyProtection="1">
      <alignment horizontal="center"/>
    </xf>
    <xf numFmtId="0" fontId="6" fillId="8" borderId="17" xfId="0" applyFont="1" applyFill="1" applyBorder="1" applyProtection="1"/>
    <xf numFmtId="0" fontId="6" fillId="8" borderId="7" xfId="0" applyFont="1" applyFill="1" applyBorder="1" applyProtection="1"/>
    <xf numFmtId="0" fontId="6" fillId="8" borderId="16" xfId="0" applyFont="1" applyFill="1" applyBorder="1" applyProtection="1"/>
    <xf numFmtId="0" fontId="6" fillId="10" borderId="0" xfId="0" applyFont="1" applyFill="1" applyBorder="1" applyAlignment="1" applyProtection="1"/>
    <xf numFmtId="186" fontId="6" fillId="10" borderId="0" xfId="0" applyNumberFormat="1" applyFont="1" applyFill="1" applyBorder="1" applyAlignment="1" applyProtection="1">
      <alignment horizontal="center"/>
    </xf>
    <xf numFmtId="0" fontId="6" fillId="10" borderId="0" xfId="0" applyFont="1" applyFill="1" applyBorder="1"/>
    <xf numFmtId="0" fontId="6" fillId="8" borderId="24" xfId="0" applyFont="1" applyFill="1" applyBorder="1"/>
    <xf numFmtId="0" fontId="6" fillId="8" borderId="22" xfId="0" applyFont="1" applyFill="1" applyBorder="1"/>
    <xf numFmtId="0" fontId="6" fillId="8" borderId="23" xfId="0" applyFont="1" applyFill="1" applyBorder="1"/>
    <xf numFmtId="0" fontId="6" fillId="8" borderId="5" xfId="0" applyFont="1" applyFill="1" applyBorder="1"/>
    <xf numFmtId="0" fontId="6" fillId="8" borderId="0" xfId="0" applyFont="1" applyFill="1" applyBorder="1"/>
    <xf numFmtId="0" fontId="6" fillId="8" borderId="25" xfId="0" applyFont="1" applyFill="1" applyBorder="1"/>
    <xf numFmtId="0" fontId="24" fillId="8" borderId="5" xfId="0" applyFont="1" applyFill="1" applyBorder="1"/>
    <xf numFmtId="0" fontId="26" fillId="8" borderId="0" xfId="0" applyFont="1" applyFill="1" applyBorder="1"/>
    <xf numFmtId="0" fontId="26" fillId="8" borderId="25" xfId="0" applyFont="1" applyFill="1" applyBorder="1"/>
    <xf numFmtId="0" fontId="26" fillId="10" borderId="0" xfId="0" applyFont="1" applyFill="1" applyBorder="1"/>
    <xf numFmtId="0" fontId="17" fillId="8" borderId="0" xfId="0" applyFont="1" applyFill="1" applyBorder="1"/>
    <xf numFmtId="0" fontId="6" fillId="8" borderId="17" xfId="0" applyFont="1" applyFill="1" applyBorder="1"/>
    <xf numFmtId="0" fontId="6" fillId="8" borderId="7" xfId="0" applyFont="1" applyFill="1" applyBorder="1"/>
    <xf numFmtId="0" fontId="98" fillId="8" borderId="7" xfId="1" applyFont="1" applyFill="1" applyBorder="1" applyAlignment="1" applyProtection="1">
      <alignment horizontal="right"/>
    </xf>
    <xf numFmtId="0" fontId="6" fillId="8" borderId="16" xfId="0" applyFont="1" applyFill="1" applyBorder="1"/>
    <xf numFmtId="0" fontId="33" fillId="10" borderId="0" xfId="0" applyFont="1" applyFill="1" applyBorder="1"/>
    <xf numFmtId="0" fontId="6" fillId="0" borderId="0" xfId="0" applyFont="1" applyAlignment="1"/>
    <xf numFmtId="0" fontId="6" fillId="2" borderId="25" xfId="0" applyFont="1" applyFill="1" applyBorder="1" applyProtection="1"/>
    <xf numFmtId="0" fontId="69" fillId="2" borderId="25" xfId="0" applyFont="1" applyFill="1" applyBorder="1" applyProtection="1"/>
    <xf numFmtId="9" fontId="6" fillId="10" borderId="26" xfId="0" applyNumberFormat="1" applyFont="1" applyFill="1" applyBorder="1" applyAlignment="1" applyProtection="1">
      <alignment horizontal="left"/>
    </xf>
    <xf numFmtId="9" fontId="6" fillId="10" borderId="0" xfId="0" applyNumberFormat="1" applyFont="1" applyFill="1" applyBorder="1" applyAlignment="1" applyProtection="1">
      <alignment horizontal="left"/>
    </xf>
    <xf numFmtId="0" fontId="108" fillId="10" borderId="26" xfId="0" applyFont="1" applyFill="1" applyBorder="1" applyAlignment="1" applyProtection="1">
      <alignment horizontal="left"/>
    </xf>
    <xf numFmtId="0" fontId="107" fillId="10" borderId="0" xfId="0" applyFont="1" applyFill="1" applyBorder="1" applyProtection="1"/>
    <xf numFmtId="0" fontId="12" fillId="10" borderId="0" xfId="0" applyFont="1" applyFill="1" applyProtection="1"/>
    <xf numFmtId="0" fontId="12" fillId="10" borderId="0" xfId="0" applyFont="1" applyFill="1" applyAlignment="1" applyProtection="1">
      <alignment horizontal="center"/>
    </xf>
    <xf numFmtId="0" fontId="13" fillId="10" borderId="0" xfId="0" applyFont="1" applyFill="1" applyProtection="1"/>
    <xf numFmtId="0" fontId="12" fillId="10" borderId="0" xfId="0" applyFont="1" applyFill="1" applyBorder="1" applyProtection="1"/>
    <xf numFmtId="0" fontId="12" fillId="10" borderId="0" xfId="0" applyFont="1" applyFill="1" applyBorder="1" applyAlignment="1" applyProtection="1">
      <alignment horizontal="center"/>
    </xf>
    <xf numFmtId="0" fontId="12" fillId="8" borderId="5" xfId="0" applyFont="1" applyFill="1" applyBorder="1" applyProtection="1"/>
    <xf numFmtId="0" fontId="13" fillId="8" borderId="5" xfId="0" applyFont="1" applyFill="1" applyBorder="1" applyProtection="1"/>
    <xf numFmtId="0" fontId="12" fillId="8" borderId="25" xfId="0" applyFont="1" applyFill="1" applyBorder="1" applyProtection="1"/>
    <xf numFmtId="0" fontId="13" fillId="8" borderId="25" xfId="0" applyFont="1" applyFill="1" applyBorder="1" applyProtection="1"/>
    <xf numFmtId="0" fontId="7" fillId="10" borderId="0" xfId="0" applyFont="1" applyFill="1" applyProtection="1"/>
    <xf numFmtId="42" fontId="93" fillId="11" borderId="27" xfId="0" applyNumberFormat="1" applyFont="1" applyFill="1" applyBorder="1" applyAlignment="1" applyProtection="1">
      <alignment horizontal="center"/>
      <protection locked="0"/>
    </xf>
    <xf numFmtId="42" fontId="110" fillId="9" borderId="0" xfId="0" applyNumberFormat="1" applyFont="1" applyFill="1" applyProtection="1"/>
    <xf numFmtId="0" fontId="111" fillId="0" borderId="0" xfId="0" applyFont="1" applyAlignment="1" applyProtection="1">
      <alignment horizontal="left"/>
    </xf>
    <xf numFmtId="44" fontId="111" fillId="0" borderId="0" xfId="0" applyNumberFormat="1" applyFont="1" applyAlignment="1" applyProtection="1">
      <alignment horizontal="left"/>
    </xf>
    <xf numFmtId="44" fontId="112" fillId="0" borderId="0" xfId="0" applyNumberFormat="1" applyFont="1" applyFill="1" applyBorder="1" applyAlignment="1" applyProtection="1">
      <alignment horizontal="center"/>
    </xf>
    <xf numFmtId="0" fontId="111" fillId="0" borderId="0" xfId="0" applyFont="1" applyFill="1" applyBorder="1" applyProtection="1"/>
    <xf numFmtId="0" fontId="12" fillId="2" borderId="25" xfId="0" applyFont="1" applyFill="1" applyBorder="1" applyProtection="1"/>
    <xf numFmtId="0" fontId="7" fillId="10" borderId="0" xfId="0" applyFont="1" applyFill="1" applyBorder="1" applyProtection="1"/>
    <xf numFmtId="0" fontId="4" fillId="2" borderId="0" xfId="1" applyFill="1" applyBorder="1" applyAlignment="1" applyProtection="1">
      <alignment horizontal="center"/>
    </xf>
    <xf numFmtId="0" fontId="113" fillId="2" borderId="0" xfId="0" applyFont="1" applyFill="1" applyBorder="1" applyProtection="1"/>
    <xf numFmtId="42" fontId="7" fillId="11" borderId="0" xfId="0" applyNumberFormat="1" applyFont="1" applyFill="1" applyBorder="1" applyProtection="1"/>
    <xf numFmtId="42" fontId="92" fillId="9" borderId="0" xfId="0" applyNumberFormat="1" applyFont="1" applyFill="1" applyBorder="1" applyProtection="1"/>
    <xf numFmtId="0" fontId="12" fillId="10" borderId="7" xfId="0" applyFont="1" applyFill="1" applyBorder="1" applyProtection="1"/>
    <xf numFmtId="0" fontId="12" fillId="10" borderId="7" xfId="0" applyFont="1" applyFill="1" applyBorder="1" applyAlignment="1" applyProtection="1">
      <alignment horizontal="center"/>
    </xf>
    <xf numFmtId="0" fontId="12" fillId="8" borderId="17" xfId="0" applyFont="1" applyFill="1" applyBorder="1" applyProtection="1"/>
    <xf numFmtId="0" fontId="12" fillId="8" borderId="16" xfId="0" applyFont="1" applyFill="1" applyBorder="1" applyProtection="1"/>
    <xf numFmtId="0" fontId="13" fillId="6" borderId="0" xfId="0" applyFont="1" applyFill="1" applyBorder="1" applyProtection="1"/>
    <xf numFmtId="0" fontId="13" fillId="6" borderId="0" xfId="0" applyFont="1" applyFill="1" applyProtection="1"/>
    <xf numFmtId="0" fontId="12" fillId="6" borderId="19" xfId="0" applyFont="1" applyFill="1" applyBorder="1" applyProtection="1"/>
    <xf numFmtId="0" fontId="114" fillId="6" borderId="19" xfId="0" applyFont="1" applyFill="1" applyBorder="1" applyProtection="1"/>
    <xf numFmtId="0" fontId="109" fillId="6" borderId="19" xfId="0" applyFont="1" applyFill="1" applyBorder="1" applyProtection="1"/>
    <xf numFmtId="0" fontId="109" fillId="6" borderId="19" xfId="0" applyFont="1" applyFill="1" applyBorder="1" applyAlignment="1" applyProtection="1">
      <alignment horizontal="center"/>
    </xf>
    <xf numFmtId="0" fontId="109" fillId="6" borderId="0" xfId="0" applyFont="1" applyFill="1" applyBorder="1" applyProtection="1"/>
    <xf numFmtId="42" fontId="115" fillId="6" borderId="0" xfId="0" applyNumberFormat="1" applyFont="1" applyFill="1" applyBorder="1" applyAlignment="1" applyProtection="1">
      <alignment horizontal="center"/>
      <protection locked="0"/>
    </xf>
    <xf numFmtId="0" fontId="114" fillId="6" borderId="0" xfId="0" applyFont="1" applyFill="1" applyBorder="1" applyProtection="1"/>
    <xf numFmtId="42" fontId="116" fillId="6" borderId="0" xfId="0" applyNumberFormat="1" applyFont="1" applyFill="1" applyBorder="1" applyProtection="1"/>
    <xf numFmtId="0" fontId="109" fillId="6" borderId="0" xfId="0" applyFont="1" applyFill="1" applyBorder="1" applyAlignment="1" applyProtection="1">
      <alignment horizontal="center"/>
    </xf>
    <xf numFmtId="9" fontId="109" fillId="6" borderId="0" xfId="0" applyNumberFormat="1" applyFont="1" applyFill="1" applyBorder="1" applyAlignment="1" applyProtection="1">
      <alignment horizontal="left"/>
    </xf>
    <xf numFmtId="0" fontId="12" fillId="2" borderId="28" xfId="0" applyFont="1" applyFill="1" applyBorder="1" applyProtection="1"/>
    <xf numFmtId="0" fontId="12" fillId="10" borderId="29" xfId="0" applyFont="1" applyFill="1" applyBorder="1" applyProtection="1"/>
    <xf numFmtId="0" fontId="107" fillId="10" borderId="29" xfId="0" applyFont="1" applyFill="1" applyBorder="1" applyProtection="1"/>
    <xf numFmtId="0" fontId="12" fillId="10" borderId="29" xfId="0" applyFont="1" applyFill="1" applyBorder="1" applyAlignment="1" applyProtection="1">
      <alignment horizontal="center"/>
    </xf>
    <xf numFmtId="0" fontId="12" fillId="2" borderId="30" xfId="0" applyFont="1" applyFill="1" applyBorder="1" applyProtection="1"/>
    <xf numFmtId="0" fontId="12" fillId="2" borderId="31" xfId="0" applyFont="1" applyFill="1" applyBorder="1" applyProtection="1"/>
    <xf numFmtId="0" fontId="12" fillId="10" borderId="32" xfId="0" applyFont="1" applyFill="1" applyBorder="1" applyProtection="1"/>
    <xf numFmtId="0" fontId="107" fillId="10" borderId="32" xfId="0" applyFont="1" applyFill="1" applyBorder="1" applyProtection="1"/>
    <xf numFmtId="0" fontId="12" fillId="10" borderId="32" xfId="0" applyFont="1" applyFill="1" applyBorder="1" applyAlignment="1" applyProtection="1">
      <alignment horizontal="center"/>
    </xf>
    <xf numFmtId="0" fontId="12" fillId="2" borderId="33" xfId="0" applyFont="1" applyFill="1" applyBorder="1" applyProtection="1"/>
    <xf numFmtId="49" fontId="96" fillId="0" borderId="34" xfId="0" applyNumberFormat="1" applyFont="1" applyBorder="1" applyAlignment="1">
      <alignment horizontal="center"/>
    </xf>
    <xf numFmtId="49" fontId="96" fillId="0" borderId="35" xfId="0" applyNumberFormat="1" applyFont="1" applyBorder="1" applyAlignment="1">
      <alignment horizontal="center"/>
    </xf>
    <xf numFmtId="49" fontId="96" fillId="0" borderId="36" xfId="0" applyNumberFormat="1" applyFont="1" applyBorder="1" applyAlignment="1">
      <alignment horizontal="center"/>
    </xf>
    <xf numFmtId="0" fontId="109" fillId="0" borderId="0" xfId="0" applyFont="1" applyAlignment="1" applyProtection="1">
      <alignment horizontal="left"/>
    </xf>
    <xf numFmtId="0" fontId="109" fillId="0" borderId="0" xfId="0" applyFont="1" applyFill="1" applyBorder="1" applyAlignment="1" applyProtection="1">
      <alignment horizontal="left"/>
    </xf>
    <xf numFmtId="44" fontId="109" fillId="0" borderId="0" xfId="0" applyNumberFormat="1" applyFont="1" applyAlignment="1" applyProtection="1">
      <alignment horizontal="left"/>
    </xf>
    <xf numFmtId="189" fontId="109" fillId="0" borderId="0" xfId="0" applyNumberFormat="1" applyFont="1" applyAlignment="1" applyProtection="1">
      <alignment horizontal="left"/>
    </xf>
    <xf numFmtId="189" fontId="6" fillId="0" borderId="0" xfId="0" applyNumberFormat="1" applyFont="1" applyAlignment="1" applyProtection="1">
      <alignment horizontal="right"/>
    </xf>
    <xf numFmtId="0" fontId="118" fillId="8" borderId="0" xfId="0" applyFont="1" applyFill="1" applyBorder="1" applyProtection="1"/>
    <xf numFmtId="0" fontId="119" fillId="8" borderId="0" xfId="0" applyFont="1" applyFill="1" applyBorder="1" applyProtection="1"/>
    <xf numFmtId="164" fontId="120" fillId="8" borderId="0" xfId="0" applyNumberFormat="1" applyFont="1" applyFill="1" applyBorder="1" applyAlignment="1" applyProtection="1"/>
    <xf numFmtId="176" fontId="82" fillId="0" borderId="0" xfId="0" applyNumberFormat="1" applyFont="1" applyFill="1" applyBorder="1" applyAlignment="1" applyProtection="1">
      <alignment horizontal="left"/>
    </xf>
    <xf numFmtId="9" fontId="82" fillId="0" borderId="0" xfId="0" applyNumberFormat="1" applyFont="1" applyFill="1" applyAlignment="1" applyProtection="1">
      <alignment horizontal="center"/>
    </xf>
    <xf numFmtId="0" fontId="121" fillId="3" borderId="0" xfId="0" applyFont="1" applyFill="1" applyProtection="1"/>
    <xf numFmtId="0" fontId="121" fillId="2" borderId="5" xfId="0" applyFont="1" applyFill="1" applyBorder="1" applyProtection="1"/>
    <xf numFmtId="0" fontId="121" fillId="10" borderId="0" xfId="0" applyFont="1" applyFill="1" applyBorder="1" applyProtection="1"/>
    <xf numFmtId="0" fontId="122" fillId="10" borderId="0" xfId="0" applyFont="1" applyFill="1" applyBorder="1" applyProtection="1"/>
    <xf numFmtId="42" fontId="123" fillId="11" borderId="0" xfId="0" applyNumberFormat="1" applyFont="1" applyFill="1" applyBorder="1" applyProtection="1"/>
    <xf numFmtId="0" fontId="121" fillId="2" borderId="25" xfId="0" applyFont="1" applyFill="1" applyBorder="1" applyProtection="1"/>
    <xf numFmtId="42" fontId="124" fillId="11" borderId="0" xfId="0" applyNumberFormat="1" applyFont="1" applyFill="1" applyBorder="1" applyAlignment="1" applyProtection="1">
      <alignment horizontal="center"/>
      <protection locked="0"/>
    </xf>
    <xf numFmtId="0" fontId="121" fillId="8" borderId="5" xfId="0" applyFont="1" applyFill="1" applyBorder="1" applyProtection="1"/>
    <xf numFmtId="0" fontId="121" fillId="10" borderId="0" xfId="0" applyFont="1" applyFill="1" applyProtection="1"/>
    <xf numFmtId="0" fontId="121" fillId="8" borderId="25" xfId="0" applyFont="1" applyFill="1" applyBorder="1" applyProtection="1"/>
    <xf numFmtId="0" fontId="121" fillId="6" borderId="0" xfId="0" applyFont="1" applyFill="1" applyBorder="1" applyProtection="1"/>
    <xf numFmtId="42" fontId="125" fillId="6" borderId="0" xfId="0" applyNumberFormat="1" applyFont="1" applyFill="1" applyBorder="1" applyAlignment="1" applyProtection="1">
      <alignment horizontal="center"/>
      <protection locked="0"/>
    </xf>
    <xf numFmtId="9" fontId="6" fillId="0" borderId="0" xfId="0" applyNumberFormat="1" applyFont="1" applyFill="1" applyAlignment="1" applyProtection="1">
      <alignment horizontal="center"/>
    </xf>
    <xf numFmtId="0" fontId="7" fillId="0" borderId="0" xfId="0" quotePrefix="1" applyFont="1" applyFill="1" applyBorder="1" applyAlignment="1" applyProtection="1">
      <alignment horizontal="left"/>
    </xf>
    <xf numFmtId="0" fontId="102" fillId="0" borderId="0" xfId="0" applyFont="1"/>
    <xf numFmtId="0" fontId="6" fillId="2" borderId="22" xfId="0" applyFont="1" applyFill="1" applyBorder="1" applyProtection="1"/>
    <xf numFmtId="0" fontId="6" fillId="2" borderId="22" xfId="0" applyFont="1" applyFill="1" applyBorder="1" applyAlignment="1" applyProtection="1">
      <alignment horizontal="center"/>
    </xf>
    <xf numFmtId="0" fontId="6" fillId="10" borderId="0" xfId="0" applyFont="1" applyFill="1" applyProtection="1"/>
    <xf numFmtId="0" fontId="6" fillId="2" borderId="22" xfId="0" applyFont="1" applyFill="1" applyBorder="1" applyAlignment="1" applyProtection="1"/>
    <xf numFmtId="0" fontId="6" fillId="2" borderId="18" xfId="0" applyFont="1" applyFill="1" applyBorder="1" applyProtection="1"/>
    <xf numFmtId="0" fontId="0" fillId="10" borderId="0" xfId="0" applyFill="1"/>
    <xf numFmtId="0" fontId="6" fillId="8" borderId="0" xfId="0" applyFont="1" applyFill="1" applyBorder="1" applyAlignment="1" applyProtection="1">
      <alignment horizontal="left"/>
    </xf>
    <xf numFmtId="0" fontId="6" fillId="8" borderId="0" xfId="0" applyFont="1" applyFill="1" applyBorder="1" applyAlignment="1" applyProtection="1">
      <alignment horizontal="center"/>
    </xf>
    <xf numFmtId="0" fontId="26" fillId="10" borderId="0" xfId="0" applyFont="1" applyFill="1" applyProtection="1"/>
    <xf numFmtId="0" fontId="7" fillId="8" borderId="0" xfId="0" applyFont="1" applyFill="1" applyBorder="1" applyProtection="1"/>
    <xf numFmtId="0" fontId="107" fillId="10" borderId="0" xfId="0" applyFont="1" applyFill="1" applyProtection="1"/>
    <xf numFmtId="0" fontId="16" fillId="10" borderId="0" xfId="0" applyFont="1" applyFill="1" applyProtection="1"/>
    <xf numFmtId="0" fontId="0" fillId="8" borderId="7" xfId="0" applyFill="1" applyBorder="1"/>
    <xf numFmtId="0" fontId="0" fillId="8" borderId="16" xfId="0" applyFill="1" applyBorder="1"/>
    <xf numFmtId="0" fontId="6" fillId="10" borderId="0" xfId="0" applyFont="1" applyFill="1" applyAlignment="1" applyProtection="1">
      <alignment horizontal="left"/>
    </xf>
    <xf numFmtId="0" fontId="6" fillId="10" borderId="0" xfId="0" applyFont="1" applyFill="1" applyBorder="1" applyAlignment="1" applyProtection="1">
      <alignment horizontal="center"/>
    </xf>
    <xf numFmtId="0" fontId="8" fillId="10" borderId="0" xfId="0" applyFont="1" applyFill="1" applyProtection="1"/>
    <xf numFmtId="0" fontId="6" fillId="8" borderId="7" xfId="0" applyFont="1" applyFill="1" applyBorder="1" applyAlignment="1" applyProtection="1">
      <alignment horizontal="center"/>
    </xf>
    <xf numFmtId="44" fontId="97" fillId="0" borderId="0" xfId="0" applyNumberFormat="1" applyFont="1" applyAlignment="1" applyProtection="1">
      <alignment horizontal="left"/>
    </xf>
    <xf numFmtId="167" fontId="97" fillId="0" borderId="0" xfId="0" applyNumberFormat="1" applyFont="1" applyFill="1" applyAlignment="1" applyProtection="1">
      <alignment horizontal="left"/>
    </xf>
    <xf numFmtId="175" fontId="6" fillId="8" borderId="0" xfId="0" applyNumberFormat="1" applyFont="1" applyFill="1" applyBorder="1" applyAlignment="1" applyProtection="1">
      <alignment horizontal="center"/>
    </xf>
    <xf numFmtId="175" fontId="6" fillId="8" borderId="7" xfId="0" applyNumberFormat="1" applyFont="1" applyFill="1" applyBorder="1" applyAlignment="1" applyProtection="1">
      <alignment horizontal="center"/>
    </xf>
    <xf numFmtId="0" fontId="6" fillId="8" borderId="19" xfId="0" applyFont="1" applyFill="1" applyBorder="1" applyProtection="1"/>
    <xf numFmtId="0" fontId="6" fillId="8" borderId="19" xfId="0" applyFont="1" applyFill="1" applyBorder="1" applyAlignment="1" applyProtection="1">
      <alignment horizontal="center"/>
    </xf>
    <xf numFmtId="175" fontId="6" fillId="8" borderId="19" xfId="0" applyNumberFormat="1" applyFont="1" applyFill="1" applyBorder="1" applyAlignment="1" applyProtection="1">
      <alignment horizontal="center"/>
    </xf>
    <xf numFmtId="49" fontId="83" fillId="0" borderId="0" xfId="0" applyNumberFormat="1" applyFont="1" applyFill="1" applyBorder="1" applyAlignment="1" applyProtection="1">
      <alignment horizontal="left"/>
    </xf>
    <xf numFmtId="0" fontId="16" fillId="10" borderId="0" xfId="0" applyFont="1" applyFill="1" applyBorder="1" applyProtection="1"/>
    <xf numFmtId="0" fontId="0" fillId="10" borderId="0" xfId="0" applyFill="1" applyBorder="1"/>
    <xf numFmtId="176" fontId="82" fillId="0" borderId="0" xfId="0" applyNumberFormat="1" applyFont="1" applyFill="1" applyBorder="1" applyAlignment="1" applyProtection="1">
      <alignment horizontal="right"/>
    </xf>
    <xf numFmtId="0" fontId="26" fillId="2" borderId="5" xfId="0" applyFont="1" applyFill="1" applyBorder="1" applyAlignment="1" applyProtection="1"/>
    <xf numFmtId="0" fontId="26" fillId="3" borderId="0" xfId="0" applyFont="1" applyFill="1" applyBorder="1" applyAlignment="1" applyProtection="1"/>
    <xf numFmtId="171" fontId="6" fillId="8" borderId="0" xfId="0" applyNumberFormat="1" applyFont="1" applyFill="1" applyBorder="1" applyProtection="1"/>
    <xf numFmtId="171" fontId="6" fillId="6" borderId="0" xfId="0" applyNumberFormat="1" applyFont="1" applyFill="1" applyBorder="1" applyProtection="1"/>
    <xf numFmtId="171" fontId="6" fillId="8" borderId="25" xfId="0" applyNumberFormat="1" applyFont="1" applyFill="1" applyBorder="1" applyProtection="1"/>
    <xf numFmtId="171" fontId="71" fillId="8" borderId="25" xfId="0" applyNumberFormat="1" applyFont="1" applyFill="1" applyBorder="1" applyProtection="1"/>
    <xf numFmtId="171" fontId="18" fillId="8" borderId="25" xfId="0" applyNumberFormat="1" applyFont="1" applyFill="1" applyBorder="1" applyProtection="1"/>
    <xf numFmtId="171" fontId="6" fillId="8" borderId="25" xfId="0" applyNumberFormat="1" applyFont="1" applyFill="1" applyBorder="1" applyAlignment="1" applyProtection="1">
      <alignment horizontal="center"/>
    </xf>
    <xf numFmtId="171" fontId="6" fillId="8" borderId="25" xfId="3" applyNumberFormat="1" applyFont="1" applyFill="1" applyBorder="1" applyAlignment="1" applyProtection="1">
      <alignment horizontal="left"/>
    </xf>
    <xf numFmtId="171" fontId="64" fillId="8" borderId="25" xfId="0" applyNumberFormat="1" applyFont="1" applyFill="1" applyBorder="1" applyProtection="1"/>
    <xf numFmtId="0" fontId="72" fillId="8" borderId="25" xfId="0" applyFont="1" applyFill="1" applyBorder="1" applyAlignment="1" applyProtection="1">
      <alignment horizontal="left"/>
    </xf>
    <xf numFmtId="171" fontId="62" fillId="8" borderId="25" xfId="0" applyNumberFormat="1" applyFont="1" applyFill="1" applyBorder="1" applyAlignment="1" applyProtection="1">
      <alignment horizontal="center"/>
    </xf>
    <xf numFmtId="171" fontId="6" fillId="8" borderId="16" xfId="3" applyNumberFormat="1" applyFont="1" applyFill="1" applyBorder="1" applyAlignment="1" applyProtection="1">
      <alignment horizontal="left"/>
    </xf>
    <xf numFmtId="169" fontId="12" fillId="6" borderId="0" xfId="0" applyNumberFormat="1" applyFont="1" applyFill="1" applyBorder="1" applyAlignment="1" applyProtection="1">
      <alignment horizontal="center"/>
    </xf>
    <xf numFmtId="169" fontId="12" fillId="8" borderId="0" xfId="0" applyNumberFormat="1" applyFont="1" applyFill="1" applyBorder="1" applyAlignment="1" applyProtection="1">
      <alignment horizontal="center"/>
    </xf>
    <xf numFmtId="169" fontId="71" fillId="8" borderId="0" xfId="0" applyNumberFormat="1" applyFont="1" applyFill="1" applyBorder="1" applyAlignment="1" applyProtection="1">
      <alignment horizontal="center"/>
    </xf>
    <xf numFmtId="169" fontId="18" fillId="8" borderId="0" xfId="0" applyNumberFormat="1" applyFont="1" applyFill="1" applyBorder="1" applyAlignment="1" applyProtection="1">
      <alignment horizontal="center"/>
    </xf>
    <xf numFmtId="169" fontId="12" fillId="8" borderId="0" xfId="3" applyNumberFormat="1" applyFont="1" applyFill="1" applyBorder="1" applyAlignment="1" applyProtection="1">
      <alignment horizontal="center"/>
    </xf>
    <xf numFmtId="169" fontId="12" fillId="8" borderId="7" xfId="3" applyNumberFormat="1" applyFont="1" applyFill="1" applyBorder="1" applyAlignment="1" applyProtection="1">
      <alignment horizontal="center"/>
    </xf>
    <xf numFmtId="185" fontId="82" fillId="0" borderId="0" xfId="0" applyNumberFormat="1" applyFont="1" applyFill="1" applyAlignment="1" applyProtection="1">
      <alignment horizontal="right"/>
    </xf>
    <xf numFmtId="185" fontId="6" fillId="0" borderId="0" xfId="0" applyNumberFormat="1" applyFont="1" applyFill="1" applyAlignment="1" applyProtection="1">
      <alignment horizontal="right"/>
    </xf>
    <xf numFmtId="0" fontId="4" fillId="0" borderId="0" xfId="1" applyAlignment="1" applyProtection="1">
      <alignment horizontal="right"/>
    </xf>
    <xf numFmtId="0" fontId="13" fillId="8" borderId="0" xfId="0" applyFont="1" applyFill="1" applyBorder="1" applyProtection="1"/>
    <xf numFmtId="0" fontId="94" fillId="10" borderId="0" xfId="0" applyFont="1" applyFill="1" applyProtection="1"/>
    <xf numFmtId="0" fontId="129" fillId="10" borderId="0" xfId="0" applyFont="1" applyFill="1" applyProtection="1"/>
    <xf numFmtId="0" fontId="110" fillId="10" borderId="0" xfId="0" applyFont="1" applyFill="1" applyProtection="1"/>
    <xf numFmtId="0" fontId="92" fillId="10" borderId="0" xfId="0" applyFont="1" applyFill="1" applyProtection="1"/>
    <xf numFmtId="0" fontId="69" fillId="10" borderId="0" xfId="0" applyFont="1" applyFill="1" applyProtection="1"/>
    <xf numFmtId="0" fontId="60" fillId="10" borderId="0" xfId="0" applyFont="1" applyFill="1" applyProtection="1"/>
    <xf numFmtId="0" fontId="14" fillId="10" borderId="0" xfId="0" applyFont="1" applyFill="1" applyProtection="1"/>
    <xf numFmtId="0" fontId="130" fillId="2" borderId="0" xfId="0" applyFont="1" applyFill="1" applyBorder="1" applyAlignment="1" applyProtection="1">
      <alignment horizontal="right"/>
    </xf>
    <xf numFmtId="0" fontId="131" fillId="2" borderId="0" xfId="0" applyFont="1" applyFill="1" applyBorder="1" applyProtection="1"/>
    <xf numFmtId="49" fontId="132" fillId="2" borderId="0" xfId="0" applyNumberFormat="1" applyFont="1" applyFill="1" applyBorder="1" applyAlignment="1" applyProtection="1">
      <alignment horizontal="center"/>
    </xf>
    <xf numFmtId="0" fontId="132" fillId="2" borderId="0" xfId="0" applyNumberFormat="1" applyFont="1" applyFill="1" applyBorder="1" applyAlignment="1" applyProtection="1">
      <alignment horizontal="center"/>
    </xf>
    <xf numFmtId="175" fontId="134" fillId="8" borderId="0" xfId="0" applyNumberFormat="1" applyFont="1" applyFill="1" applyBorder="1" applyAlignment="1" applyProtection="1">
      <alignment horizontal="center"/>
    </xf>
    <xf numFmtId="0" fontId="14" fillId="10" borderId="0" xfId="0" applyFont="1" applyFill="1" applyBorder="1" applyProtection="1"/>
    <xf numFmtId="0" fontId="0" fillId="10" borderId="0" xfId="0" applyFill="1" applyBorder="1" applyProtection="1"/>
    <xf numFmtId="0" fontId="6" fillId="10" borderId="0" xfId="0" applyFont="1" applyFill="1" applyAlignment="1" applyProtection="1">
      <alignment horizontal="center"/>
    </xf>
    <xf numFmtId="0" fontId="6" fillId="10" borderId="5" xfId="0" applyFont="1" applyFill="1" applyBorder="1" applyAlignment="1" applyProtection="1">
      <alignment horizontal="center"/>
    </xf>
    <xf numFmtId="175" fontId="6" fillId="10" borderId="0" xfId="0" applyNumberFormat="1" applyFont="1" applyFill="1" applyBorder="1" applyAlignment="1" applyProtection="1">
      <alignment horizontal="center"/>
    </xf>
    <xf numFmtId="175" fontId="79" fillId="10" borderId="0" xfId="0" applyNumberFormat="1" applyFont="1" applyFill="1" applyBorder="1" applyAlignment="1" applyProtection="1">
      <alignment horizontal="center"/>
    </xf>
    <xf numFmtId="0" fontId="6" fillId="10" borderId="19" xfId="0" applyFont="1" applyFill="1" applyBorder="1" applyProtection="1"/>
    <xf numFmtId="0" fontId="45" fillId="10" borderId="19" xfId="0" applyFont="1" applyFill="1" applyBorder="1" applyProtection="1"/>
    <xf numFmtId="0" fontId="45" fillId="10" borderId="19" xfId="0" applyFont="1" applyFill="1" applyBorder="1" applyAlignment="1" applyProtection="1">
      <alignment horizontal="center"/>
    </xf>
    <xf numFmtId="0" fontId="45" fillId="10" borderId="0" xfId="0" applyFont="1" applyFill="1" applyBorder="1" applyProtection="1"/>
    <xf numFmtId="0" fontId="45" fillId="10" borderId="0" xfId="0" applyFont="1" applyFill="1" applyBorder="1" applyAlignment="1" applyProtection="1">
      <alignment horizontal="center"/>
    </xf>
    <xf numFmtId="49" fontId="79" fillId="10" borderId="0" xfId="0" applyNumberFormat="1" applyFont="1" applyFill="1" applyBorder="1" applyAlignment="1" applyProtection="1">
      <alignment horizontal="center"/>
    </xf>
    <xf numFmtId="0" fontId="78" fillId="10" borderId="0" xfId="0" applyFont="1" applyFill="1" applyBorder="1" applyProtection="1"/>
    <xf numFmtId="0" fontId="43" fillId="10" borderId="0" xfId="0" applyFont="1" applyFill="1" applyBorder="1" applyAlignment="1" applyProtection="1">
      <alignment horizontal="center"/>
    </xf>
    <xf numFmtId="0" fontId="16" fillId="10" borderId="0" xfId="0" applyFont="1" applyFill="1" applyBorder="1" applyAlignment="1" applyProtection="1">
      <alignment horizontal="center"/>
    </xf>
    <xf numFmtId="15" fontId="6" fillId="10" borderId="0" xfId="0" applyNumberFormat="1" applyFont="1" applyFill="1" applyBorder="1" applyAlignment="1" applyProtection="1">
      <alignment horizontal="center"/>
    </xf>
    <xf numFmtId="0" fontId="6" fillId="10" borderId="0" xfId="0" applyFont="1" applyFill="1" applyBorder="1" applyAlignment="1" applyProtection="1">
      <alignment horizontal="left"/>
    </xf>
    <xf numFmtId="179" fontId="6" fillId="10" borderId="0" xfId="0" applyNumberFormat="1" applyFont="1" applyFill="1" applyBorder="1" applyAlignment="1" applyProtection="1">
      <alignment horizontal="center"/>
    </xf>
    <xf numFmtId="0" fontId="6" fillId="10" borderId="0" xfId="0" applyFont="1" applyFill="1" applyBorder="1" applyAlignment="1" applyProtection="1">
      <alignment horizontal="center"/>
      <protection locked="0"/>
    </xf>
    <xf numFmtId="0" fontId="80" fillId="10" borderId="0" xfId="0" applyFont="1" applyFill="1" applyBorder="1" applyProtection="1"/>
    <xf numFmtId="0" fontId="14" fillId="10" borderId="0" xfId="0" applyFont="1" applyFill="1" applyBorder="1" applyAlignment="1" applyProtection="1">
      <alignment horizontal="center"/>
    </xf>
    <xf numFmtId="0" fontId="44" fillId="10" borderId="0" xfId="0" applyFont="1" applyFill="1" applyBorder="1" applyAlignment="1" applyProtection="1">
      <alignment horizontal="center"/>
    </xf>
    <xf numFmtId="0" fontId="38" fillId="10" borderId="0" xfId="0" applyFont="1" applyFill="1" applyBorder="1" applyAlignment="1" applyProtection="1">
      <alignment horizontal="right"/>
    </xf>
    <xf numFmtId="0" fontId="7" fillId="10" borderId="0" xfId="0" applyFont="1" applyFill="1" applyBorder="1" applyAlignment="1" applyProtection="1">
      <alignment horizontal="center"/>
    </xf>
    <xf numFmtId="0" fontId="7" fillId="10" borderId="0" xfId="0" applyFont="1" applyFill="1" applyAlignment="1" applyProtection="1">
      <alignment horizontal="center"/>
    </xf>
    <xf numFmtId="0" fontId="6" fillId="10" borderId="0" xfId="0" applyFont="1" applyFill="1" applyAlignment="1" applyProtection="1"/>
    <xf numFmtId="164" fontId="6" fillId="10" borderId="0" xfId="0" applyNumberFormat="1" applyFont="1" applyFill="1" applyBorder="1" applyAlignment="1" applyProtection="1"/>
    <xf numFmtId="0" fontId="12" fillId="10" borderId="0" xfId="0" applyFont="1" applyFill="1" applyBorder="1" applyAlignment="1" applyProtection="1"/>
    <xf numFmtId="0" fontId="12" fillId="10" borderId="0" xfId="0" applyFont="1" applyFill="1" applyAlignment="1" applyProtection="1">
      <alignment horizontal="left"/>
    </xf>
    <xf numFmtId="0" fontId="12" fillId="10" borderId="0" xfId="0" applyFont="1" applyFill="1" applyAlignment="1" applyProtection="1"/>
    <xf numFmtId="0" fontId="50" fillId="10" borderId="0" xfId="0" applyFont="1" applyFill="1" applyBorder="1" applyProtection="1"/>
    <xf numFmtId="180" fontId="50" fillId="10" borderId="0" xfId="0" applyNumberFormat="1" applyFont="1" applyFill="1" applyBorder="1" applyProtection="1"/>
    <xf numFmtId="0" fontId="12" fillId="10" borderId="5" xfId="0" applyFont="1" applyFill="1" applyBorder="1" applyProtection="1"/>
    <xf numFmtId="0" fontId="58" fillId="10" borderId="0" xfId="0" applyFont="1" applyFill="1" applyBorder="1" applyProtection="1"/>
    <xf numFmtId="166" fontId="45" fillId="10" borderId="0" xfId="0" applyNumberFormat="1" applyFont="1" applyFill="1" applyBorder="1" applyAlignment="1" applyProtection="1"/>
    <xf numFmtId="0" fontId="131" fillId="2" borderId="0" xfId="0" applyFont="1" applyFill="1" applyBorder="1" applyAlignment="1" applyProtection="1">
      <alignment horizontal="right"/>
    </xf>
    <xf numFmtId="0" fontId="132" fillId="2" borderId="0" xfId="0" applyFont="1" applyFill="1" applyBorder="1" applyAlignment="1" applyProtection="1">
      <alignment horizontal="right"/>
    </xf>
    <xf numFmtId="1" fontId="132" fillId="2" borderId="0" xfId="0" applyNumberFormat="1" applyFont="1" applyFill="1" applyBorder="1" applyAlignment="1" applyProtection="1">
      <alignment horizontal="center"/>
    </xf>
    <xf numFmtId="164" fontId="131" fillId="2" borderId="0" xfId="0" applyNumberFormat="1" applyFont="1" applyFill="1" applyBorder="1" applyAlignment="1" applyProtection="1"/>
    <xf numFmtId="0" fontId="131" fillId="2" borderId="0" xfId="0" applyFont="1" applyFill="1" applyBorder="1" applyAlignment="1" applyProtection="1">
      <alignment horizontal="center"/>
    </xf>
    <xf numFmtId="0" fontId="26" fillId="10" borderId="0" xfId="0" applyFont="1" applyFill="1" applyBorder="1" applyProtection="1"/>
    <xf numFmtId="0" fontId="71" fillId="10" borderId="0" xfId="0" applyFont="1" applyFill="1" applyBorder="1" applyProtection="1"/>
    <xf numFmtId="0" fontId="18" fillId="10" borderId="0" xfId="0" applyFont="1" applyFill="1" applyBorder="1" applyProtection="1"/>
    <xf numFmtId="0" fontId="26" fillId="10" borderId="0" xfId="0" applyFont="1" applyFill="1" applyBorder="1" applyAlignment="1" applyProtection="1"/>
    <xf numFmtId="0" fontId="13" fillId="10" borderId="0" xfId="0" applyFont="1" applyFill="1" applyBorder="1" applyProtection="1"/>
    <xf numFmtId="0" fontId="12" fillId="10" borderId="0" xfId="0" applyFont="1" applyFill="1" applyBorder="1" applyAlignment="1" applyProtection="1">
      <alignment horizontal="left"/>
    </xf>
    <xf numFmtId="175" fontId="12" fillId="10" borderId="0" xfId="0" applyNumberFormat="1" applyFont="1" applyFill="1" applyBorder="1" applyAlignment="1" applyProtection="1">
      <alignment horizontal="center"/>
    </xf>
    <xf numFmtId="0" fontId="12" fillId="10" borderId="0" xfId="0" applyNumberFormat="1" applyFont="1" applyFill="1" applyBorder="1" applyAlignment="1" applyProtection="1">
      <alignment horizontal="center"/>
    </xf>
    <xf numFmtId="169" fontId="12" fillId="10" borderId="0" xfId="0" applyNumberFormat="1" applyFont="1" applyFill="1" applyBorder="1" applyAlignment="1" applyProtection="1">
      <alignment horizontal="center"/>
    </xf>
    <xf numFmtId="171" fontId="6" fillId="10" borderId="0" xfId="0" applyNumberFormat="1" applyFont="1" applyFill="1" applyBorder="1" applyProtection="1"/>
    <xf numFmtId="172" fontId="12" fillId="10" borderId="0" xfId="0" applyNumberFormat="1" applyFont="1" applyFill="1" applyBorder="1" applyProtection="1"/>
    <xf numFmtId="164" fontId="18" fillId="10" borderId="0" xfId="0" applyNumberFormat="1" applyFont="1" applyFill="1" applyBorder="1" applyProtection="1"/>
    <xf numFmtId="169" fontId="12" fillId="10" borderId="0" xfId="0" applyNumberFormat="1" applyFont="1" applyFill="1" applyAlignment="1" applyProtection="1">
      <alignment horizontal="center"/>
    </xf>
    <xf numFmtId="171" fontId="26" fillId="10" borderId="0" xfId="0" applyNumberFormat="1" applyFont="1" applyFill="1" applyBorder="1" applyAlignment="1" applyProtection="1">
      <alignment horizontal="center"/>
    </xf>
    <xf numFmtId="171" fontId="16" fillId="10" borderId="0" xfId="0" applyNumberFormat="1" applyFont="1" applyFill="1" applyBorder="1" applyAlignment="1" applyProtection="1">
      <alignment horizontal="center"/>
    </xf>
    <xf numFmtId="171" fontId="12" fillId="10" borderId="0" xfId="3" applyNumberFormat="1" applyFont="1" applyFill="1" applyBorder="1" applyProtection="1"/>
    <xf numFmtId="171" fontId="12" fillId="10" borderId="0" xfId="0" applyNumberFormat="1" applyFont="1" applyFill="1" applyBorder="1" applyAlignment="1" applyProtection="1">
      <alignment horizontal="center"/>
    </xf>
    <xf numFmtId="0" fontId="13" fillId="10" borderId="0" xfId="0" applyFont="1" applyFill="1" applyBorder="1" applyAlignment="1" applyProtection="1">
      <alignment horizontal="center"/>
    </xf>
    <xf numFmtId="172" fontId="13" fillId="10" borderId="0" xfId="0" applyNumberFormat="1" applyFont="1" applyFill="1" applyBorder="1" applyProtection="1"/>
    <xf numFmtId="169" fontId="12" fillId="10" borderId="0" xfId="3" applyNumberFormat="1" applyFont="1" applyFill="1" applyBorder="1" applyAlignment="1" applyProtection="1">
      <alignment horizontal="center"/>
    </xf>
    <xf numFmtId="171" fontId="6" fillId="10" borderId="0" xfId="3" applyNumberFormat="1" applyFont="1" applyFill="1" applyBorder="1" applyAlignment="1" applyProtection="1">
      <alignment horizontal="left"/>
    </xf>
    <xf numFmtId="176" fontId="13" fillId="10" borderId="0" xfId="0" applyNumberFormat="1" applyFont="1" applyFill="1" applyBorder="1" applyAlignment="1" applyProtection="1">
      <alignment horizontal="left"/>
    </xf>
    <xf numFmtId="0" fontId="72" fillId="10" borderId="0" xfId="0" applyFont="1" applyFill="1" applyBorder="1" applyAlignment="1" applyProtection="1">
      <alignment horizontal="left"/>
    </xf>
    <xf numFmtId="171" fontId="62" fillId="10" borderId="0" xfId="0" applyNumberFormat="1" applyFont="1" applyFill="1" applyBorder="1" applyAlignment="1" applyProtection="1">
      <alignment horizontal="center"/>
    </xf>
    <xf numFmtId="171" fontId="6" fillId="10" borderId="0" xfId="0" applyNumberFormat="1" applyFont="1" applyFill="1" applyBorder="1" applyAlignment="1" applyProtection="1">
      <alignment horizontal="center"/>
    </xf>
    <xf numFmtId="171" fontId="64" fillId="10" borderId="0" xfId="0" applyNumberFormat="1" applyFont="1" applyFill="1" applyBorder="1" applyProtection="1"/>
    <xf numFmtId="0" fontId="13" fillId="10" borderId="0" xfId="0" applyFont="1" applyFill="1" applyBorder="1" applyAlignment="1" applyProtection="1">
      <alignment horizontal="left"/>
    </xf>
    <xf numFmtId="175" fontId="13" fillId="10" borderId="0" xfId="0" applyNumberFormat="1" applyFont="1" applyFill="1" applyBorder="1" applyAlignment="1" applyProtection="1">
      <alignment horizontal="center"/>
    </xf>
    <xf numFmtId="0" fontId="13" fillId="10" borderId="0" xfId="0" applyNumberFormat="1" applyFont="1" applyFill="1" applyBorder="1" applyAlignment="1" applyProtection="1">
      <alignment horizontal="center"/>
    </xf>
    <xf numFmtId="169" fontId="13" fillId="10" borderId="0" xfId="3" applyNumberFormat="1" applyFont="1" applyFill="1" applyBorder="1" applyAlignment="1" applyProtection="1">
      <alignment horizontal="center"/>
    </xf>
    <xf numFmtId="169" fontId="13" fillId="10" borderId="0" xfId="0" applyNumberFormat="1" applyFont="1" applyFill="1" applyBorder="1" applyAlignment="1" applyProtection="1">
      <alignment horizontal="center"/>
    </xf>
    <xf numFmtId="171" fontId="13" fillId="10" borderId="0" xfId="3" applyNumberFormat="1" applyFont="1" applyFill="1" applyBorder="1" applyProtection="1"/>
    <xf numFmtId="49" fontId="12" fillId="10" borderId="0" xfId="0" applyNumberFormat="1" applyFont="1" applyFill="1" applyBorder="1" applyAlignment="1" applyProtection="1">
      <alignment horizontal="left"/>
    </xf>
    <xf numFmtId="0" fontId="0" fillId="10" borderId="0" xfId="0" applyFill="1" applyAlignment="1" applyProtection="1">
      <alignment horizontal="left"/>
    </xf>
    <xf numFmtId="0" fontId="40" fillId="10" borderId="0" xfId="0" applyFont="1" applyFill="1" applyBorder="1" applyAlignment="1" applyProtection="1">
      <alignment horizontal="center"/>
    </xf>
    <xf numFmtId="0" fontId="136" fillId="8" borderId="0" xfId="0" applyFont="1" applyFill="1" applyBorder="1"/>
    <xf numFmtId="0" fontId="136" fillId="8" borderId="0" xfId="0" applyFont="1" applyFill="1" applyBorder="1" applyProtection="1"/>
    <xf numFmtId="0" fontId="69" fillId="2" borderId="0" xfId="0" applyFont="1" applyFill="1" applyBorder="1" applyAlignment="1" applyProtection="1">
      <alignment horizontal="left"/>
    </xf>
    <xf numFmtId="49" fontId="18" fillId="2" borderId="0" xfId="0" applyNumberFormat="1" applyFont="1" applyFill="1" applyBorder="1" applyProtection="1"/>
    <xf numFmtId="0" fontId="18" fillId="2" borderId="0" xfId="0" applyFont="1" applyFill="1" applyBorder="1" applyAlignment="1" applyProtection="1">
      <alignment horizontal="center"/>
    </xf>
    <xf numFmtId="0" fontId="18" fillId="3" borderId="0" xfId="0" applyFont="1" applyFill="1" applyProtection="1"/>
    <xf numFmtId="0" fontId="139" fillId="10" borderId="0" xfId="0" applyFont="1" applyFill="1" applyBorder="1" applyProtection="1"/>
    <xf numFmtId="0" fontId="140" fillId="2" borderId="5" xfId="0" applyFont="1" applyFill="1" applyBorder="1" applyAlignment="1" applyProtection="1">
      <alignment horizontal="left"/>
    </xf>
    <xf numFmtId="49" fontId="18" fillId="2" borderId="0" xfId="0" applyNumberFormat="1" applyFont="1" applyFill="1" applyBorder="1" applyAlignment="1" applyProtection="1">
      <alignment horizontal="left"/>
    </xf>
    <xf numFmtId="0" fontId="139" fillId="2" borderId="0" xfId="0" applyFont="1" applyFill="1" applyBorder="1" applyProtection="1"/>
    <xf numFmtId="0" fontId="139" fillId="2" borderId="0" xfId="0" applyFont="1" applyFill="1" applyBorder="1" applyAlignment="1" applyProtection="1">
      <alignment horizontal="left"/>
    </xf>
    <xf numFmtId="0" fontId="139" fillId="2" borderId="0" xfId="0" applyFont="1" applyFill="1" applyBorder="1" applyAlignment="1" applyProtection="1">
      <alignment horizontal="center"/>
    </xf>
    <xf numFmtId="175" fontId="139" fillId="2" borderId="0" xfId="0" applyNumberFormat="1" applyFont="1" applyFill="1" applyBorder="1" applyAlignment="1" applyProtection="1">
      <alignment horizontal="center"/>
    </xf>
    <xf numFmtId="0" fontId="139" fillId="2" borderId="0" xfId="0" applyNumberFormat="1" applyFont="1" applyFill="1" applyBorder="1" applyAlignment="1" applyProtection="1">
      <alignment horizontal="center"/>
    </xf>
    <xf numFmtId="169" fontId="139" fillId="2" borderId="0" xfId="0" applyNumberFormat="1" applyFont="1" applyFill="1" applyBorder="1" applyAlignment="1" applyProtection="1">
      <alignment horizontal="center"/>
    </xf>
    <xf numFmtId="169" fontId="139" fillId="8" borderId="0" xfId="0" applyNumberFormat="1" applyFont="1" applyFill="1" applyBorder="1" applyAlignment="1" applyProtection="1">
      <alignment horizontal="center"/>
    </xf>
    <xf numFmtId="171" fontId="139" fillId="2" borderId="0" xfId="0" applyNumberFormat="1" applyFont="1" applyFill="1" applyBorder="1" applyProtection="1"/>
    <xf numFmtId="171" fontId="139" fillId="8" borderId="25" xfId="0" applyNumberFormat="1" applyFont="1" applyFill="1" applyBorder="1" applyProtection="1"/>
    <xf numFmtId="0" fontId="141" fillId="10" borderId="0" xfId="0" applyFont="1" applyFill="1"/>
    <xf numFmtId="0" fontId="139" fillId="3" borderId="0" xfId="0" applyFont="1" applyFill="1" applyBorder="1" applyProtection="1"/>
    <xf numFmtId="0" fontId="18" fillId="2" borderId="0" xfId="0" applyFont="1" applyFill="1" applyBorder="1" applyAlignment="1" applyProtection="1"/>
    <xf numFmtId="0" fontId="18" fillId="2" borderId="25" xfId="0" applyFont="1" applyFill="1" applyBorder="1" applyProtection="1"/>
    <xf numFmtId="0" fontId="141" fillId="10" borderId="0" xfId="0" applyFont="1" applyFill="1" applyBorder="1"/>
    <xf numFmtId="0" fontId="18" fillId="10" borderId="0" xfId="0" applyFont="1" applyFill="1" applyProtection="1"/>
    <xf numFmtId="0" fontId="142" fillId="10" borderId="0" xfId="0" applyFont="1" applyFill="1" applyProtection="1"/>
    <xf numFmtId="0" fontId="11" fillId="2" borderId="0" xfId="0" applyFont="1" applyFill="1" applyBorder="1" applyAlignment="1" applyProtection="1">
      <alignment horizontal="center"/>
    </xf>
    <xf numFmtId="0" fontId="144" fillId="10" borderId="0" xfId="0" applyFont="1" applyFill="1" applyProtection="1"/>
    <xf numFmtId="0" fontId="18" fillId="0" borderId="0" xfId="0" applyFont="1"/>
    <xf numFmtId="0" fontId="28" fillId="2" borderId="5" xfId="0" applyFont="1" applyFill="1" applyBorder="1" applyProtection="1"/>
    <xf numFmtId="0" fontId="27" fillId="2" borderId="0" xfId="0" applyFont="1" applyFill="1" applyBorder="1" applyAlignment="1" applyProtection="1">
      <alignment horizontal="left"/>
    </xf>
    <xf numFmtId="0" fontId="71" fillId="2" borderId="5" xfId="0" applyFont="1" applyFill="1" applyBorder="1" applyProtection="1"/>
    <xf numFmtId="0" fontId="69" fillId="10" borderId="0" xfId="0" applyFont="1" applyFill="1" applyBorder="1" applyProtection="1"/>
    <xf numFmtId="0" fontId="69" fillId="3" borderId="0" xfId="0" applyFont="1" applyFill="1" applyBorder="1" applyProtection="1"/>
    <xf numFmtId="0" fontId="21" fillId="2" borderId="5" xfId="0" applyFont="1" applyFill="1" applyBorder="1" applyProtection="1"/>
    <xf numFmtId="0" fontId="18" fillId="2" borderId="0" xfId="0" applyFont="1" applyFill="1" applyBorder="1" applyAlignment="1" applyProtection="1">
      <alignment horizontal="left"/>
    </xf>
    <xf numFmtId="0" fontId="11" fillId="2" borderId="0" xfId="0" applyFont="1" applyFill="1" applyBorder="1" applyAlignment="1" applyProtection="1">
      <alignment horizontal="left"/>
    </xf>
    <xf numFmtId="0" fontId="11" fillId="2" borderId="6" xfId="0" applyFont="1" applyFill="1" applyBorder="1" applyProtection="1"/>
    <xf numFmtId="0" fontId="145" fillId="3" borderId="0" xfId="0" applyFont="1" applyFill="1" applyBorder="1" applyProtection="1"/>
    <xf numFmtId="0" fontId="143" fillId="2" borderId="5" xfId="0" applyFont="1" applyFill="1" applyBorder="1" applyProtection="1"/>
    <xf numFmtId="0" fontId="18" fillId="2" borderId="0" xfId="0" applyNumberFormat="1" applyFont="1" applyFill="1" applyBorder="1" applyProtection="1"/>
    <xf numFmtId="0" fontId="143" fillId="2" borderId="0" xfId="0" applyFont="1" applyFill="1" applyBorder="1" applyProtection="1"/>
    <xf numFmtId="0" fontId="142" fillId="2" borderId="0" xfId="0" applyFont="1" applyFill="1" applyBorder="1" applyProtection="1"/>
    <xf numFmtId="0" fontId="142" fillId="2" borderId="6" xfId="0" applyFont="1" applyFill="1" applyBorder="1" applyProtection="1"/>
    <xf numFmtId="0" fontId="142" fillId="3" borderId="0" xfId="0" applyFont="1" applyFill="1" applyProtection="1"/>
    <xf numFmtId="0" fontId="11" fillId="10" borderId="0" xfId="0" applyFont="1" applyFill="1" applyBorder="1" applyProtection="1"/>
    <xf numFmtId="0" fontId="11" fillId="2" borderId="5" xfId="0" applyFont="1" applyFill="1" applyBorder="1" applyProtection="1"/>
    <xf numFmtId="0" fontId="21" fillId="2" borderId="0" xfId="0" applyFont="1" applyFill="1" applyBorder="1" applyProtection="1"/>
    <xf numFmtId="0" fontId="11" fillId="3" borderId="0" xfId="0" applyFont="1" applyFill="1" applyBorder="1" applyProtection="1"/>
    <xf numFmtId="0" fontId="27" fillId="8" borderId="5" xfId="0" applyFont="1" applyFill="1" applyBorder="1" applyProtection="1"/>
    <xf numFmtId="0" fontId="126" fillId="0" borderId="0" xfId="0" applyFont="1" applyAlignment="1">
      <alignment horizontal="right"/>
    </xf>
    <xf numFmtId="0" fontId="136" fillId="0" borderId="0" xfId="0" applyFont="1"/>
    <xf numFmtId="0" fontId="126" fillId="0" borderId="0" xfId="0" applyFont="1"/>
    <xf numFmtId="0" fontId="146" fillId="0" borderId="0" xfId="0" applyFont="1"/>
    <xf numFmtId="0" fontId="45" fillId="6" borderId="21" xfId="0" applyFont="1" applyFill="1" applyBorder="1" applyAlignment="1" applyProtection="1">
      <alignment horizontal="center"/>
    </xf>
    <xf numFmtId="185" fontId="6" fillId="0" borderId="21" xfId="0" applyNumberFormat="1" applyFont="1" applyFill="1" applyBorder="1" applyAlignment="1" applyProtection="1">
      <alignment horizontal="center"/>
      <protection locked="0"/>
    </xf>
    <xf numFmtId="0" fontId="133" fillId="2" borderId="0" xfId="0" applyFont="1" applyFill="1" applyBorder="1" applyProtection="1"/>
    <xf numFmtId="0" fontId="45" fillId="6" borderId="21" xfId="0" applyFont="1" applyFill="1" applyBorder="1" applyProtection="1"/>
    <xf numFmtId="0" fontId="35" fillId="6" borderId="21" xfId="0" applyFont="1" applyFill="1" applyBorder="1" applyAlignment="1" applyProtection="1">
      <alignment horizontal="center"/>
    </xf>
    <xf numFmtId="0" fontId="6" fillId="6" borderId="21" xfId="0" applyFont="1" applyFill="1" applyBorder="1" applyProtection="1"/>
    <xf numFmtId="0" fontId="6" fillId="0" borderId="7" xfId="0" applyFont="1" applyFill="1" applyBorder="1" applyAlignment="1" applyProtection="1">
      <alignment horizontal="left"/>
    </xf>
    <xf numFmtId="185" fontId="6" fillId="11" borderId="21" xfId="0" applyNumberFormat="1" applyFont="1" applyFill="1" applyBorder="1" applyAlignment="1" applyProtection="1">
      <alignment horizontal="center"/>
    </xf>
    <xf numFmtId="0" fontId="17" fillId="10" borderId="0" xfId="0" applyFont="1" applyFill="1" applyProtection="1"/>
    <xf numFmtId="0" fontId="17" fillId="3" borderId="0" xfId="0" applyFont="1" applyFill="1" applyProtection="1"/>
    <xf numFmtId="0" fontId="45" fillId="8" borderId="0" xfId="0" applyFont="1" applyFill="1" applyBorder="1" applyProtection="1"/>
    <xf numFmtId="0" fontId="45" fillId="8" borderId="0" xfId="0" applyFont="1" applyFill="1" applyBorder="1" applyAlignment="1" applyProtection="1">
      <alignment horizontal="center"/>
    </xf>
    <xf numFmtId="0" fontId="6" fillId="6" borderId="38" xfId="0" applyFont="1" applyFill="1" applyBorder="1" applyAlignment="1" applyProtection="1"/>
    <xf numFmtId="0" fontId="6" fillId="6" borderId="20" xfId="0" applyFont="1" applyFill="1" applyBorder="1" applyProtection="1"/>
    <xf numFmtId="0" fontId="6" fillId="6" borderId="43" xfId="0" applyFont="1" applyFill="1" applyBorder="1" applyAlignment="1" applyProtection="1"/>
    <xf numFmtId="0" fontId="132" fillId="2" borderId="0" xfId="0" applyFont="1" applyFill="1" applyBorder="1" applyAlignment="1" applyProtection="1">
      <alignment horizontal="center"/>
    </xf>
    <xf numFmtId="0" fontId="131" fillId="2" borderId="0" xfId="0" applyFont="1" applyFill="1" applyBorder="1" applyAlignment="1" applyProtection="1"/>
    <xf numFmtId="164" fontId="35" fillId="8" borderId="0" xfId="0" applyNumberFormat="1" applyFont="1" applyFill="1" applyBorder="1" applyAlignment="1" applyProtection="1"/>
    <xf numFmtId="0" fontId="93" fillId="8" borderId="0" xfId="0" applyFont="1" applyFill="1" applyBorder="1" applyProtection="1"/>
    <xf numFmtId="164" fontId="152" fillId="8" borderId="0" xfId="0" applyNumberFormat="1" applyFont="1" applyFill="1" applyBorder="1" applyAlignment="1" applyProtection="1"/>
    <xf numFmtId="0" fontId="6" fillId="8" borderId="0" xfId="0" applyFont="1" applyFill="1" applyProtection="1"/>
    <xf numFmtId="0" fontId="6" fillId="8" borderId="0" xfId="0" applyFont="1" applyFill="1" applyAlignment="1" applyProtection="1">
      <alignment horizontal="left"/>
    </xf>
    <xf numFmtId="0" fontId="69" fillId="8" borderId="0" xfId="0" applyFont="1" applyFill="1" applyBorder="1" applyProtection="1"/>
    <xf numFmtId="0" fontId="18" fillId="8" borderId="0" xfId="0" applyFont="1" applyFill="1" applyBorder="1" applyProtection="1"/>
    <xf numFmtId="0" fontId="6" fillId="2" borderId="22" xfId="0" applyFont="1" applyFill="1" applyBorder="1" applyAlignment="1" applyProtection="1">
      <alignment horizontal="left"/>
    </xf>
    <xf numFmtId="0" fontId="18" fillId="8" borderId="0" xfId="0" applyFont="1" applyFill="1" applyAlignment="1" applyProtection="1">
      <alignment horizontal="left"/>
    </xf>
    <xf numFmtId="0" fontId="118" fillId="8" borderId="0" xfId="0" applyFont="1" applyFill="1" applyBorder="1" applyAlignment="1" applyProtection="1">
      <alignment horizontal="left"/>
    </xf>
    <xf numFmtId="0" fontId="0" fillId="8" borderId="7" xfId="0" applyFill="1" applyBorder="1" applyAlignment="1">
      <alignment horizontal="left"/>
    </xf>
    <xf numFmtId="0" fontId="0" fillId="10" borderId="0" xfId="0" applyFill="1" applyAlignment="1">
      <alignment horizontal="left"/>
    </xf>
    <xf numFmtId="0" fontId="12" fillId="10" borderId="5" xfId="0" applyFont="1" applyFill="1" applyBorder="1" applyAlignment="1" applyProtection="1">
      <alignment horizontal="center"/>
    </xf>
    <xf numFmtId="0" fontId="48" fillId="10" borderId="0" xfId="0" applyFont="1" applyFill="1" applyBorder="1" applyProtection="1"/>
    <xf numFmtId="0" fontId="81" fillId="10" borderId="0" xfId="0" applyFont="1" applyFill="1" applyAlignment="1" applyProtection="1">
      <alignment horizontal="center"/>
    </xf>
    <xf numFmtId="181" fontId="81" fillId="10" borderId="0" xfId="3" applyNumberFormat="1" applyFont="1" applyFill="1" applyAlignment="1" applyProtection="1">
      <alignment horizontal="center"/>
    </xf>
    <xf numFmtId="164" fontId="12" fillId="10" borderId="0" xfId="0" applyNumberFormat="1" applyFont="1" applyFill="1" applyBorder="1" applyAlignment="1" applyProtection="1">
      <alignment horizontal="center"/>
    </xf>
    <xf numFmtId="0" fontId="131" fillId="10" borderId="0" xfId="0" applyFont="1" applyFill="1" applyBorder="1" applyProtection="1"/>
    <xf numFmtId="0" fontId="131" fillId="10" borderId="0" xfId="0" applyFont="1" applyFill="1" applyBorder="1" applyAlignment="1" applyProtection="1">
      <alignment horizontal="center"/>
    </xf>
    <xf numFmtId="0" fontId="132" fillId="10" borderId="0" xfId="0" applyFont="1" applyFill="1" applyBorder="1" applyAlignment="1" applyProtection="1">
      <alignment horizontal="center"/>
    </xf>
    <xf numFmtId="49" fontId="130" fillId="10" borderId="0" xfId="0" applyNumberFormat="1" applyFont="1" applyFill="1" applyBorder="1" applyAlignment="1" applyProtection="1">
      <alignment horizontal="center"/>
    </xf>
    <xf numFmtId="0" fontId="133" fillId="10" borderId="0" xfId="0" applyFont="1" applyFill="1" applyBorder="1" applyProtection="1"/>
    <xf numFmtId="0" fontId="130" fillId="10" borderId="0" xfId="0" applyFont="1" applyFill="1" applyBorder="1" applyProtection="1"/>
    <xf numFmtId="164" fontId="131" fillId="10" borderId="0" xfId="0" applyNumberFormat="1" applyFont="1" applyFill="1" applyBorder="1" applyAlignment="1" applyProtection="1">
      <alignment horizontal="center"/>
    </xf>
    <xf numFmtId="164" fontId="131" fillId="10" borderId="0" xfId="0" applyNumberFormat="1" applyFont="1" applyFill="1" applyBorder="1" applyProtection="1"/>
    <xf numFmtId="0" fontId="65" fillId="10" borderId="0" xfId="0" applyFont="1" applyFill="1" applyBorder="1" applyProtection="1"/>
    <xf numFmtId="0" fontId="65" fillId="10" borderId="0" xfId="0" applyFont="1" applyFill="1" applyBorder="1" applyAlignment="1" applyProtection="1">
      <alignment horizontal="center"/>
    </xf>
    <xf numFmtId="164" fontId="65" fillId="10" borderId="0" xfId="0" applyNumberFormat="1" applyFont="1" applyFill="1" applyBorder="1" applyAlignment="1" applyProtection="1">
      <alignment horizontal="center"/>
    </xf>
    <xf numFmtId="0" fontId="154" fillId="10" borderId="0" xfId="0" applyFont="1" applyFill="1" applyBorder="1" applyProtection="1"/>
    <xf numFmtId="0" fontId="154" fillId="10" borderId="0" xfId="0" applyFont="1" applyFill="1" applyBorder="1" applyAlignment="1" applyProtection="1">
      <alignment horizontal="center"/>
    </xf>
    <xf numFmtId="0" fontId="159" fillId="10" borderId="0" xfId="0" applyFont="1" applyFill="1" applyBorder="1" applyProtection="1"/>
    <xf numFmtId="169" fontId="159" fillId="10" borderId="0" xfId="0" applyNumberFormat="1" applyFont="1" applyFill="1" applyBorder="1" applyAlignment="1" applyProtection="1">
      <alignment horizontal="center"/>
    </xf>
    <xf numFmtId="0" fontId="159" fillId="10" borderId="0" xfId="0" applyNumberFormat="1" applyFont="1" applyFill="1" applyBorder="1" applyAlignment="1" applyProtection="1">
      <alignment horizontal="center"/>
    </xf>
    <xf numFmtId="0" fontId="161" fillId="10" borderId="0" xfId="0" applyFont="1" applyFill="1" applyBorder="1" applyProtection="1"/>
    <xf numFmtId="169" fontId="161" fillId="10" borderId="0" xfId="0" applyNumberFormat="1" applyFont="1" applyFill="1" applyBorder="1" applyAlignment="1" applyProtection="1">
      <alignment horizontal="center"/>
    </xf>
    <xf numFmtId="0" fontId="161" fillId="10" borderId="0" xfId="0" applyNumberFormat="1" applyFont="1" applyFill="1" applyBorder="1" applyAlignment="1" applyProtection="1">
      <alignment horizontal="center"/>
    </xf>
    <xf numFmtId="0" fontId="154" fillId="10" borderId="0" xfId="0" applyNumberFormat="1" applyFont="1" applyFill="1" applyBorder="1" applyProtection="1"/>
    <xf numFmtId="169" fontId="154" fillId="10" borderId="0" xfId="0" applyNumberFormat="1" applyFont="1" applyFill="1" applyBorder="1" applyAlignment="1" applyProtection="1">
      <alignment horizontal="center"/>
    </xf>
    <xf numFmtId="0" fontId="154" fillId="10" borderId="0" xfId="0" applyNumberFormat="1" applyFont="1" applyFill="1" applyBorder="1" applyAlignment="1" applyProtection="1">
      <alignment horizontal="center"/>
    </xf>
    <xf numFmtId="0" fontId="160" fillId="10" borderId="0" xfId="0" applyFont="1" applyFill="1" applyBorder="1" applyProtection="1"/>
    <xf numFmtId="169" fontId="160" fillId="10" borderId="0" xfId="0" applyNumberFormat="1" applyFont="1" applyFill="1" applyBorder="1" applyAlignment="1" applyProtection="1">
      <alignment horizontal="center"/>
    </xf>
    <xf numFmtId="0" fontId="160" fillId="10" borderId="0" xfId="0" applyNumberFormat="1" applyFont="1" applyFill="1" applyBorder="1" applyAlignment="1" applyProtection="1">
      <alignment horizontal="center"/>
    </xf>
    <xf numFmtId="169" fontId="154" fillId="10" borderId="0" xfId="0" applyNumberFormat="1" applyFont="1" applyFill="1" applyAlignment="1" applyProtection="1">
      <alignment horizontal="center"/>
    </xf>
    <xf numFmtId="0" fontId="154" fillId="10" borderId="0" xfId="0" applyNumberFormat="1" applyFont="1" applyFill="1" applyAlignment="1" applyProtection="1">
      <alignment horizontal="center"/>
    </xf>
    <xf numFmtId="169" fontId="154" fillId="10" borderId="0" xfId="0" applyNumberFormat="1" applyFont="1" applyFill="1" applyProtection="1"/>
    <xf numFmtId="1" fontId="154" fillId="10" borderId="0" xfId="0" applyNumberFormat="1" applyFont="1" applyFill="1" applyProtection="1"/>
    <xf numFmtId="1" fontId="158" fillId="10" borderId="0" xfId="0" applyNumberFormat="1" applyFont="1" applyFill="1" applyBorder="1" applyAlignment="1" applyProtection="1">
      <alignment horizontal="center"/>
    </xf>
    <xf numFmtId="169" fontId="158" fillId="10" borderId="0" xfId="0" applyNumberFormat="1" applyFont="1" applyFill="1" applyBorder="1" applyAlignment="1" applyProtection="1">
      <alignment horizontal="center"/>
    </xf>
    <xf numFmtId="0" fontId="158" fillId="10" borderId="0" xfId="0" applyFont="1" applyFill="1" applyBorder="1" applyAlignment="1" applyProtection="1">
      <alignment horizontal="center"/>
    </xf>
    <xf numFmtId="0" fontId="148" fillId="10" borderId="0" xfId="0" applyFont="1" applyFill="1" applyBorder="1" applyAlignment="1" applyProtection="1">
      <alignment horizontal="center"/>
    </xf>
    <xf numFmtId="9" fontId="158" fillId="10" borderId="0" xfId="0" applyNumberFormat="1" applyFont="1" applyFill="1" applyBorder="1" applyAlignment="1" applyProtection="1">
      <alignment horizontal="center"/>
    </xf>
    <xf numFmtId="0" fontId="154" fillId="10" borderId="0" xfId="0" applyFont="1" applyFill="1" applyBorder="1" applyAlignment="1" applyProtection="1"/>
    <xf numFmtId="171" fontId="154" fillId="10" borderId="0" xfId="0" applyNumberFormat="1" applyFont="1" applyFill="1" applyBorder="1" applyAlignment="1" applyProtection="1">
      <alignment horizontal="center"/>
    </xf>
    <xf numFmtId="0" fontId="158" fillId="10" borderId="0" xfId="0" applyNumberFormat="1" applyFont="1" applyFill="1" applyBorder="1" applyAlignment="1" applyProtection="1">
      <alignment horizontal="center"/>
    </xf>
    <xf numFmtId="171" fontId="158" fillId="10" borderId="0" xfId="0" applyNumberFormat="1" applyFont="1" applyFill="1" applyBorder="1" applyAlignment="1" applyProtection="1">
      <alignment horizontal="center"/>
    </xf>
    <xf numFmtId="2" fontId="158" fillId="10" borderId="0" xfId="0" applyNumberFormat="1" applyFont="1" applyFill="1" applyBorder="1" applyAlignment="1" applyProtection="1">
      <alignment horizontal="center"/>
    </xf>
    <xf numFmtId="164" fontId="158" fillId="10" borderId="0" xfId="0" applyNumberFormat="1" applyFont="1" applyFill="1" applyBorder="1" applyAlignment="1" applyProtection="1">
      <alignment horizontal="center"/>
    </xf>
    <xf numFmtId="9" fontId="154" fillId="10" borderId="0" xfId="0" applyNumberFormat="1" applyFont="1" applyFill="1" applyAlignment="1">
      <alignment horizontal="center"/>
    </xf>
    <xf numFmtId="2" fontId="154" fillId="10" borderId="0" xfId="0" applyNumberFormat="1" applyFont="1" applyFill="1" applyBorder="1" applyAlignment="1" applyProtection="1">
      <alignment horizontal="center"/>
    </xf>
    <xf numFmtId="2" fontId="153" fillId="10" borderId="0" xfId="0" applyNumberFormat="1" applyFont="1" applyFill="1" applyBorder="1" applyAlignment="1" applyProtection="1">
      <alignment horizontal="center"/>
    </xf>
    <xf numFmtId="1" fontId="154" fillId="10" borderId="0" xfId="0" applyNumberFormat="1" applyFont="1" applyFill="1" applyBorder="1" applyAlignment="1" applyProtection="1">
      <alignment horizontal="center"/>
    </xf>
    <xf numFmtId="0" fontId="153" fillId="10" borderId="0" xfId="0" quotePrefix="1" applyFont="1" applyFill="1" applyBorder="1" applyAlignment="1" applyProtection="1">
      <alignment horizontal="right"/>
    </xf>
    <xf numFmtId="164" fontId="148" fillId="10" borderId="0" xfId="0" applyNumberFormat="1" applyFont="1" applyFill="1" applyBorder="1" applyAlignment="1" applyProtection="1">
      <alignment horizontal="center"/>
    </xf>
    <xf numFmtId="0" fontId="153" fillId="10" borderId="0" xfId="0" applyFont="1" applyFill="1" applyBorder="1" applyProtection="1"/>
    <xf numFmtId="0" fontId="153" fillId="10" borderId="0" xfId="0" applyFont="1" applyFill="1" applyBorder="1" applyAlignment="1" applyProtection="1">
      <alignment horizontal="center"/>
    </xf>
    <xf numFmtId="0" fontId="154" fillId="10" borderId="0" xfId="0" applyFont="1" applyFill="1" applyAlignment="1">
      <alignment horizontal="center"/>
    </xf>
    <xf numFmtId="172" fontId="154" fillId="10" borderId="0" xfId="0" applyNumberFormat="1" applyFont="1" applyFill="1" applyBorder="1" applyAlignment="1" applyProtection="1">
      <alignment horizontal="center"/>
    </xf>
    <xf numFmtId="2" fontId="159" fillId="10" borderId="0" xfId="0" applyNumberFormat="1" applyFont="1" applyFill="1" applyBorder="1" applyAlignment="1" applyProtection="1">
      <alignment horizontal="center"/>
    </xf>
    <xf numFmtId="164" fontId="159" fillId="10" borderId="0" xfId="0" applyNumberFormat="1" applyFont="1" applyFill="1" applyBorder="1" applyAlignment="1" applyProtection="1">
      <alignment horizontal="center"/>
    </xf>
    <xf numFmtId="0" fontId="159" fillId="10" borderId="0" xfId="0" applyFont="1" applyFill="1" applyBorder="1" applyAlignment="1" applyProtection="1">
      <alignment horizontal="center"/>
    </xf>
    <xf numFmtId="1" fontId="159" fillId="10" borderId="0" xfId="0" applyNumberFormat="1" applyFont="1" applyFill="1" applyBorder="1" applyAlignment="1" applyProtection="1">
      <alignment horizontal="center"/>
    </xf>
    <xf numFmtId="0" fontId="160" fillId="10" borderId="0" xfId="0" applyFont="1" applyFill="1" applyAlignment="1">
      <alignment horizontal="center"/>
    </xf>
    <xf numFmtId="2" fontId="161" fillId="10" borderId="0" xfId="0" applyNumberFormat="1" applyFont="1" applyFill="1" applyBorder="1" applyAlignment="1" applyProtection="1">
      <alignment horizontal="center"/>
    </xf>
    <xf numFmtId="164" fontId="161" fillId="10" borderId="0" xfId="0" applyNumberFormat="1" applyFont="1" applyFill="1" applyBorder="1" applyAlignment="1" applyProtection="1">
      <alignment horizontal="center"/>
    </xf>
    <xf numFmtId="0" fontId="161" fillId="10" borderId="0" xfId="0" applyFont="1" applyFill="1" applyBorder="1" applyAlignment="1" applyProtection="1">
      <alignment horizontal="center"/>
    </xf>
    <xf numFmtId="1" fontId="161" fillId="10" borderId="0" xfId="0" applyNumberFormat="1" applyFont="1" applyFill="1" applyBorder="1" applyAlignment="1" applyProtection="1">
      <alignment horizontal="center"/>
    </xf>
    <xf numFmtId="164" fontId="154" fillId="10" borderId="0" xfId="0" applyNumberFormat="1" applyFont="1" applyFill="1" applyBorder="1" applyAlignment="1" applyProtection="1">
      <alignment horizontal="center"/>
    </xf>
    <xf numFmtId="2" fontId="160" fillId="10" borderId="0" xfId="0" applyNumberFormat="1" applyFont="1" applyFill="1" applyBorder="1" applyAlignment="1" applyProtection="1">
      <alignment horizontal="center"/>
    </xf>
    <xf numFmtId="0" fontId="160" fillId="10" borderId="0" xfId="0" applyFont="1" applyFill="1" applyBorder="1" applyAlignment="1" applyProtection="1">
      <alignment horizontal="center"/>
    </xf>
    <xf numFmtId="164" fontId="160" fillId="10" borderId="0" xfId="0" applyNumberFormat="1" applyFont="1" applyFill="1" applyBorder="1" applyAlignment="1" applyProtection="1">
      <alignment horizontal="center"/>
    </xf>
    <xf numFmtId="1" fontId="160" fillId="10" borderId="0" xfId="0" applyNumberFormat="1" applyFont="1" applyFill="1" applyBorder="1" applyAlignment="1" applyProtection="1">
      <alignment horizontal="center"/>
    </xf>
    <xf numFmtId="164" fontId="154" fillId="10" borderId="0" xfId="0" applyNumberFormat="1" applyFont="1" applyFill="1" applyAlignment="1" applyProtection="1">
      <alignment horizontal="center"/>
    </xf>
    <xf numFmtId="42" fontId="154" fillId="10" borderId="0" xfId="0" applyNumberFormat="1" applyFont="1" applyFill="1" applyAlignment="1">
      <alignment horizontal="center"/>
    </xf>
    <xf numFmtId="44" fontId="154" fillId="10" borderId="0" xfId="0" applyNumberFormat="1" applyFont="1" applyFill="1" applyAlignment="1">
      <alignment horizontal="center"/>
    </xf>
    <xf numFmtId="173" fontId="154" fillId="10" borderId="0" xfId="0" applyNumberFormat="1" applyFont="1" applyFill="1" applyAlignment="1">
      <alignment horizontal="center"/>
    </xf>
    <xf numFmtId="3" fontId="154" fillId="10" borderId="0" xfId="0" applyNumberFormat="1" applyFont="1" applyFill="1" applyAlignment="1">
      <alignment horizontal="center"/>
    </xf>
    <xf numFmtId="171" fontId="154" fillId="10" borderId="0" xfId="3" applyNumberFormat="1" applyFont="1" applyFill="1" applyBorder="1" applyAlignment="1" applyProtection="1">
      <alignment horizontal="center"/>
    </xf>
    <xf numFmtId="0" fontId="153" fillId="10" borderId="0" xfId="0" quotePrefix="1" applyFont="1" applyFill="1" applyBorder="1" applyAlignment="1" applyProtection="1">
      <alignment horizontal="center"/>
    </xf>
    <xf numFmtId="172" fontId="153" fillId="10" borderId="0" xfId="0" applyNumberFormat="1" applyFont="1" applyFill="1" applyBorder="1" applyAlignment="1" applyProtection="1">
      <alignment horizontal="center"/>
    </xf>
    <xf numFmtId="171" fontId="12" fillId="2" borderId="0" xfId="3" applyNumberFormat="1" applyFont="1" applyFill="1" applyBorder="1" applyAlignment="1" applyProtection="1">
      <alignment horizontal="center"/>
    </xf>
    <xf numFmtId="171" fontId="12" fillId="2" borderId="7" xfId="3" applyNumberFormat="1" applyFont="1" applyFill="1" applyBorder="1" applyAlignment="1" applyProtection="1">
      <alignment horizontal="center"/>
    </xf>
    <xf numFmtId="171" fontId="12" fillId="10" borderId="0" xfId="3" applyNumberFormat="1" applyFont="1" applyFill="1" applyBorder="1" applyAlignment="1" applyProtection="1">
      <alignment horizontal="center"/>
    </xf>
    <xf numFmtId="171" fontId="13" fillId="10" borderId="0" xfId="3" applyNumberFormat="1" applyFont="1" applyFill="1" applyBorder="1" applyAlignment="1" applyProtection="1">
      <alignment horizontal="center"/>
    </xf>
    <xf numFmtId="49" fontId="68" fillId="10" borderId="0" xfId="0" applyNumberFormat="1" applyFont="1" applyFill="1" applyBorder="1" applyAlignment="1" applyProtection="1">
      <alignment horizontal="center"/>
    </xf>
    <xf numFmtId="0" fontId="15" fillId="10" borderId="0" xfId="0" applyFont="1" applyFill="1" applyBorder="1" applyProtection="1"/>
    <xf numFmtId="49" fontId="14" fillId="10" borderId="0" xfId="0" applyNumberFormat="1" applyFont="1" applyFill="1" applyBorder="1" applyAlignment="1" applyProtection="1">
      <alignment horizontal="center"/>
    </xf>
    <xf numFmtId="171" fontId="7" fillId="10" borderId="0" xfId="0" applyNumberFormat="1" applyFont="1" applyFill="1" applyBorder="1" applyProtection="1"/>
    <xf numFmtId="0" fontId="7" fillId="10" borderId="0" xfId="0" applyFont="1" applyFill="1" applyBorder="1" applyAlignment="1" applyProtection="1">
      <alignment horizontal="left"/>
    </xf>
    <xf numFmtId="0" fontId="16" fillId="10" borderId="0" xfId="0" applyFont="1" applyFill="1" applyBorder="1" applyAlignment="1" applyProtection="1">
      <alignment horizontal="left"/>
    </xf>
    <xf numFmtId="0" fontId="7" fillId="10" borderId="0" xfId="0" applyFont="1" applyFill="1" applyBorder="1" applyAlignment="1" applyProtection="1">
      <alignment horizontal="right"/>
    </xf>
    <xf numFmtId="0" fontId="131" fillId="10" borderId="0" xfId="0" applyFont="1" applyFill="1" applyProtection="1"/>
    <xf numFmtId="0" fontId="130" fillId="10" borderId="0" xfId="0" applyFont="1" applyFill="1" applyBorder="1" applyAlignment="1" applyProtection="1">
      <alignment horizontal="right"/>
    </xf>
    <xf numFmtId="0" fontId="130" fillId="10" borderId="0" xfId="0" applyFont="1" applyFill="1" applyBorder="1" applyAlignment="1" applyProtection="1">
      <alignment horizontal="center"/>
    </xf>
    <xf numFmtId="171" fontId="131" fillId="10" borderId="0" xfId="0" applyNumberFormat="1" applyFont="1" applyFill="1" applyBorder="1" applyProtection="1"/>
    <xf numFmtId="0" fontId="131" fillId="10" borderId="0" xfId="0" applyFont="1" applyFill="1" applyBorder="1" applyAlignment="1" applyProtection="1">
      <alignment horizontal="left"/>
    </xf>
    <xf numFmtId="49" fontId="131" fillId="2" borderId="0" xfId="0" applyNumberFormat="1" applyFont="1" applyFill="1" applyBorder="1" applyAlignment="1" applyProtection="1">
      <alignment horizontal="center"/>
    </xf>
    <xf numFmtId="0" fontId="0" fillId="10" borderId="0" xfId="0" applyFill="1" applyProtection="1"/>
    <xf numFmtId="0" fontId="12" fillId="8" borderId="0" xfId="0" applyFont="1" applyFill="1" applyBorder="1" applyProtection="1"/>
    <xf numFmtId="0" fontId="12" fillId="8" borderId="0" xfId="0" applyFont="1" applyFill="1" applyBorder="1" applyAlignment="1" applyProtection="1">
      <alignment horizontal="center"/>
    </xf>
    <xf numFmtId="164" fontId="44" fillId="8" borderId="0" xfId="0" applyNumberFormat="1" applyFont="1" applyFill="1" applyBorder="1" applyAlignment="1" applyProtection="1">
      <alignment horizontal="center"/>
    </xf>
    <xf numFmtId="0" fontId="6" fillId="2" borderId="46" xfId="0" applyFont="1" applyFill="1" applyBorder="1" applyProtection="1"/>
    <xf numFmtId="0" fontId="6" fillId="2" borderId="47" xfId="0" applyFont="1" applyFill="1" applyBorder="1" applyProtection="1"/>
    <xf numFmtId="0" fontId="156" fillId="2" borderId="0" xfId="0" applyFont="1" applyFill="1" applyBorder="1" applyAlignment="1" applyProtection="1">
      <alignment horizontal="left"/>
    </xf>
    <xf numFmtId="0" fontId="156" fillId="2" borderId="0" xfId="0" applyFont="1" applyFill="1" applyBorder="1" applyAlignment="1" applyProtection="1">
      <alignment horizontal="center"/>
    </xf>
    <xf numFmtId="0" fontId="156" fillId="2" borderId="0" xfId="0" applyNumberFormat="1" applyFont="1" applyFill="1" applyBorder="1" applyAlignment="1" applyProtection="1">
      <alignment horizontal="center"/>
    </xf>
    <xf numFmtId="1" fontId="156" fillId="2" borderId="0" xfId="0" quotePrefix="1" applyNumberFormat="1" applyFont="1" applyFill="1" applyBorder="1" applyAlignment="1" applyProtection="1">
      <alignment horizontal="center"/>
    </xf>
    <xf numFmtId="1" fontId="156" fillId="2" borderId="0" xfId="0" applyNumberFormat="1" applyFont="1" applyFill="1" applyBorder="1" applyAlignment="1" applyProtection="1">
      <alignment horizontal="center"/>
    </xf>
    <xf numFmtId="0" fontId="31" fillId="10" borderId="0" xfId="0" applyFont="1" applyFill="1" applyBorder="1" applyProtection="1"/>
    <xf numFmtId="0" fontId="32" fillId="10" borderId="0" xfId="0" applyFont="1" applyFill="1" applyBorder="1" applyProtection="1"/>
    <xf numFmtId="0" fontId="22" fillId="10" borderId="0" xfId="0" applyFont="1" applyFill="1" applyBorder="1" applyProtection="1"/>
    <xf numFmtId="0" fontId="34" fillId="10" borderId="0" xfId="0" applyFont="1" applyFill="1" applyBorder="1" applyProtection="1"/>
    <xf numFmtId="0" fontId="41" fillId="10" borderId="0" xfId="0" applyFont="1" applyFill="1" applyBorder="1" applyProtection="1"/>
    <xf numFmtId="165" fontId="16" fillId="10" borderId="0" xfId="3" applyNumberFormat="1" applyFont="1" applyFill="1" applyBorder="1" applyProtection="1"/>
    <xf numFmtId="165" fontId="22" fillId="10" borderId="0" xfId="3" applyNumberFormat="1" applyFont="1" applyFill="1" applyBorder="1" applyProtection="1"/>
    <xf numFmtId="172" fontId="6" fillId="10" borderId="0" xfId="0" applyNumberFormat="1" applyFont="1" applyFill="1" applyBorder="1" applyProtection="1"/>
    <xf numFmtId="16" fontId="132" fillId="2" borderId="0" xfId="0" applyNumberFormat="1" applyFont="1" applyFill="1" applyBorder="1" applyAlignment="1" applyProtection="1">
      <alignment horizontal="center"/>
    </xf>
    <xf numFmtId="0" fontId="17" fillId="10" borderId="0" xfId="0" applyFont="1" applyFill="1" applyBorder="1" applyProtection="1"/>
    <xf numFmtId="164" fontId="6" fillId="10" borderId="0" xfId="0" applyNumberFormat="1" applyFont="1" applyFill="1" applyBorder="1" applyProtection="1"/>
    <xf numFmtId="164" fontId="41" fillId="10" borderId="0" xfId="0" applyNumberFormat="1" applyFont="1" applyFill="1" applyBorder="1" applyProtection="1"/>
    <xf numFmtId="164" fontId="26" fillId="10" borderId="0" xfId="0" applyNumberFormat="1" applyFont="1" applyFill="1" applyBorder="1" applyProtection="1"/>
    <xf numFmtId="164" fontId="6" fillId="10" borderId="0" xfId="0" applyNumberFormat="1" applyFont="1" applyFill="1" applyBorder="1" applyAlignment="1" applyProtection="1">
      <alignment horizontal="center"/>
    </xf>
    <xf numFmtId="0" fontId="35" fillId="10" borderId="0" xfId="0" applyFont="1" applyFill="1" applyBorder="1" applyAlignment="1" applyProtection="1">
      <alignment horizontal="center"/>
    </xf>
    <xf numFmtId="164" fontId="17" fillId="10" borderId="0" xfId="0" applyNumberFormat="1" applyFont="1" applyFill="1" applyBorder="1" applyProtection="1"/>
    <xf numFmtId="164" fontId="7" fillId="10" borderId="0" xfId="0" applyNumberFormat="1" applyFont="1" applyFill="1" applyBorder="1" applyProtection="1"/>
    <xf numFmtId="0" fontId="1" fillId="10" borderId="0" xfId="0" applyFont="1" applyFill="1" applyBorder="1" applyProtection="1"/>
    <xf numFmtId="0" fontId="74" fillId="10" borderId="0" xfId="0" applyFont="1" applyFill="1" applyBorder="1" applyProtection="1"/>
    <xf numFmtId="0" fontId="145" fillId="10" borderId="0" xfId="0" applyFont="1" applyFill="1" applyBorder="1" applyProtection="1"/>
    <xf numFmtId="0" fontId="75" fillId="10" borderId="0" xfId="0" applyFont="1" applyFill="1" applyBorder="1" applyProtection="1"/>
    <xf numFmtId="0" fontId="1" fillId="10" borderId="0" xfId="0" applyFont="1" applyFill="1" applyBorder="1" applyAlignment="1" applyProtection="1">
      <alignment horizontal="center"/>
    </xf>
    <xf numFmtId="164" fontId="1" fillId="10" borderId="0" xfId="0" applyNumberFormat="1" applyFont="1" applyFill="1" applyBorder="1" applyProtection="1"/>
    <xf numFmtId="164" fontId="74" fillId="10" borderId="0" xfId="0" applyNumberFormat="1" applyFont="1" applyFill="1" applyBorder="1" applyProtection="1"/>
    <xf numFmtId="164" fontId="145" fillId="10" borderId="0" xfId="0" applyNumberFormat="1" applyFont="1" applyFill="1" applyBorder="1" applyProtection="1"/>
    <xf numFmtId="164" fontId="75" fillId="10" borderId="0" xfId="0" applyNumberFormat="1" applyFont="1" applyFill="1" applyBorder="1" applyProtection="1"/>
    <xf numFmtId="0" fontId="17" fillId="8" borderId="0" xfId="0" applyFont="1" applyFill="1" applyBorder="1" applyAlignment="1" applyProtection="1"/>
    <xf numFmtId="186" fontId="17" fillId="8" borderId="0" xfId="0" applyNumberFormat="1" applyFont="1" applyFill="1" applyBorder="1" applyAlignment="1" applyProtection="1">
      <alignment horizontal="center"/>
    </xf>
    <xf numFmtId="0" fontId="12" fillId="8" borderId="7" xfId="0" applyFont="1" applyFill="1" applyBorder="1" applyProtection="1"/>
    <xf numFmtId="0" fontId="12" fillId="8" borderId="7" xfId="0" applyFont="1" applyFill="1" applyBorder="1" applyAlignment="1" applyProtection="1">
      <alignment horizontal="center"/>
    </xf>
    <xf numFmtId="164" fontId="44" fillId="8" borderId="7" xfId="0" applyNumberFormat="1" applyFont="1" applyFill="1" applyBorder="1" applyAlignment="1" applyProtection="1">
      <alignment horizontal="center"/>
    </xf>
    <xf numFmtId="0" fontId="6" fillId="8" borderId="45" xfId="0" applyFont="1" applyFill="1" applyBorder="1" applyProtection="1"/>
    <xf numFmtId="0" fontId="12" fillId="8" borderId="45" xfId="0" applyFont="1" applyFill="1" applyBorder="1" applyProtection="1"/>
    <xf numFmtId="0" fontId="12" fillId="8" borderId="45" xfId="0" applyFont="1" applyFill="1" applyBorder="1" applyAlignment="1" applyProtection="1">
      <alignment horizontal="center"/>
    </xf>
    <xf numFmtId="164" fontId="44" fillId="8" borderId="45" xfId="0" applyNumberFormat="1" applyFont="1" applyFill="1" applyBorder="1" applyAlignment="1" applyProtection="1">
      <alignment horizontal="center"/>
    </xf>
    <xf numFmtId="190" fontId="82" fillId="0" borderId="0" xfId="3" applyNumberFormat="1" applyFont="1" applyAlignment="1" applyProtection="1">
      <alignment horizontal="left"/>
    </xf>
    <xf numFmtId="190" fontId="82" fillId="0" borderId="0" xfId="3" applyNumberFormat="1" applyFont="1" applyFill="1" applyAlignment="1" applyProtection="1">
      <alignment horizontal="left"/>
    </xf>
    <xf numFmtId="183" fontId="106" fillId="0" borderId="0" xfId="0" applyNumberFormat="1" applyFont="1" applyProtection="1"/>
    <xf numFmtId="165" fontId="149" fillId="0" borderId="0" xfId="0" applyNumberFormat="1" applyFont="1" applyFill="1" applyProtection="1"/>
    <xf numFmtId="0" fontId="135" fillId="0" borderId="0" xfId="0" applyFont="1" applyFill="1" applyBorder="1" applyAlignment="1" applyProtection="1">
      <alignment horizontal="left"/>
    </xf>
    <xf numFmtId="0" fontId="6" fillId="0" borderId="0" xfId="0" applyFont="1" applyFill="1" applyAlignment="1" applyProtection="1">
      <alignment horizontal="center"/>
    </xf>
    <xf numFmtId="0" fontId="12" fillId="2" borderId="22" xfId="0" applyFont="1" applyFill="1" applyBorder="1" applyAlignment="1" applyProtection="1">
      <alignment horizontal="center"/>
    </xf>
    <xf numFmtId="0" fontId="45" fillId="10" borderId="45" xfId="0" applyFont="1" applyFill="1" applyBorder="1" applyAlignment="1" applyProtection="1">
      <alignment horizontal="center"/>
    </xf>
    <xf numFmtId="0" fontId="6" fillId="2" borderId="45" xfId="0" applyFont="1" applyFill="1" applyBorder="1" applyAlignment="1" applyProtection="1"/>
    <xf numFmtId="167" fontId="6" fillId="0" borderId="0" xfId="0" applyNumberFormat="1" applyFont="1" applyFill="1" applyAlignment="1" applyProtection="1">
      <alignment horizontal="right"/>
    </xf>
    <xf numFmtId="0" fontId="6" fillId="0" borderId="0" xfId="0" applyFont="1" applyFill="1" applyBorder="1" applyAlignment="1" applyProtection="1">
      <alignment horizontal="center"/>
    </xf>
    <xf numFmtId="191" fontId="6" fillId="0" borderId="0" xfId="0" applyNumberFormat="1" applyFont="1" applyFill="1" applyBorder="1" applyAlignment="1" applyProtection="1">
      <alignment horizontal="center"/>
    </xf>
    <xf numFmtId="165" fontId="82" fillId="0" borderId="0" xfId="0" applyNumberFormat="1" applyFont="1" applyAlignment="1" applyProtection="1">
      <alignment horizontal="left"/>
    </xf>
    <xf numFmtId="0" fontId="6" fillId="0" borderId="0" xfId="0" applyFont="1" applyFill="1" applyBorder="1" applyAlignment="1" applyProtection="1">
      <alignment horizontal="left" indent="1"/>
    </xf>
    <xf numFmtId="192" fontId="6" fillId="0" borderId="0" xfId="0" applyNumberFormat="1" applyFont="1" applyFill="1" applyBorder="1" applyAlignment="1" applyProtection="1">
      <alignment horizontal="right"/>
    </xf>
    <xf numFmtId="165" fontId="6" fillId="0" borderId="0" xfId="0" applyNumberFormat="1" applyFont="1" applyAlignment="1" applyProtection="1">
      <alignment horizontal="left"/>
    </xf>
    <xf numFmtId="0" fontId="162" fillId="2" borderId="0" xfId="0" applyFont="1" applyFill="1" applyBorder="1" applyAlignment="1" applyProtection="1">
      <alignment horizontal="center"/>
    </xf>
    <xf numFmtId="0" fontId="162" fillId="2" borderId="0" xfId="0" applyFont="1" applyFill="1" applyBorder="1" applyAlignment="1" applyProtection="1">
      <alignment horizontal="left"/>
    </xf>
    <xf numFmtId="49" fontId="7" fillId="0" borderId="0" xfId="0" applyNumberFormat="1" applyFont="1" applyFill="1" applyBorder="1" applyAlignment="1" applyProtection="1">
      <alignment horizontal="left"/>
    </xf>
    <xf numFmtId="49" fontId="7" fillId="0" borderId="0" xfId="0" applyNumberFormat="1" applyFont="1" applyAlignment="1" applyProtection="1">
      <alignment horizontal="left"/>
    </xf>
    <xf numFmtId="0" fontId="12" fillId="3" borderId="0" xfId="0" applyFont="1" applyFill="1" applyBorder="1" applyAlignment="1">
      <alignment horizontal="left"/>
    </xf>
    <xf numFmtId="44" fontId="111" fillId="0" borderId="0" xfId="0" applyNumberFormat="1" applyFont="1" applyFill="1" applyProtection="1"/>
    <xf numFmtId="193" fontId="147" fillId="0" borderId="0" xfId="0" applyNumberFormat="1" applyFont="1"/>
    <xf numFmtId="49" fontId="82" fillId="0" borderId="0" xfId="0" applyNumberFormat="1" applyFont="1" applyAlignment="1" applyProtection="1">
      <alignment horizontal="center"/>
    </xf>
    <xf numFmtId="0" fontId="18" fillId="8" borderId="0" xfId="0" applyFont="1" applyFill="1" applyProtection="1"/>
    <xf numFmtId="0" fontId="149" fillId="10" borderId="26" xfId="0" applyFont="1" applyFill="1" applyBorder="1" applyProtection="1"/>
    <xf numFmtId="0" fontId="133" fillId="10" borderId="26" xfId="0" applyFont="1" applyFill="1" applyBorder="1" applyAlignment="1" applyProtection="1"/>
    <xf numFmtId="0" fontId="93" fillId="10" borderId="26" xfId="0" applyFont="1" applyFill="1" applyBorder="1" applyProtection="1"/>
    <xf numFmtId="0" fontId="149" fillId="10" borderId="26" xfId="0" applyFont="1" applyFill="1" applyBorder="1" applyAlignment="1" applyProtection="1"/>
    <xf numFmtId="9" fontId="6" fillId="11" borderId="0" xfId="0" applyNumberFormat="1" applyFont="1" applyFill="1" applyBorder="1" applyAlignment="1" applyProtection="1">
      <alignment horizontal="center"/>
    </xf>
    <xf numFmtId="2" fontId="6" fillId="11" borderId="0" xfId="0" applyNumberFormat="1" applyFont="1" applyFill="1" applyBorder="1" applyAlignment="1" applyProtection="1">
      <alignment horizontal="center"/>
    </xf>
    <xf numFmtId="0" fontId="133" fillId="10" borderId="0" xfId="0" applyFont="1" applyFill="1" applyBorder="1" applyAlignment="1" applyProtection="1"/>
    <xf numFmtId="0" fontId="93" fillId="10" borderId="0" xfId="0" applyFont="1" applyFill="1" applyBorder="1" applyProtection="1"/>
    <xf numFmtId="0" fontId="149" fillId="10" borderId="0" xfId="0" applyFont="1" applyFill="1" applyBorder="1" applyAlignment="1" applyProtection="1"/>
    <xf numFmtId="0" fontId="149" fillId="10" borderId="0" xfId="0" applyNumberFormat="1" applyFont="1" applyFill="1" applyBorder="1" applyAlignment="1" applyProtection="1"/>
    <xf numFmtId="0" fontId="14" fillId="10" borderId="48" xfId="0" applyFont="1" applyFill="1" applyBorder="1" applyProtection="1"/>
    <xf numFmtId="0" fontId="149" fillId="10" borderId="49" xfId="0" applyFont="1" applyFill="1" applyBorder="1" applyAlignment="1" applyProtection="1"/>
    <xf numFmtId="0" fontId="6" fillId="10" borderId="49" xfId="0" applyFont="1" applyFill="1" applyBorder="1" applyProtection="1"/>
    <xf numFmtId="0" fontId="6" fillId="10" borderId="50" xfId="0" applyFont="1" applyFill="1" applyBorder="1" applyProtection="1"/>
    <xf numFmtId="0" fontId="134" fillId="10" borderId="26" xfId="0" applyFont="1" applyFill="1" applyBorder="1" applyProtection="1"/>
    <xf numFmtId="0" fontId="6" fillId="10" borderId="26" xfId="0" applyFont="1" applyFill="1" applyBorder="1" applyProtection="1"/>
    <xf numFmtId="0" fontId="93" fillId="10" borderId="0" xfId="0" applyFont="1" applyFill="1" applyProtection="1"/>
    <xf numFmtId="0" fontId="6" fillId="10" borderId="26" xfId="0" applyNumberFormat="1" applyFont="1" applyFill="1" applyBorder="1" applyAlignment="1" applyProtection="1">
      <alignment horizontal="left"/>
    </xf>
    <xf numFmtId="186" fontId="6" fillId="10" borderId="0" xfId="0" applyNumberFormat="1" applyFont="1" applyFill="1" applyBorder="1" applyAlignment="1" applyProtection="1"/>
    <xf numFmtId="0" fontId="132" fillId="10" borderId="0" xfId="0" applyFont="1" applyFill="1" applyBorder="1" applyAlignment="1" applyProtection="1"/>
    <xf numFmtId="0" fontId="132" fillId="10" borderId="0" xfId="3" applyNumberFormat="1" applyFont="1" applyFill="1" applyBorder="1" applyAlignment="1" applyProtection="1">
      <alignment horizontal="center"/>
    </xf>
    <xf numFmtId="2" fontId="6" fillId="10" borderId="0" xfId="0" applyNumberFormat="1" applyFont="1" applyFill="1" applyBorder="1" applyAlignment="1" applyProtection="1">
      <alignment horizontal="center"/>
    </xf>
    <xf numFmtId="0" fontId="6" fillId="10" borderId="0" xfId="0" applyNumberFormat="1" applyFont="1" applyFill="1" applyBorder="1" applyAlignment="1" applyProtection="1">
      <alignment horizontal="center"/>
    </xf>
    <xf numFmtId="0" fontId="132" fillId="10" borderId="0" xfId="0" applyFont="1" applyFill="1" applyBorder="1" applyAlignment="1" applyProtection="1">
      <alignment horizontal="left"/>
    </xf>
    <xf numFmtId="0" fontId="6" fillId="10" borderId="0" xfId="0" applyNumberFormat="1" applyFont="1" applyFill="1" applyBorder="1" applyAlignment="1" applyProtection="1">
      <alignment horizontal="left"/>
    </xf>
    <xf numFmtId="0" fontId="7" fillId="10" borderId="0" xfId="0" applyNumberFormat="1" applyFont="1" applyFill="1" applyBorder="1" applyAlignment="1" applyProtection="1">
      <alignment horizontal="left"/>
    </xf>
    <xf numFmtId="2" fontId="7" fillId="10" borderId="0" xfId="0" applyNumberFormat="1" applyFont="1" applyFill="1" applyBorder="1" applyAlignment="1" applyProtection="1">
      <alignment horizontal="center"/>
    </xf>
    <xf numFmtId="0" fontId="6" fillId="11" borderId="0" xfId="0" applyFont="1" applyFill="1" applyBorder="1" applyAlignment="1" applyProtection="1">
      <alignment horizontal="center"/>
    </xf>
    <xf numFmtId="1" fontId="132" fillId="10" borderId="0" xfId="0" applyNumberFormat="1" applyFont="1" applyFill="1" applyBorder="1" applyAlignment="1" applyProtection="1">
      <alignment horizontal="center"/>
    </xf>
    <xf numFmtId="2" fontId="94" fillId="10" borderId="0" xfId="0" applyNumberFormat="1" applyFont="1" applyFill="1" applyBorder="1" applyAlignment="1" applyProtection="1">
      <alignment horizontal="center"/>
    </xf>
    <xf numFmtId="42" fontId="6" fillId="11" borderId="0" xfId="0" applyNumberFormat="1" applyFont="1" applyFill="1" applyBorder="1" applyAlignment="1" applyProtection="1">
      <alignment horizontal="center"/>
    </xf>
    <xf numFmtId="1" fontId="6" fillId="11" borderId="0" xfId="0" applyNumberFormat="1" applyFont="1" applyFill="1" applyBorder="1" applyAlignment="1" applyProtection="1">
      <alignment horizontal="center"/>
    </xf>
    <xf numFmtId="186" fontId="7" fillId="10" borderId="0" xfId="0" applyNumberFormat="1" applyFont="1" applyFill="1" applyBorder="1" applyAlignment="1" applyProtection="1">
      <alignment horizontal="center"/>
    </xf>
    <xf numFmtId="0" fontId="130" fillId="10" borderId="0" xfId="0" applyFont="1" applyFill="1" applyBorder="1" applyAlignment="1" applyProtection="1">
      <alignment horizontal="left"/>
    </xf>
    <xf numFmtId="186" fontId="130" fillId="10" borderId="0" xfId="0" applyNumberFormat="1" applyFont="1" applyFill="1" applyBorder="1" applyAlignment="1" applyProtection="1">
      <alignment horizontal="center"/>
    </xf>
    <xf numFmtId="186" fontId="16" fillId="10" borderId="0" xfId="0" applyNumberFormat="1" applyFont="1" applyFill="1" applyBorder="1" applyAlignment="1" applyProtection="1">
      <alignment horizontal="center"/>
    </xf>
    <xf numFmtId="9" fontId="6" fillId="10" borderId="0" xfId="0" applyNumberFormat="1" applyFont="1" applyFill="1" applyBorder="1" applyAlignment="1" applyProtection="1">
      <alignment horizontal="center"/>
    </xf>
    <xf numFmtId="0" fontId="16" fillId="10" borderId="0" xfId="0" applyFont="1" applyFill="1" applyBorder="1" applyAlignment="1" applyProtection="1"/>
    <xf numFmtId="186" fontId="14" fillId="10" borderId="0" xfId="0" applyNumberFormat="1" applyFont="1" applyFill="1" applyBorder="1" applyAlignment="1" applyProtection="1">
      <alignment horizontal="center"/>
    </xf>
    <xf numFmtId="187" fontId="6" fillId="10" borderId="0" xfId="0" applyNumberFormat="1" applyFont="1" applyFill="1" applyBorder="1" applyProtection="1"/>
    <xf numFmtId="0" fontId="6" fillId="10" borderId="0" xfId="0" applyNumberFormat="1" applyFont="1" applyFill="1" applyBorder="1" applyAlignment="1" applyProtection="1"/>
    <xf numFmtId="188" fontId="7" fillId="10" borderId="0" xfId="0" applyNumberFormat="1" applyFont="1" applyFill="1" applyBorder="1" applyAlignment="1" applyProtection="1">
      <alignment horizontal="center"/>
    </xf>
    <xf numFmtId="10" fontId="7" fillId="10" borderId="0" xfId="0" applyNumberFormat="1" applyFont="1" applyFill="1" applyBorder="1" applyAlignment="1" applyProtection="1">
      <alignment horizontal="center"/>
    </xf>
    <xf numFmtId="0" fontId="16" fillId="10" borderId="0" xfId="0" applyNumberFormat="1" applyFont="1" applyFill="1" applyBorder="1" applyAlignment="1" applyProtection="1"/>
    <xf numFmtId="187" fontId="6" fillId="10" borderId="0" xfId="0" applyNumberFormat="1" applyFont="1" applyFill="1" applyBorder="1" applyAlignment="1" applyProtection="1">
      <alignment horizontal="center"/>
    </xf>
    <xf numFmtId="186" fontId="16" fillId="10" borderId="0" xfId="0" applyNumberFormat="1" applyFont="1" applyFill="1" applyBorder="1" applyAlignment="1" applyProtection="1"/>
    <xf numFmtId="186" fontId="131" fillId="10" borderId="0" xfId="0" applyNumberFormat="1" applyFont="1" applyFill="1" applyBorder="1" applyAlignment="1" applyProtection="1">
      <alignment horizontal="center"/>
    </xf>
    <xf numFmtId="9" fontId="7" fillId="10" borderId="0" xfId="2" applyFont="1" applyFill="1" applyBorder="1" applyAlignment="1" applyProtection="1">
      <alignment horizontal="center"/>
    </xf>
    <xf numFmtId="2" fontId="6" fillId="10" borderId="0" xfId="0" applyNumberFormat="1" applyFont="1" applyFill="1" applyBorder="1" applyProtection="1"/>
    <xf numFmtId="0" fontId="6" fillId="8" borderId="7" xfId="0" applyFont="1" applyFill="1" applyBorder="1" applyAlignment="1" applyProtection="1"/>
    <xf numFmtId="186" fontId="6" fillId="8" borderId="7" xfId="0" applyNumberFormat="1" applyFont="1" applyFill="1" applyBorder="1" applyAlignment="1" applyProtection="1">
      <alignment horizontal="center"/>
    </xf>
    <xf numFmtId="186" fontId="6" fillId="8" borderId="7" xfId="0" applyNumberFormat="1" applyFont="1" applyFill="1" applyBorder="1" applyProtection="1"/>
    <xf numFmtId="0" fontId="12" fillId="10" borderId="26" xfId="0" applyFont="1" applyFill="1" applyBorder="1" applyProtection="1"/>
    <xf numFmtId="0" fontId="13" fillId="10" borderId="26" xfId="0" applyFont="1" applyFill="1" applyBorder="1" applyProtection="1"/>
    <xf numFmtId="0" fontId="12" fillId="10" borderId="26" xfId="0" applyFont="1" applyFill="1" applyBorder="1" applyAlignment="1" applyProtection="1">
      <alignment horizontal="center"/>
    </xf>
    <xf numFmtId="0" fontId="12" fillId="10" borderId="26" xfId="0" applyFont="1" applyFill="1" applyBorder="1" applyAlignment="1" applyProtection="1">
      <alignment horizontal="left"/>
    </xf>
    <xf numFmtId="49" fontId="12" fillId="10" borderId="26" xfId="0" applyNumberFormat="1" applyFont="1" applyFill="1" applyBorder="1" applyAlignment="1" applyProtection="1">
      <alignment horizontal="center"/>
    </xf>
    <xf numFmtId="0" fontId="12" fillId="10" borderId="51" xfId="0" applyFont="1" applyFill="1" applyBorder="1" applyProtection="1"/>
    <xf numFmtId="49" fontId="12" fillId="10" borderId="50" xfId="0" applyNumberFormat="1" applyFont="1" applyFill="1" applyBorder="1" applyProtection="1"/>
    <xf numFmtId="0" fontId="12" fillId="10" borderId="52" xfId="0" applyFont="1" applyFill="1" applyBorder="1" applyAlignment="1" applyProtection="1">
      <alignment horizontal="center"/>
    </xf>
    <xf numFmtId="0" fontId="12" fillId="10" borderId="49" xfId="0" applyFont="1" applyFill="1" applyBorder="1" applyProtection="1"/>
    <xf numFmtId="0" fontId="6" fillId="8" borderId="0" xfId="0" applyNumberFormat="1" applyFont="1" applyFill="1" applyBorder="1" applyProtection="1">
      <protection locked="0"/>
    </xf>
    <xf numFmtId="49" fontId="12" fillId="8" borderId="0" xfId="0" applyNumberFormat="1" applyFont="1" applyFill="1" applyBorder="1" applyProtection="1">
      <protection locked="0"/>
    </xf>
    <xf numFmtId="49" fontId="12" fillId="10" borderId="0" xfId="0" applyNumberFormat="1" applyFont="1" applyFill="1" applyBorder="1" applyProtection="1"/>
    <xf numFmtId="0" fontId="133" fillId="10" borderId="26" xfId="0" applyFont="1" applyFill="1" applyBorder="1" applyProtection="1"/>
    <xf numFmtId="0" fontId="6" fillId="10" borderId="26" xfId="0" applyFont="1" applyFill="1" applyBorder="1" applyAlignment="1" applyProtection="1">
      <alignment horizontal="center"/>
      <protection locked="0"/>
    </xf>
    <xf numFmtId="0" fontId="12" fillId="10" borderId="26" xfId="0" applyFont="1" applyFill="1" applyBorder="1" applyProtection="1">
      <protection locked="0"/>
    </xf>
    <xf numFmtId="0" fontId="93" fillId="10" borderId="26" xfId="0" applyFont="1" applyFill="1" applyBorder="1" applyAlignment="1" applyProtection="1">
      <alignment horizontal="center"/>
      <protection locked="0"/>
    </xf>
    <xf numFmtId="0" fontId="14" fillId="10" borderId="26" xfId="0" applyFont="1" applyFill="1" applyBorder="1" applyProtection="1"/>
    <xf numFmtId="0" fontId="14" fillId="10" borderId="26" xfId="0" applyFont="1" applyFill="1" applyBorder="1" applyAlignment="1" applyProtection="1">
      <alignment horizontal="center"/>
    </xf>
    <xf numFmtId="0" fontId="7" fillId="10" borderId="26" xfId="0" applyFont="1" applyFill="1" applyBorder="1" applyAlignment="1" applyProtection="1">
      <alignment horizontal="center"/>
    </xf>
    <xf numFmtId="0" fontId="16" fillId="10" borderId="26" xfId="0" applyFont="1" applyFill="1" applyBorder="1" applyProtection="1"/>
    <xf numFmtId="1" fontId="12" fillId="10" borderId="26" xfId="0" applyNumberFormat="1" applyFont="1" applyFill="1" applyBorder="1" applyAlignment="1" applyProtection="1">
      <alignment horizontal="center"/>
    </xf>
    <xf numFmtId="0" fontId="45" fillId="10" borderId="26" xfId="0" applyFont="1" applyFill="1" applyBorder="1" applyProtection="1"/>
    <xf numFmtId="0" fontId="45" fillId="10" borderId="26" xfId="0" applyFont="1" applyFill="1" applyBorder="1" applyAlignment="1" applyProtection="1">
      <alignment horizontal="center"/>
    </xf>
    <xf numFmtId="179" fontId="12" fillId="10" borderId="26" xfId="0" applyNumberFormat="1" applyFont="1" applyFill="1" applyBorder="1" applyAlignment="1" applyProtection="1">
      <alignment horizontal="center"/>
    </xf>
    <xf numFmtId="49" fontId="132" fillId="10" borderId="26" xfId="0" applyNumberFormat="1" applyFont="1" applyFill="1" applyBorder="1" applyAlignment="1" applyProtection="1">
      <alignment horizontal="center"/>
    </xf>
    <xf numFmtId="0" fontId="12" fillId="10" borderId="26" xfId="0" applyFont="1" applyFill="1" applyBorder="1" applyAlignment="1" applyProtection="1">
      <alignment horizontal="center"/>
      <protection locked="0"/>
    </xf>
    <xf numFmtId="2" fontId="12" fillId="10" borderId="26" xfId="0" applyNumberFormat="1" applyFont="1" applyFill="1" applyBorder="1" applyAlignment="1" applyProtection="1">
      <alignment horizontal="center"/>
      <protection locked="0"/>
    </xf>
    <xf numFmtId="10" fontId="6" fillId="10" borderId="26" xfId="0" applyNumberFormat="1" applyFont="1" applyFill="1" applyBorder="1" applyAlignment="1" applyProtection="1">
      <alignment horizontal="center"/>
    </xf>
    <xf numFmtId="0" fontId="6" fillId="8" borderId="26" xfId="0" applyFont="1" applyFill="1" applyBorder="1" applyAlignment="1" applyProtection="1">
      <alignment horizontal="center"/>
      <protection locked="0"/>
    </xf>
    <xf numFmtId="0" fontId="14" fillId="15" borderId="26" xfId="0" applyFont="1" applyFill="1" applyBorder="1" applyAlignment="1" applyProtection="1">
      <alignment horizontal="center"/>
    </xf>
    <xf numFmtId="0" fontId="7" fillId="15" borderId="26" xfId="0" applyFont="1" applyFill="1" applyBorder="1" applyAlignment="1" applyProtection="1">
      <alignment horizontal="center"/>
    </xf>
    <xf numFmtId="0" fontId="36" fillId="8" borderId="26" xfId="0" applyFont="1" applyFill="1" applyBorder="1" applyAlignment="1" applyProtection="1">
      <alignment horizontal="center"/>
      <protection locked="0"/>
    </xf>
    <xf numFmtId="0" fontId="12" fillId="10" borderId="52" xfId="0" applyFont="1" applyFill="1" applyBorder="1" applyProtection="1"/>
    <xf numFmtId="0" fontId="12" fillId="8" borderId="26" xfId="0" applyFont="1" applyFill="1" applyBorder="1" applyAlignment="1" applyProtection="1">
      <alignment horizontal="center"/>
      <protection locked="0"/>
    </xf>
    <xf numFmtId="2" fontId="12" fillId="8" borderId="26" xfId="0" applyNumberFormat="1" applyFont="1" applyFill="1" applyBorder="1" applyAlignment="1" applyProtection="1">
      <alignment horizontal="center"/>
      <protection locked="0"/>
    </xf>
    <xf numFmtId="10" fontId="6" fillId="12" borderId="26" xfId="0" applyNumberFormat="1" applyFont="1" applyFill="1" applyBorder="1" applyAlignment="1" applyProtection="1">
      <alignment horizontal="center"/>
    </xf>
    <xf numFmtId="10" fontId="6" fillId="12" borderId="26" xfId="0" applyNumberFormat="1" applyFont="1" applyFill="1" applyBorder="1" applyAlignment="1" applyProtection="1">
      <alignment horizontal="center"/>
      <protection locked="0"/>
    </xf>
    <xf numFmtId="10" fontId="6" fillId="8" borderId="26" xfId="0" applyNumberFormat="1" applyFont="1" applyFill="1" applyBorder="1" applyAlignment="1" applyProtection="1">
      <alignment horizontal="center"/>
      <protection locked="0"/>
    </xf>
    <xf numFmtId="0" fontId="7" fillId="10" borderId="26" xfId="0" applyFont="1" applyFill="1" applyBorder="1" applyProtection="1"/>
    <xf numFmtId="0" fontId="6" fillId="10" borderId="26" xfId="0" applyFont="1" applyFill="1" applyBorder="1" applyAlignment="1" applyProtection="1">
      <alignment horizontal="center"/>
    </xf>
    <xf numFmtId="0" fontId="78" fillId="10" borderId="26" xfId="0" applyFont="1" applyFill="1" applyBorder="1" applyAlignment="1" applyProtection="1">
      <alignment horizontal="left"/>
    </xf>
    <xf numFmtId="0" fontId="130" fillId="10" borderId="26" xfId="0" applyFont="1" applyFill="1" applyBorder="1" applyAlignment="1" applyProtection="1">
      <alignment horizontal="center"/>
    </xf>
    <xf numFmtId="0" fontId="6" fillId="10" borderId="26" xfId="0" applyFont="1" applyFill="1" applyBorder="1" applyAlignment="1" applyProtection="1">
      <alignment horizontal="left"/>
    </xf>
    <xf numFmtId="49" fontId="6" fillId="10" borderId="26" xfId="0" applyNumberFormat="1" applyFont="1" applyFill="1" applyBorder="1" applyProtection="1"/>
    <xf numFmtId="49" fontId="6" fillId="10" borderId="26" xfId="0" applyNumberFormat="1" applyFont="1" applyFill="1" applyBorder="1" applyAlignment="1" applyProtection="1">
      <alignment horizontal="center"/>
    </xf>
    <xf numFmtId="0" fontId="130" fillId="10" borderId="26" xfId="0" applyFont="1" applyFill="1" applyBorder="1" applyAlignment="1" applyProtection="1">
      <alignment horizontal="right"/>
    </xf>
    <xf numFmtId="0" fontId="131" fillId="10" borderId="26" xfId="0" applyFont="1" applyFill="1" applyBorder="1" applyProtection="1"/>
    <xf numFmtId="0" fontId="43" fillId="10" borderId="26" xfId="0" applyFont="1" applyFill="1" applyBorder="1" applyAlignment="1" applyProtection="1">
      <alignment horizontal="center"/>
    </xf>
    <xf numFmtId="0" fontId="6" fillId="10" borderId="26" xfId="0" applyFont="1" applyFill="1" applyBorder="1" applyAlignment="1" applyProtection="1">
      <alignment horizontal="right"/>
    </xf>
    <xf numFmtId="0" fontId="16" fillId="10" borderId="26" xfId="0" applyFont="1" applyFill="1" applyBorder="1" applyAlignment="1" applyProtection="1">
      <alignment horizontal="left"/>
    </xf>
    <xf numFmtId="0" fontId="16" fillId="10" borderId="26" xfId="0" applyFont="1" applyFill="1" applyBorder="1" applyAlignment="1" applyProtection="1">
      <alignment horizontal="center"/>
    </xf>
    <xf numFmtId="0" fontId="7" fillId="10" borderId="26" xfId="0" applyFont="1" applyFill="1" applyBorder="1" applyAlignment="1" applyProtection="1">
      <alignment horizontal="left"/>
    </xf>
    <xf numFmtId="3" fontId="7" fillId="10" borderId="26" xfId="0" applyNumberFormat="1" applyFont="1" applyFill="1" applyBorder="1" applyAlignment="1" applyProtection="1">
      <alignment horizontal="center"/>
    </xf>
    <xf numFmtId="185" fontId="6" fillId="10" borderId="26" xfId="0" applyNumberFormat="1" applyFont="1" applyFill="1" applyBorder="1" applyAlignment="1" applyProtection="1">
      <alignment horizontal="center"/>
    </xf>
    <xf numFmtId="0" fontId="95" fillId="10" borderId="26" xfId="0" applyFont="1" applyFill="1" applyBorder="1" applyProtection="1"/>
    <xf numFmtId="0" fontId="14" fillId="10" borderId="26" xfId="0" applyFont="1" applyFill="1" applyBorder="1" applyAlignment="1" applyProtection="1">
      <alignment horizontal="left"/>
    </xf>
    <xf numFmtId="0" fontId="6" fillId="10" borderId="26" xfId="0" applyFont="1" applyFill="1" applyBorder="1" applyProtection="1">
      <protection locked="0"/>
    </xf>
    <xf numFmtId="2" fontId="6" fillId="10" borderId="26" xfId="0" applyNumberFormat="1" applyFont="1" applyFill="1" applyBorder="1" applyAlignment="1" applyProtection="1">
      <alignment horizontal="center"/>
      <protection locked="0"/>
    </xf>
    <xf numFmtId="175" fontId="6" fillId="10" borderId="26" xfId="0" applyNumberFormat="1" applyFont="1" applyFill="1" applyBorder="1" applyAlignment="1" applyProtection="1">
      <alignment horizontal="center"/>
    </xf>
    <xf numFmtId="0" fontId="6" fillId="10" borderId="52" xfId="0" applyFont="1" applyFill="1" applyBorder="1" applyProtection="1"/>
    <xf numFmtId="0" fontId="12" fillId="10" borderId="52" xfId="0" applyFont="1" applyFill="1" applyBorder="1" applyAlignment="1" applyProtection="1">
      <alignment horizontal="left"/>
    </xf>
    <xf numFmtId="0" fontId="6" fillId="10" borderId="52" xfId="0" applyFont="1" applyFill="1" applyBorder="1" applyAlignment="1" applyProtection="1">
      <alignment horizontal="center"/>
    </xf>
    <xf numFmtId="165" fontId="6" fillId="10" borderId="52" xfId="3" applyNumberFormat="1" applyFont="1" applyFill="1" applyBorder="1" applyProtection="1">
      <protection locked="0"/>
    </xf>
    <xf numFmtId="49" fontId="6" fillId="10" borderId="52" xfId="0" applyNumberFormat="1" applyFont="1" applyFill="1" applyBorder="1" applyProtection="1"/>
    <xf numFmtId="49" fontId="6" fillId="10" borderId="52" xfId="0" applyNumberFormat="1" applyFont="1" applyFill="1" applyBorder="1" applyAlignment="1" applyProtection="1">
      <alignment horizontal="center"/>
    </xf>
    <xf numFmtId="0" fontId="6" fillId="10" borderId="49" xfId="0" applyFont="1" applyFill="1" applyBorder="1" applyAlignment="1" applyProtection="1">
      <alignment horizontal="center"/>
    </xf>
    <xf numFmtId="0" fontId="7" fillId="8" borderId="0" xfId="0" applyFont="1" applyFill="1" applyBorder="1" applyAlignment="1" applyProtection="1">
      <alignment horizontal="center"/>
    </xf>
    <xf numFmtId="0" fontId="130" fillId="8" borderId="0" xfId="0" applyFont="1" applyFill="1" applyBorder="1" applyAlignment="1" applyProtection="1">
      <alignment horizontal="right"/>
    </xf>
    <xf numFmtId="0" fontId="130" fillId="8" borderId="0" xfId="0" applyFont="1" applyFill="1" applyBorder="1" applyAlignment="1" applyProtection="1">
      <alignment horizontal="center"/>
    </xf>
    <xf numFmtId="0" fontId="131" fillId="8" borderId="0" xfId="0" applyFont="1" applyFill="1" applyBorder="1" applyProtection="1"/>
    <xf numFmtId="49" fontId="132" fillId="8" borderId="0" xfId="0" applyNumberFormat="1" applyFont="1" applyFill="1" applyBorder="1" applyAlignment="1" applyProtection="1">
      <alignment horizontal="center"/>
    </xf>
    <xf numFmtId="0" fontId="132" fillId="8" borderId="0" xfId="0" applyNumberFormat="1" applyFont="1" applyFill="1" applyBorder="1" applyAlignment="1" applyProtection="1">
      <alignment horizontal="center"/>
    </xf>
    <xf numFmtId="0" fontId="6" fillId="11" borderId="26" xfId="0" applyFont="1" applyFill="1" applyBorder="1" applyAlignment="1" applyProtection="1">
      <alignment horizontal="center"/>
    </xf>
    <xf numFmtId="0" fontId="6" fillId="15" borderId="26" xfId="0" applyFont="1" applyFill="1" applyBorder="1" applyAlignment="1" applyProtection="1">
      <alignment horizontal="center"/>
    </xf>
    <xf numFmtId="0" fontId="16" fillId="15" borderId="26" xfId="0" applyFont="1" applyFill="1" applyBorder="1" applyAlignment="1" applyProtection="1">
      <alignment horizontal="center"/>
    </xf>
    <xf numFmtId="3" fontId="7" fillId="15" borderId="26" xfId="0" applyNumberFormat="1" applyFont="1" applyFill="1" applyBorder="1" applyAlignment="1" applyProtection="1">
      <alignment horizontal="center"/>
    </xf>
    <xf numFmtId="185" fontId="6" fillId="11" borderId="26" xfId="0" applyNumberFormat="1" applyFont="1" applyFill="1" applyBorder="1" applyAlignment="1" applyProtection="1">
      <alignment horizontal="center"/>
    </xf>
    <xf numFmtId="185" fontId="6" fillId="8" borderId="26" xfId="0" applyNumberFormat="1" applyFont="1" applyFill="1" applyBorder="1" applyAlignment="1" applyProtection="1">
      <alignment horizontal="center"/>
      <protection locked="0"/>
    </xf>
    <xf numFmtId="49" fontId="134" fillId="8" borderId="0" xfId="0" applyNumberFormat="1" applyFont="1" applyFill="1" applyBorder="1" applyAlignment="1" applyProtection="1">
      <alignment horizontal="center"/>
    </xf>
    <xf numFmtId="0" fontId="6" fillId="8" borderId="26" xfId="0" applyFont="1" applyFill="1" applyBorder="1" applyProtection="1">
      <protection locked="0"/>
    </xf>
    <xf numFmtId="2" fontId="6" fillId="8" borderId="26" xfId="0" applyNumberFormat="1" applyFont="1" applyFill="1" applyBorder="1" applyAlignment="1" applyProtection="1">
      <alignment horizontal="center"/>
      <protection locked="0"/>
    </xf>
    <xf numFmtId="3" fontId="14" fillId="10" borderId="26" xfId="0" applyNumberFormat="1" applyFont="1" applyFill="1" applyBorder="1" applyAlignment="1" applyProtection="1">
      <alignment horizontal="center"/>
    </xf>
    <xf numFmtId="3" fontId="14" fillId="15" borderId="26" xfId="0" applyNumberFormat="1" applyFont="1" applyFill="1" applyBorder="1" applyAlignment="1" applyProtection="1">
      <alignment horizontal="center"/>
    </xf>
    <xf numFmtId="0" fontId="6" fillId="10" borderId="26" xfId="0" applyFont="1" applyFill="1" applyBorder="1" applyAlignment="1" applyProtection="1"/>
    <xf numFmtId="0" fontId="40" fillId="10" borderId="26" xfId="0" applyFont="1" applyFill="1" applyBorder="1" applyAlignment="1" applyProtection="1">
      <alignment horizontal="center"/>
    </xf>
    <xf numFmtId="0" fontId="130" fillId="10" borderId="26" xfId="0" applyFont="1" applyFill="1" applyBorder="1" applyProtection="1"/>
    <xf numFmtId="0" fontId="99" fillId="10" borderId="26" xfId="0" applyFont="1" applyFill="1" applyBorder="1" applyAlignment="1" applyProtection="1">
      <alignment horizontal="center"/>
    </xf>
    <xf numFmtId="0" fontId="6" fillId="2" borderId="26" xfId="0" applyFont="1" applyFill="1" applyBorder="1" applyAlignment="1" applyProtection="1">
      <alignment horizontal="center"/>
      <protection locked="0"/>
    </xf>
    <xf numFmtId="167" fontId="6" fillId="11" borderId="26" xfId="0" applyNumberFormat="1" applyFont="1" applyFill="1" applyBorder="1" applyAlignment="1" applyProtection="1">
      <alignment horizontal="center"/>
    </xf>
    <xf numFmtId="167" fontId="97" fillId="10" borderId="26" xfId="0" applyNumberFormat="1" applyFont="1" applyFill="1" applyBorder="1" applyAlignment="1" applyProtection="1">
      <alignment horizontal="center"/>
    </xf>
    <xf numFmtId="0" fontId="7" fillId="12" borderId="26" xfId="0" applyFont="1" applyFill="1" applyBorder="1" applyAlignment="1" applyProtection="1">
      <alignment horizontal="center"/>
    </xf>
    <xf numFmtId="167" fontId="7" fillId="10" borderId="26" xfId="0" applyNumberFormat="1" applyFont="1" applyFill="1" applyBorder="1" applyAlignment="1" applyProtection="1">
      <alignment horizontal="center"/>
    </xf>
    <xf numFmtId="167" fontId="7" fillId="12" borderId="26" xfId="0" applyNumberFormat="1" applyFont="1" applyFill="1" applyBorder="1" applyAlignment="1" applyProtection="1">
      <alignment horizontal="center"/>
    </xf>
    <xf numFmtId="167" fontId="100" fillId="10" borderId="26" xfId="0" applyNumberFormat="1" applyFont="1" applyFill="1" applyBorder="1" applyAlignment="1" applyProtection="1">
      <alignment horizontal="center"/>
    </xf>
    <xf numFmtId="0" fontId="97" fillId="10" borderId="26" xfId="0" applyFont="1" applyFill="1" applyBorder="1" applyAlignment="1" applyProtection="1">
      <alignment horizontal="center"/>
    </xf>
    <xf numFmtId="0" fontId="41" fillId="10" borderId="26" xfId="0" applyFont="1" applyFill="1" applyBorder="1" applyProtection="1"/>
    <xf numFmtId="167" fontId="6" fillId="10" borderId="26" xfId="0" applyNumberFormat="1" applyFont="1" applyFill="1" applyBorder="1" applyAlignment="1" applyProtection="1">
      <alignment horizontal="center"/>
    </xf>
    <xf numFmtId="167" fontId="7" fillId="12" borderId="26" xfId="0" applyNumberFormat="1" applyFont="1" applyFill="1" applyBorder="1" applyAlignment="1" applyProtection="1">
      <alignment horizontal="left"/>
    </xf>
    <xf numFmtId="167" fontId="35" fillId="10" borderId="26" xfId="0" applyNumberFormat="1" applyFont="1" applyFill="1" applyBorder="1" applyAlignment="1" applyProtection="1">
      <alignment horizontal="left"/>
    </xf>
    <xf numFmtId="167" fontId="35" fillId="10" borderId="26" xfId="0" applyNumberFormat="1" applyFont="1" applyFill="1" applyBorder="1" applyAlignment="1" applyProtection="1">
      <alignment horizontal="center"/>
    </xf>
    <xf numFmtId="0" fontId="35" fillId="6" borderId="53" xfId="0" applyFont="1" applyFill="1" applyBorder="1" applyAlignment="1" applyProtection="1">
      <alignment horizontal="center"/>
    </xf>
    <xf numFmtId="14" fontId="130" fillId="6" borderId="53" xfId="0" applyNumberFormat="1" applyFont="1" applyFill="1" applyBorder="1" applyAlignment="1" applyProtection="1">
      <alignment horizontal="center"/>
    </xf>
    <xf numFmtId="0" fontId="45" fillId="6" borderId="53" xfId="0" applyFont="1" applyFill="1" applyBorder="1" applyAlignment="1" applyProtection="1">
      <alignment horizontal="center"/>
    </xf>
    <xf numFmtId="0" fontId="45" fillId="6" borderId="53" xfId="0" applyFont="1" applyFill="1" applyBorder="1" applyProtection="1"/>
    <xf numFmtId="0" fontId="132" fillId="10" borderId="26" xfId="0" applyFont="1" applyFill="1" applyBorder="1" applyAlignment="1" applyProtection="1">
      <alignment horizontal="left"/>
    </xf>
    <xf numFmtId="0" fontId="35" fillId="10" borderId="26" xfId="0" applyFont="1" applyFill="1" applyBorder="1" applyAlignment="1" applyProtection="1">
      <alignment horizontal="center"/>
    </xf>
    <xf numFmtId="0" fontId="131" fillId="10" borderId="26" xfId="0" applyFont="1" applyFill="1" applyBorder="1" applyAlignment="1" applyProtection="1">
      <alignment horizontal="center"/>
    </xf>
    <xf numFmtId="44" fontId="6" fillId="11" borderId="0" xfId="0" applyNumberFormat="1" applyFont="1" applyFill="1" applyBorder="1" applyAlignment="1" applyProtection="1">
      <alignment horizontal="center"/>
    </xf>
    <xf numFmtId="0" fontId="130" fillId="10" borderId="26" xfId="0" applyFont="1" applyFill="1" applyBorder="1" applyAlignment="1" applyProtection="1">
      <alignment horizontal="left"/>
    </xf>
    <xf numFmtId="42" fontId="6" fillId="10" borderId="26" xfId="0" applyNumberFormat="1" applyFont="1" applyFill="1" applyBorder="1" applyAlignment="1" applyProtection="1">
      <alignment horizontal="center"/>
    </xf>
    <xf numFmtId="42" fontId="7" fillId="10" borderId="26" xfId="0" applyNumberFormat="1" applyFont="1" applyFill="1" applyBorder="1" applyAlignment="1" applyProtection="1">
      <alignment horizontal="center"/>
    </xf>
    <xf numFmtId="0" fontId="43" fillId="10" borderId="26" xfId="0" applyFont="1" applyFill="1" applyBorder="1" applyProtection="1"/>
    <xf numFmtId="166" fontId="12" fillId="10" borderId="26" xfId="0" applyNumberFormat="1" applyFont="1" applyFill="1" applyBorder="1" applyAlignment="1" applyProtection="1">
      <alignment horizontal="center"/>
    </xf>
    <xf numFmtId="0" fontId="128" fillId="10" borderId="26" xfId="0" applyFont="1" applyFill="1" applyBorder="1" applyAlignment="1" applyProtection="1">
      <alignment horizontal="center"/>
      <protection locked="0"/>
    </xf>
    <xf numFmtId="0" fontId="128" fillId="10" borderId="26" xfId="0" applyFont="1" applyFill="1" applyBorder="1" applyProtection="1">
      <protection locked="0"/>
    </xf>
    <xf numFmtId="164" fontId="128" fillId="10" borderId="26" xfId="0" applyNumberFormat="1" applyFont="1" applyFill="1" applyBorder="1" applyProtection="1">
      <protection locked="0"/>
    </xf>
    <xf numFmtId="0" fontId="6" fillId="10" borderId="37" xfId="0" applyFont="1" applyFill="1" applyBorder="1" applyProtection="1"/>
    <xf numFmtId="0" fontId="6" fillId="10" borderId="38" xfId="0" applyFont="1" applyFill="1" applyBorder="1" applyProtection="1"/>
    <xf numFmtId="0" fontId="6" fillId="10" borderId="40" xfId="0" applyFont="1" applyFill="1" applyBorder="1" applyProtection="1"/>
    <xf numFmtId="0" fontId="150" fillId="10" borderId="0" xfId="0" applyFont="1" applyFill="1" applyBorder="1" applyProtection="1"/>
    <xf numFmtId="0" fontId="6" fillId="10" borderId="42" xfId="0" applyFont="1" applyFill="1" applyBorder="1" applyProtection="1"/>
    <xf numFmtId="0" fontId="6" fillId="10" borderId="43" xfId="0" applyFont="1" applyFill="1" applyBorder="1" applyProtection="1"/>
    <xf numFmtId="0" fontId="6" fillId="10" borderId="38" xfId="0" applyFont="1" applyFill="1" applyBorder="1" applyAlignment="1" applyProtection="1"/>
    <xf numFmtId="0" fontId="6" fillId="10" borderId="39" xfId="0" applyFont="1" applyFill="1" applyBorder="1" applyProtection="1"/>
    <xf numFmtId="0" fontId="6" fillId="10" borderId="41" xfId="0" applyFont="1" applyFill="1" applyBorder="1" applyProtection="1"/>
    <xf numFmtId="0" fontId="6" fillId="10" borderId="43" xfId="0" applyFont="1" applyFill="1" applyBorder="1" applyAlignment="1" applyProtection="1"/>
    <xf numFmtId="0" fontId="6" fillId="10" borderId="44" xfId="0" applyFont="1" applyFill="1" applyBorder="1" applyProtection="1"/>
    <xf numFmtId="0" fontId="130" fillId="6" borderId="26" xfId="0" applyFont="1" applyFill="1" applyBorder="1" applyAlignment="1" applyProtection="1">
      <alignment horizontal="center"/>
    </xf>
    <xf numFmtId="42" fontId="6" fillId="11" borderId="26" xfId="0" applyNumberFormat="1" applyFont="1" applyFill="1" applyBorder="1" applyAlignment="1" applyProtection="1"/>
    <xf numFmtId="42" fontId="7" fillId="12" borderId="26" xfId="0" applyNumberFormat="1" applyFont="1" applyFill="1" applyBorder="1" applyAlignment="1" applyProtection="1"/>
    <xf numFmtId="0" fontId="6" fillId="6" borderId="26" xfId="0" applyFont="1" applyFill="1" applyBorder="1" applyAlignment="1" applyProtection="1"/>
    <xf numFmtId="0" fontId="41" fillId="10" borderId="26" xfId="0" applyFont="1" applyFill="1" applyBorder="1" applyAlignment="1" applyProtection="1"/>
    <xf numFmtId="0" fontId="12" fillId="10" borderId="26" xfId="0" applyFont="1" applyFill="1" applyBorder="1" applyAlignment="1" applyProtection="1"/>
    <xf numFmtId="164" fontId="45" fillId="10" borderId="26" xfId="0" applyNumberFormat="1" applyFont="1" applyFill="1" applyBorder="1" applyAlignment="1" applyProtection="1"/>
    <xf numFmtId="1" fontId="130" fillId="10" borderId="26" xfId="0" applyNumberFormat="1" applyFont="1" applyFill="1" applyBorder="1" applyAlignment="1" applyProtection="1">
      <alignment horizontal="center"/>
    </xf>
    <xf numFmtId="164" fontId="6" fillId="10" borderId="26" xfId="0" applyNumberFormat="1" applyFont="1" applyFill="1" applyBorder="1" applyAlignment="1" applyProtection="1"/>
    <xf numFmtId="0" fontId="131" fillId="10" borderId="26" xfId="0" applyFont="1" applyFill="1" applyBorder="1" applyAlignment="1" applyProtection="1"/>
    <xf numFmtId="0" fontId="8" fillId="10" borderId="26" xfId="0" applyFont="1" applyFill="1" applyBorder="1" applyProtection="1"/>
    <xf numFmtId="164" fontId="35" fillId="10" borderId="26" xfId="0" applyNumberFormat="1" applyFont="1" applyFill="1" applyBorder="1" applyAlignment="1" applyProtection="1"/>
    <xf numFmtId="0" fontId="7" fillId="2" borderId="25" xfId="0" applyFont="1" applyFill="1" applyBorder="1" applyProtection="1"/>
    <xf numFmtId="164" fontId="131" fillId="10" borderId="26" xfId="0" applyNumberFormat="1" applyFont="1" applyFill="1" applyBorder="1" applyAlignment="1" applyProtection="1"/>
    <xf numFmtId="0" fontId="14" fillId="2" borderId="25" xfId="0" applyFont="1" applyFill="1" applyBorder="1" applyProtection="1"/>
    <xf numFmtId="0" fontId="78" fillId="10" borderId="26" xfId="0" applyFont="1" applyFill="1" applyBorder="1" applyProtection="1"/>
    <xf numFmtId="0" fontId="80" fillId="10" borderId="26" xfId="0" applyFont="1" applyFill="1" applyBorder="1" applyProtection="1"/>
    <xf numFmtId="0" fontId="80" fillId="10" borderId="26" xfId="0" applyFont="1" applyFill="1" applyBorder="1" applyAlignment="1" applyProtection="1"/>
    <xf numFmtId="0" fontId="25" fillId="10" borderId="26" xfId="0" applyFont="1" applyFill="1" applyBorder="1" applyProtection="1"/>
    <xf numFmtId="0" fontId="0" fillId="10" borderId="26" xfId="0" applyFill="1" applyBorder="1" applyProtection="1"/>
    <xf numFmtId="164" fontId="12" fillId="10" borderId="26" xfId="0" applyNumberFormat="1" applyFont="1" applyFill="1" applyBorder="1" applyAlignment="1" applyProtection="1"/>
    <xf numFmtId="0" fontId="151" fillId="10" borderId="26" xfId="0" applyFont="1" applyFill="1" applyBorder="1" applyAlignment="1" applyProtection="1">
      <alignment horizontal="left"/>
    </xf>
    <xf numFmtId="164" fontId="130" fillId="10" borderId="26" xfId="0" applyNumberFormat="1" applyFont="1" applyFill="1" applyBorder="1" applyAlignment="1" applyProtection="1">
      <alignment horizontal="center"/>
    </xf>
    <xf numFmtId="184" fontId="130" fillId="10" borderId="26" xfId="0" applyNumberFormat="1" applyFont="1" applyFill="1" applyBorder="1" applyAlignment="1" applyProtection="1">
      <alignment horizontal="center"/>
    </xf>
    <xf numFmtId="44" fontId="35" fillId="10" borderId="26" xfId="0" applyNumberFormat="1" applyFont="1" applyFill="1" applyBorder="1" applyAlignment="1" applyProtection="1"/>
    <xf numFmtId="175" fontId="12" fillId="10" borderId="26" xfId="0" applyNumberFormat="1" applyFont="1" applyFill="1" applyBorder="1" applyAlignment="1" applyProtection="1">
      <alignment horizontal="center"/>
    </xf>
    <xf numFmtId="0" fontId="12" fillId="10" borderId="26" xfId="0" applyNumberFormat="1" applyFont="1" applyFill="1" applyBorder="1" applyAlignment="1" applyProtection="1">
      <alignment horizontal="center"/>
    </xf>
    <xf numFmtId="169" fontId="12" fillId="10" borderId="26" xfId="0" applyNumberFormat="1" applyFont="1" applyFill="1" applyBorder="1" applyAlignment="1" applyProtection="1">
      <alignment horizontal="center"/>
    </xf>
    <xf numFmtId="171" fontId="6" fillId="10" borderId="26" xfId="0" applyNumberFormat="1" applyFont="1" applyFill="1" applyBorder="1" applyProtection="1"/>
    <xf numFmtId="0" fontId="26" fillId="10" borderId="26" xfId="0" applyFont="1" applyFill="1" applyBorder="1" applyAlignment="1" applyProtection="1"/>
    <xf numFmtId="0" fontId="133" fillId="10" borderId="26" xfId="0" applyFont="1" applyFill="1" applyBorder="1" applyAlignment="1" applyProtection="1">
      <alignment horizontal="left"/>
    </xf>
    <xf numFmtId="0" fontId="137" fillId="10" borderId="26" xfId="0" applyFont="1" applyFill="1" applyBorder="1" applyAlignment="1" applyProtection="1">
      <alignment horizontal="left"/>
    </xf>
    <xf numFmtId="0" fontId="138" fillId="10" borderId="26" xfId="0" applyFont="1" applyFill="1" applyBorder="1" applyAlignment="1" applyProtection="1">
      <alignment horizontal="center"/>
    </xf>
    <xf numFmtId="0" fontId="127" fillId="10" borderId="26" xfId="0" applyFont="1" applyFill="1" applyBorder="1" applyAlignment="1" applyProtection="1">
      <alignment horizontal="left"/>
    </xf>
    <xf numFmtId="0" fontId="26" fillId="10" borderId="26" xfId="0" applyFont="1" applyFill="1" applyBorder="1" applyProtection="1"/>
    <xf numFmtId="0" fontId="130" fillId="10" borderId="26" xfId="0" applyNumberFormat="1" applyFont="1" applyFill="1" applyBorder="1" applyAlignment="1" applyProtection="1">
      <alignment horizontal="center"/>
    </xf>
    <xf numFmtId="175" fontId="130" fillId="10" borderId="26" xfId="0" applyNumberFormat="1" applyFont="1" applyFill="1" applyBorder="1" applyAlignment="1" applyProtection="1">
      <alignment horizontal="center"/>
    </xf>
    <xf numFmtId="169" fontId="130" fillId="10" borderId="26" xfId="0" applyNumberFormat="1" applyFont="1" applyFill="1" applyBorder="1" applyAlignment="1" applyProtection="1">
      <alignment horizontal="center"/>
    </xf>
    <xf numFmtId="0" fontId="132" fillId="10" borderId="26" xfId="0" applyFont="1" applyFill="1" applyBorder="1" applyAlignment="1" applyProtection="1">
      <alignment horizontal="center"/>
    </xf>
    <xf numFmtId="171" fontId="130" fillId="10" borderId="26" xfId="0" applyNumberFormat="1" applyFont="1" applyFill="1" applyBorder="1" applyAlignment="1" applyProtection="1">
      <alignment horizontal="center"/>
    </xf>
    <xf numFmtId="171" fontId="108" fillId="10" borderId="26" xfId="0" applyNumberFormat="1" applyFont="1" applyFill="1" applyBorder="1" applyAlignment="1" applyProtection="1">
      <alignment horizontal="center"/>
    </xf>
    <xf numFmtId="0" fontId="131" fillId="10" borderId="26" xfId="0" applyFont="1" applyFill="1" applyBorder="1" applyAlignment="1" applyProtection="1">
      <alignment horizontal="left"/>
    </xf>
    <xf numFmtId="1" fontId="130" fillId="10" borderId="26" xfId="0" applyNumberFormat="1" applyFont="1" applyFill="1" applyBorder="1" applyAlignment="1" applyProtection="1">
      <alignment horizontal="left"/>
    </xf>
    <xf numFmtId="0" fontId="16" fillId="10" borderId="26" xfId="0" applyNumberFormat="1" applyFont="1" applyFill="1" applyBorder="1" applyAlignment="1" applyProtection="1">
      <alignment horizontal="center"/>
    </xf>
    <xf numFmtId="169" fontId="16" fillId="10" borderId="26" xfId="0" applyNumberFormat="1" applyFont="1" applyFill="1" applyBorder="1" applyAlignment="1" applyProtection="1">
      <alignment horizontal="center"/>
    </xf>
    <xf numFmtId="171" fontId="16" fillId="10" borderId="26" xfId="0" applyNumberFormat="1" applyFont="1" applyFill="1" applyBorder="1" applyAlignment="1" applyProtection="1">
      <alignment horizontal="center"/>
    </xf>
    <xf numFmtId="171" fontId="12" fillId="10" borderId="26" xfId="0" applyNumberFormat="1" applyFont="1" applyFill="1" applyBorder="1" applyAlignment="1" applyProtection="1">
      <alignment horizontal="center"/>
    </xf>
    <xf numFmtId="171" fontId="6" fillId="10" borderId="26" xfId="0" applyNumberFormat="1" applyFont="1" applyFill="1" applyBorder="1" applyAlignment="1" applyProtection="1">
      <alignment horizontal="center"/>
    </xf>
    <xf numFmtId="171" fontId="6" fillId="10" borderId="26" xfId="3" applyNumberFormat="1" applyFont="1" applyFill="1" applyBorder="1" applyAlignment="1" applyProtection="1">
      <alignment horizontal="left"/>
    </xf>
    <xf numFmtId="171" fontId="64" fillId="10" borderId="26" xfId="0" applyNumberFormat="1" applyFont="1" applyFill="1" applyBorder="1" applyProtection="1"/>
    <xf numFmtId="171" fontId="13" fillId="10" borderId="26" xfId="0" applyNumberFormat="1" applyFont="1" applyFill="1" applyBorder="1" applyAlignment="1" applyProtection="1">
      <alignment horizontal="center"/>
    </xf>
    <xf numFmtId="171" fontId="13" fillId="10" borderId="26" xfId="0" applyNumberFormat="1" applyFont="1" applyFill="1" applyBorder="1" applyProtection="1"/>
    <xf numFmtId="169" fontId="12" fillId="10" borderId="26" xfId="3" applyNumberFormat="1" applyFont="1" applyFill="1" applyBorder="1" applyAlignment="1" applyProtection="1">
      <alignment horizontal="center"/>
      <protection locked="0"/>
    </xf>
    <xf numFmtId="169" fontId="6" fillId="10" borderId="26" xfId="3" applyNumberFormat="1" applyFont="1" applyFill="1" applyBorder="1" applyAlignment="1" applyProtection="1">
      <alignment horizontal="center"/>
      <protection locked="0"/>
    </xf>
    <xf numFmtId="169" fontId="73" fillId="10" borderId="26" xfId="0" applyNumberFormat="1" applyFont="1" applyFill="1" applyBorder="1" applyAlignment="1" applyProtection="1">
      <alignment horizontal="center"/>
    </xf>
    <xf numFmtId="0" fontId="12" fillId="2" borderId="26" xfId="0" applyFont="1" applyFill="1" applyBorder="1" applyAlignment="1" applyProtection="1">
      <alignment horizontal="left"/>
      <protection locked="0"/>
    </xf>
    <xf numFmtId="0" fontId="6" fillId="2" borderId="26" xfId="0" applyFont="1" applyFill="1" applyBorder="1" applyAlignment="1" applyProtection="1">
      <alignment horizontal="left"/>
      <protection locked="0"/>
    </xf>
    <xf numFmtId="0" fontId="12" fillId="2" borderId="26" xfId="0" applyFont="1" applyFill="1" applyBorder="1" applyAlignment="1" applyProtection="1">
      <alignment horizontal="center"/>
      <protection locked="0"/>
    </xf>
    <xf numFmtId="175" fontId="12" fillId="2" borderId="26" xfId="0" applyNumberFormat="1" applyFont="1" applyFill="1" applyBorder="1" applyAlignment="1" applyProtection="1">
      <alignment horizontal="center"/>
      <protection locked="0"/>
    </xf>
    <xf numFmtId="169" fontId="12" fillId="2" borderId="26" xfId="3" applyNumberFormat="1" applyFont="1" applyFill="1" applyBorder="1" applyAlignment="1" applyProtection="1">
      <alignment horizontal="center"/>
      <protection locked="0"/>
    </xf>
    <xf numFmtId="3" fontId="12" fillId="2" borderId="26" xfId="0" applyNumberFormat="1" applyFont="1" applyFill="1" applyBorder="1" applyAlignment="1" applyProtection="1">
      <alignment horizontal="center"/>
      <protection locked="0"/>
    </xf>
    <xf numFmtId="3" fontId="93" fillId="0" borderId="26" xfId="0" applyNumberFormat="1" applyFont="1" applyBorder="1" applyAlignment="1" applyProtection="1">
      <alignment horizontal="center"/>
      <protection locked="0"/>
    </xf>
    <xf numFmtId="173" fontId="12" fillId="11" borderId="26" xfId="3" applyNumberFormat="1" applyFont="1" applyFill="1" applyBorder="1" applyAlignment="1" applyProtection="1">
      <alignment horizontal="center"/>
    </xf>
    <xf numFmtId="3" fontId="12" fillId="11" borderId="26" xfId="2" applyNumberFormat="1" applyFont="1" applyFill="1" applyBorder="1" applyAlignment="1" applyProtection="1">
      <alignment horizontal="center"/>
    </xf>
    <xf numFmtId="171" fontId="12" fillId="11" borderId="26" xfId="3" applyNumberFormat="1" applyFont="1" applyFill="1" applyBorder="1" applyProtection="1"/>
    <xf numFmtId="171" fontId="6" fillId="11" borderId="26" xfId="3" applyNumberFormat="1" applyFont="1" applyFill="1" applyBorder="1" applyAlignment="1" applyProtection="1">
      <alignment horizontal="left"/>
    </xf>
    <xf numFmtId="175" fontId="6" fillId="2" borderId="26" xfId="0" applyNumberFormat="1" applyFont="1" applyFill="1" applyBorder="1" applyAlignment="1" applyProtection="1">
      <alignment horizontal="center"/>
      <protection locked="0"/>
    </xf>
    <xf numFmtId="169" fontId="6" fillId="2" borderId="26" xfId="3" applyNumberFormat="1" applyFont="1" applyFill="1" applyBorder="1" applyAlignment="1" applyProtection="1">
      <alignment horizontal="center"/>
      <protection locked="0"/>
    </xf>
    <xf numFmtId="3" fontId="135" fillId="12" borderId="26" xfId="0" applyNumberFormat="1" applyFont="1" applyFill="1" applyBorder="1" applyAlignment="1" applyProtection="1">
      <alignment horizontal="center"/>
    </xf>
    <xf numFmtId="171" fontId="135" fillId="12" borderId="26" xfId="0" applyNumberFormat="1" applyFont="1" applyFill="1" applyBorder="1" applyProtection="1"/>
    <xf numFmtId="171" fontId="6" fillId="10" borderId="50" xfId="3" applyNumberFormat="1" applyFont="1" applyFill="1" applyBorder="1" applyAlignment="1" applyProtection="1">
      <alignment horizontal="left"/>
    </xf>
    <xf numFmtId="171" fontId="64" fillId="10" borderId="50" xfId="0" applyNumberFormat="1" applyFont="1" applyFill="1" applyBorder="1" applyProtection="1"/>
    <xf numFmtId="0" fontId="12" fillId="10" borderId="49" xfId="0" applyFont="1" applyFill="1" applyBorder="1" applyAlignment="1" applyProtection="1">
      <alignment horizontal="left"/>
    </xf>
    <xf numFmtId="0" fontId="12" fillId="10" borderId="49" xfId="0" applyFont="1" applyFill="1" applyBorder="1" applyAlignment="1" applyProtection="1">
      <alignment horizontal="center"/>
    </xf>
    <xf numFmtId="175" fontId="12" fillId="10" borderId="49" xfId="0" applyNumberFormat="1" applyFont="1" applyFill="1" applyBorder="1" applyAlignment="1" applyProtection="1">
      <alignment horizontal="center"/>
    </xf>
    <xf numFmtId="0" fontId="12" fillId="10" borderId="49" xfId="0" applyNumberFormat="1" applyFont="1" applyFill="1" applyBorder="1" applyAlignment="1" applyProtection="1">
      <alignment horizontal="center"/>
    </xf>
    <xf numFmtId="169" fontId="12" fillId="10" borderId="49" xfId="0" applyNumberFormat="1" applyFont="1" applyFill="1" applyBorder="1" applyAlignment="1" applyProtection="1">
      <alignment horizontal="center"/>
    </xf>
    <xf numFmtId="171" fontId="13" fillId="10" borderId="49" xfId="0" applyNumberFormat="1" applyFont="1" applyFill="1" applyBorder="1" applyAlignment="1" applyProtection="1">
      <alignment horizontal="center"/>
    </xf>
    <xf numFmtId="171" fontId="13" fillId="10" borderId="49" xfId="0" applyNumberFormat="1" applyFont="1" applyFill="1" applyBorder="1" applyProtection="1"/>
    <xf numFmtId="171" fontId="6" fillId="10" borderId="49" xfId="0" applyNumberFormat="1" applyFont="1" applyFill="1" applyBorder="1" applyProtection="1"/>
    <xf numFmtId="164" fontId="13" fillId="10" borderId="26" xfId="0" applyNumberFormat="1" applyFont="1" applyFill="1" applyBorder="1" applyAlignment="1" applyProtection="1">
      <alignment horizontal="center"/>
    </xf>
    <xf numFmtId="164" fontId="6" fillId="10" borderId="26" xfId="0" applyNumberFormat="1" applyFont="1" applyFill="1" applyBorder="1" applyAlignment="1" applyProtection="1">
      <alignment horizontal="center"/>
    </xf>
    <xf numFmtId="164" fontId="14" fillId="10" borderId="26" xfId="0" applyNumberFormat="1" applyFont="1" applyFill="1" applyBorder="1" applyAlignment="1" applyProtection="1">
      <alignment horizontal="center"/>
    </xf>
    <xf numFmtId="164" fontId="7" fillId="10" borderId="26" xfId="0" applyNumberFormat="1" applyFont="1" applyFill="1" applyBorder="1" applyAlignment="1" applyProtection="1">
      <alignment horizontal="center"/>
    </xf>
    <xf numFmtId="164" fontId="12" fillId="10" borderId="26" xfId="0" applyNumberFormat="1" applyFont="1" applyFill="1" applyBorder="1" applyAlignment="1" applyProtection="1">
      <alignment horizontal="center"/>
    </xf>
    <xf numFmtId="164" fontId="6" fillId="11" borderId="26" xfId="0" applyNumberFormat="1" applyFont="1" applyFill="1" applyBorder="1" applyAlignment="1" applyProtection="1">
      <alignment horizontal="center"/>
    </xf>
    <xf numFmtId="0" fontId="12" fillId="3" borderId="26" xfId="0" applyFont="1" applyFill="1" applyBorder="1" applyAlignment="1" applyProtection="1">
      <alignment horizontal="center"/>
    </xf>
    <xf numFmtId="0" fontId="12" fillId="3" borderId="26" xfId="0" applyFont="1" applyFill="1" applyBorder="1" applyProtection="1"/>
    <xf numFmtId="0" fontId="12" fillId="2" borderId="26" xfId="0" applyFont="1" applyFill="1" applyBorder="1" applyProtection="1">
      <protection locked="0"/>
    </xf>
    <xf numFmtId="164" fontId="12" fillId="2" borderId="26" xfId="0" applyNumberFormat="1" applyFont="1" applyFill="1" applyBorder="1" applyAlignment="1" applyProtection="1">
      <alignment horizontal="center"/>
      <protection locked="0"/>
    </xf>
    <xf numFmtId="0" fontId="13" fillId="2" borderId="26" xfId="0" applyFont="1" applyFill="1" applyBorder="1" applyProtection="1">
      <protection locked="0"/>
    </xf>
    <xf numFmtId="164" fontId="7" fillId="12" borderId="26" xfId="0" applyNumberFormat="1" applyFont="1" applyFill="1" applyBorder="1" applyAlignment="1" applyProtection="1">
      <alignment horizontal="center"/>
    </xf>
    <xf numFmtId="0" fontId="6" fillId="3" borderId="26" xfId="0" applyFont="1" applyFill="1" applyBorder="1" applyAlignment="1" applyProtection="1">
      <alignment horizontal="center"/>
    </xf>
    <xf numFmtId="0" fontId="6" fillId="3" borderId="26" xfId="0" applyFont="1" applyFill="1" applyBorder="1" applyProtection="1"/>
    <xf numFmtId="164" fontId="6" fillId="3" borderId="26" xfId="0" applyNumberFormat="1" applyFont="1" applyFill="1" applyBorder="1" applyAlignment="1" applyProtection="1">
      <alignment horizontal="center"/>
    </xf>
    <xf numFmtId="164" fontId="12" fillId="11" borderId="26" xfId="0" applyNumberFormat="1" applyFont="1" applyFill="1" applyBorder="1" applyAlignment="1" applyProtection="1">
      <alignment horizontal="center"/>
    </xf>
    <xf numFmtId="0" fontId="6" fillId="2" borderId="26" xfId="0" applyFont="1" applyFill="1" applyBorder="1" applyProtection="1">
      <protection locked="0"/>
    </xf>
    <xf numFmtId="0" fontId="7" fillId="2" borderId="26" xfId="0" applyFont="1" applyFill="1" applyBorder="1" applyProtection="1">
      <protection locked="0"/>
    </xf>
    <xf numFmtId="164" fontId="6" fillId="2" borderId="26" xfId="0" applyNumberFormat="1" applyFont="1" applyFill="1" applyBorder="1" applyAlignment="1" applyProtection="1">
      <alignment horizontal="center"/>
      <protection locked="0"/>
    </xf>
    <xf numFmtId="166" fontId="6" fillId="3" borderId="26" xfId="0" applyNumberFormat="1" applyFont="1" applyFill="1" applyBorder="1" applyProtection="1"/>
    <xf numFmtId="166" fontId="6" fillId="10" borderId="26" xfId="0" applyNumberFormat="1" applyFont="1" applyFill="1" applyBorder="1" applyProtection="1"/>
    <xf numFmtId="0" fontId="6" fillId="2" borderId="26" xfId="0" applyFont="1" applyFill="1" applyBorder="1" applyProtection="1"/>
    <xf numFmtId="0" fontId="6" fillId="2" borderId="26" xfId="0" applyFont="1" applyFill="1" applyBorder="1" applyAlignment="1" applyProtection="1">
      <alignment horizontal="center"/>
    </xf>
    <xf numFmtId="49" fontId="6" fillId="2" borderId="26" xfId="0" applyNumberFormat="1" applyFont="1" applyFill="1" applyBorder="1" applyAlignment="1" applyProtection="1">
      <alignment horizontal="center"/>
      <protection locked="0"/>
    </xf>
    <xf numFmtId="164" fontId="6" fillId="12" borderId="26" xfId="0" applyNumberFormat="1" applyFont="1" applyFill="1" applyBorder="1" applyAlignment="1" applyProtection="1">
      <alignment horizontal="center"/>
    </xf>
    <xf numFmtId="49" fontId="12" fillId="2" borderId="26" xfId="0" applyNumberFormat="1" applyFont="1" applyFill="1" applyBorder="1" applyAlignment="1" applyProtection="1">
      <alignment horizontal="center"/>
      <protection locked="0"/>
    </xf>
    <xf numFmtId="164" fontId="6" fillId="8" borderId="26" xfId="0" applyNumberFormat="1" applyFont="1" applyFill="1" applyBorder="1" applyAlignment="1" applyProtection="1">
      <alignment horizontal="center"/>
      <protection locked="0"/>
    </xf>
    <xf numFmtId="164" fontId="12" fillId="8" borderId="26" xfId="0" applyNumberFormat="1" applyFont="1" applyFill="1" applyBorder="1" applyAlignment="1" applyProtection="1">
      <alignment horizontal="center"/>
      <protection locked="0"/>
    </xf>
    <xf numFmtId="164" fontId="6" fillId="8" borderId="26" xfId="0" applyNumberFormat="1" applyFont="1" applyFill="1" applyBorder="1" applyAlignment="1" applyProtection="1">
      <alignment horizontal="center"/>
    </xf>
    <xf numFmtId="164" fontId="6" fillId="11" borderId="26" xfId="0" applyNumberFormat="1" applyFont="1" applyFill="1" applyBorder="1" applyAlignment="1" applyProtection="1">
      <alignment horizontal="center"/>
      <protection locked="0"/>
    </xf>
    <xf numFmtId="164" fontId="14" fillId="12" borderId="26" xfId="0" applyNumberFormat="1" applyFont="1" applyFill="1" applyBorder="1" applyAlignment="1" applyProtection="1">
      <alignment horizontal="center"/>
    </xf>
    <xf numFmtId="164" fontId="7" fillId="15" borderId="26" xfId="0" applyNumberFormat="1" applyFont="1" applyFill="1" applyBorder="1" applyAlignment="1" applyProtection="1">
      <alignment horizontal="center"/>
    </xf>
    <xf numFmtId="0" fontId="6" fillId="8" borderId="26" xfId="0" applyFont="1" applyFill="1" applyBorder="1" applyAlignment="1" applyProtection="1">
      <alignment horizontal="center"/>
    </xf>
    <xf numFmtId="0" fontId="6" fillId="3" borderId="52" xfId="0" applyFont="1" applyFill="1" applyBorder="1" applyAlignment="1" applyProtection="1">
      <alignment horizontal="center"/>
    </xf>
    <xf numFmtId="0" fontId="6" fillId="3" borderId="49" xfId="0" applyFont="1" applyFill="1" applyBorder="1" applyAlignment="1" applyProtection="1">
      <alignment horizontal="center"/>
    </xf>
    <xf numFmtId="0" fontId="6" fillId="2" borderId="54" xfId="0" applyFont="1" applyFill="1" applyBorder="1" applyProtection="1"/>
    <xf numFmtId="0" fontId="6" fillId="2" borderId="54" xfId="0" applyFont="1" applyFill="1" applyBorder="1" applyAlignment="1" applyProtection="1">
      <alignment horizontal="center"/>
    </xf>
    <xf numFmtId="0" fontId="7" fillId="11" borderId="26" xfId="0" applyFont="1" applyFill="1" applyBorder="1" applyProtection="1">
      <protection locked="0"/>
    </xf>
    <xf numFmtId="0" fontId="12" fillId="0" borderId="26" xfId="0" applyFont="1" applyFill="1" applyBorder="1" applyProtection="1">
      <protection locked="0"/>
    </xf>
    <xf numFmtId="0" fontId="12" fillId="8" borderId="26" xfId="0" applyFont="1" applyFill="1" applyBorder="1" applyProtection="1">
      <protection locked="0"/>
    </xf>
    <xf numFmtId="0" fontId="155" fillId="10" borderId="26" xfId="0" applyFont="1" applyFill="1" applyBorder="1" applyAlignment="1" applyProtection="1">
      <alignment horizontal="center"/>
    </xf>
    <xf numFmtId="1" fontId="155" fillId="10" borderId="26" xfId="0" applyNumberFormat="1" applyFont="1" applyFill="1" applyBorder="1" applyAlignment="1" applyProtection="1">
      <alignment horizontal="center"/>
    </xf>
    <xf numFmtId="0" fontId="157" fillId="10" borderId="26" xfId="0" applyFont="1" applyFill="1" applyBorder="1" applyAlignment="1" applyProtection="1">
      <alignment horizontal="center"/>
    </xf>
    <xf numFmtId="184" fontId="14" fillId="10" borderId="26" xfId="0" applyNumberFormat="1" applyFont="1" applyFill="1" applyBorder="1" applyAlignment="1" applyProtection="1">
      <alignment horizontal="center"/>
    </xf>
    <xf numFmtId="0" fontId="75" fillId="10" borderId="26" xfId="0" applyFont="1" applyFill="1" applyBorder="1" applyProtection="1"/>
    <xf numFmtId="0" fontId="6" fillId="10" borderId="26" xfId="0" applyNumberFormat="1" applyFont="1" applyFill="1" applyBorder="1" applyAlignment="1" applyProtection="1">
      <alignment horizontal="center"/>
    </xf>
    <xf numFmtId="164" fontId="7" fillId="12" borderId="26" xfId="0" applyNumberFormat="1" applyFont="1" applyFill="1" applyBorder="1" applyProtection="1"/>
    <xf numFmtId="0" fontId="6" fillId="11" borderId="26" xfId="0" applyNumberFormat="1" applyFont="1" applyFill="1" applyBorder="1" applyAlignment="1" applyProtection="1">
      <alignment horizontal="center"/>
    </xf>
    <xf numFmtId="0" fontId="6" fillId="12" borderId="26" xfId="0" applyNumberFormat="1" applyFont="1" applyFill="1" applyBorder="1" applyAlignment="1" applyProtection="1">
      <alignment horizontal="center"/>
    </xf>
    <xf numFmtId="164" fontId="16" fillId="10" borderId="26" xfId="0" applyNumberFormat="1" applyFont="1" applyFill="1" applyBorder="1" applyAlignment="1" applyProtection="1">
      <alignment horizontal="center"/>
    </xf>
    <xf numFmtId="164" fontId="6" fillId="2" borderId="26" xfId="0" applyNumberFormat="1" applyFont="1" applyFill="1" applyBorder="1" applyProtection="1">
      <protection locked="0"/>
    </xf>
    <xf numFmtId="164" fontId="6" fillId="11" borderId="26" xfId="0" applyNumberFormat="1" applyFont="1" applyFill="1" applyBorder="1" applyProtection="1"/>
    <xf numFmtId="164" fontId="135" fillId="13" borderId="26" xfId="0" applyNumberFormat="1" applyFont="1" applyFill="1" applyBorder="1" applyProtection="1"/>
    <xf numFmtId="164" fontId="6" fillId="3" borderId="26" xfId="0" applyNumberFormat="1" applyFont="1" applyFill="1" applyBorder="1" applyProtection="1"/>
    <xf numFmtId="164" fontId="149" fillId="13" borderId="26" xfId="0" applyNumberFormat="1" applyFont="1" applyFill="1" applyBorder="1" applyProtection="1"/>
    <xf numFmtId="0" fontId="16" fillId="3" borderId="26" xfId="0" applyFont="1" applyFill="1" applyBorder="1" applyProtection="1"/>
    <xf numFmtId="164" fontId="6" fillId="10" borderId="26" xfId="0" applyNumberFormat="1" applyFont="1" applyFill="1" applyBorder="1" applyProtection="1"/>
    <xf numFmtId="164" fontId="6" fillId="11" borderId="26" xfId="0" applyNumberFormat="1" applyFont="1" applyFill="1" applyBorder="1" applyAlignment="1" applyProtection="1">
      <alignment horizontal="left"/>
    </xf>
    <xf numFmtId="42" fontId="16" fillId="11" borderId="26" xfId="0" applyNumberFormat="1" applyFont="1" applyFill="1" applyBorder="1" applyProtection="1"/>
    <xf numFmtId="164" fontId="6" fillId="11" borderId="26" xfId="3" applyNumberFormat="1" applyFont="1" applyFill="1" applyBorder="1" applyAlignment="1" applyProtection="1">
      <alignment horizontal="left"/>
    </xf>
    <xf numFmtId="42" fontId="6" fillId="11" borderId="26" xfId="0" applyNumberFormat="1" applyFont="1" applyFill="1" applyBorder="1" applyAlignment="1" applyProtection="1">
      <alignment horizontal="left"/>
    </xf>
    <xf numFmtId="42" fontId="16" fillId="11" borderId="26" xfId="0" applyNumberFormat="1" applyFont="1" applyFill="1" applyBorder="1" applyAlignment="1" applyProtection="1">
      <alignment horizontal="left"/>
    </xf>
    <xf numFmtId="164" fontId="7" fillId="12" borderId="26" xfId="0" applyNumberFormat="1" applyFont="1" applyFill="1" applyBorder="1" applyAlignment="1" applyProtection="1">
      <alignment horizontal="left"/>
    </xf>
    <xf numFmtId="164" fontId="6" fillId="2" borderId="26" xfId="0" applyNumberFormat="1" applyFont="1" applyFill="1" applyBorder="1" applyAlignment="1" applyProtection="1">
      <alignment horizontal="left"/>
      <protection locked="0"/>
    </xf>
    <xf numFmtId="0" fontId="14" fillId="10" borderId="26" xfId="0" applyFont="1" applyFill="1" applyBorder="1" applyAlignment="1" applyProtection="1">
      <alignment horizontal="right"/>
    </xf>
    <xf numFmtId="0" fontId="6" fillId="10" borderId="26" xfId="0" applyNumberFormat="1" applyFont="1" applyFill="1" applyBorder="1" applyProtection="1"/>
    <xf numFmtId="0" fontId="16" fillId="10" borderId="26" xfId="0" applyFont="1" applyFill="1" applyBorder="1" applyAlignment="1" applyProtection="1">
      <alignment horizontal="right"/>
    </xf>
    <xf numFmtId="165" fontId="16" fillId="10" borderId="26" xfId="3" applyNumberFormat="1" applyFont="1" applyFill="1" applyBorder="1" applyProtection="1"/>
    <xf numFmtId="164" fontId="7" fillId="10" borderId="26" xfId="0" applyNumberFormat="1" applyFont="1" applyFill="1" applyBorder="1" applyAlignment="1" applyProtection="1">
      <alignment horizontal="left"/>
    </xf>
    <xf numFmtId="164" fontId="16" fillId="10" borderId="26" xfId="0" applyNumberFormat="1" applyFont="1" applyFill="1" applyBorder="1" applyAlignment="1" applyProtection="1">
      <alignment horizontal="left"/>
    </xf>
    <xf numFmtId="164" fontId="6" fillId="10" borderId="26" xfId="0" applyNumberFormat="1" applyFont="1" applyFill="1" applyBorder="1" applyAlignment="1" applyProtection="1">
      <alignment horizontal="left"/>
    </xf>
    <xf numFmtId="0" fontId="80" fillId="10" borderId="26" xfId="0" applyFont="1" applyFill="1" applyBorder="1" applyAlignment="1" applyProtection="1">
      <alignment horizontal="left"/>
    </xf>
    <xf numFmtId="164" fontId="16" fillId="12" borderId="26" xfId="0" applyNumberFormat="1" applyFont="1" applyFill="1" applyBorder="1" applyAlignment="1" applyProtection="1">
      <alignment horizontal="center"/>
      <protection locked="0"/>
    </xf>
    <xf numFmtId="164" fontId="16" fillId="12" borderId="26" xfId="0" applyNumberFormat="1" applyFont="1" applyFill="1" applyBorder="1" applyAlignment="1" applyProtection="1">
      <alignment horizontal="center"/>
    </xf>
    <xf numFmtId="164" fontId="6" fillId="11" borderId="26" xfId="0" applyNumberFormat="1" applyFont="1" applyFill="1" applyBorder="1" applyAlignment="1" applyProtection="1">
      <alignment horizontal="right"/>
    </xf>
    <xf numFmtId="0" fontId="43" fillId="10" borderId="26" xfId="0" applyFont="1" applyFill="1" applyBorder="1" applyAlignment="1" applyProtection="1">
      <alignment horizontal="left"/>
    </xf>
    <xf numFmtId="0" fontId="61" fillId="10" borderId="26" xfId="0" applyFont="1" applyFill="1" applyBorder="1" applyProtection="1"/>
    <xf numFmtId="0" fontId="76" fillId="10" borderId="26" xfId="0" applyFont="1" applyFill="1" applyBorder="1" applyProtection="1"/>
    <xf numFmtId="0" fontId="6" fillId="10" borderId="26" xfId="0" quotePrefix="1" applyFont="1" applyFill="1" applyBorder="1" applyProtection="1"/>
    <xf numFmtId="0" fontId="67" fillId="10" borderId="26" xfId="0" applyFont="1" applyFill="1" applyBorder="1" applyAlignment="1" applyProtection="1">
      <alignment horizontal="center"/>
    </xf>
    <xf numFmtId="0" fontId="66" fillId="10" borderId="26" xfId="0" applyFont="1" applyFill="1" applyBorder="1" applyAlignment="1" applyProtection="1">
      <alignment horizontal="center"/>
    </xf>
    <xf numFmtId="178" fontId="130" fillId="10" borderId="26" xfId="0" applyNumberFormat="1" applyFont="1" applyFill="1" applyBorder="1" applyAlignment="1" applyProtection="1">
      <alignment horizontal="center"/>
    </xf>
    <xf numFmtId="164" fontId="131" fillId="10" borderId="26" xfId="0" applyNumberFormat="1" applyFont="1" applyFill="1" applyBorder="1" applyAlignment="1" applyProtection="1">
      <alignment horizontal="center"/>
    </xf>
    <xf numFmtId="165" fontId="82" fillId="11" borderId="0" xfId="0" applyNumberFormat="1" applyFont="1" applyFill="1" applyBorder="1" applyAlignment="1" applyProtection="1">
      <alignment horizontal="left"/>
      <protection locked="0"/>
    </xf>
    <xf numFmtId="4" fontId="82" fillId="11" borderId="0" xfId="0" applyNumberFormat="1" applyFont="1" applyFill="1" applyBorder="1" applyAlignment="1" applyProtection="1">
      <alignment horizontal="left"/>
      <protection locked="0"/>
    </xf>
    <xf numFmtId="0" fontId="98" fillId="8" borderId="0" xfId="1" applyFont="1" applyFill="1" applyBorder="1" applyAlignment="1" applyProtection="1">
      <alignment horizontal="right"/>
    </xf>
    <xf numFmtId="185" fontId="82" fillId="11" borderId="0" xfId="0" applyNumberFormat="1" applyFont="1" applyFill="1" applyAlignment="1" applyProtection="1">
      <alignment horizontal="right"/>
      <protection locked="0"/>
    </xf>
    <xf numFmtId="10" fontId="82" fillId="11" borderId="0" xfId="0" applyNumberFormat="1" applyFont="1" applyFill="1" applyAlignment="1" applyProtection="1">
      <alignment horizontal="center"/>
      <protection locked="0"/>
    </xf>
    <xf numFmtId="10" fontId="82" fillId="11" borderId="0" xfId="0" applyNumberFormat="1" applyFont="1" applyFill="1" applyAlignment="1" applyProtection="1">
      <alignment horizontal="right"/>
      <protection locked="0"/>
    </xf>
    <xf numFmtId="167" fontId="82" fillId="11" borderId="0" xfId="0" applyNumberFormat="1" applyFont="1" applyFill="1" applyBorder="1" applyProtection="1">
      <protection locked="0"/>
    </xf>
    <xf numFmtId="167" fontId="82" fillId="11" borderId="0" xfId="0" applyNumberFormat="1" applyFont="1" applyFill="1" applyAlignment="1" applyProtection="1">
      <alignment horizontal="left"/>
      <protection locked="0"/>
    </xf>
    <xf numFmtId="167" fontId="82" fillId="11" borderId="0" xfId="0" applyNumberFormat="1" applyFont="1" applyFill="1" applyProtection="1">
      <protection locked="0"/>
    </xf>
    <xf numFmtId="167" fontId="6" fillId="11" borderId="0" xfId="0" applyNumberFormat="1" applyFont="1" applyFill="1" applyAlignment="1" applyProtection="1">
      <alignment horizontal="right"/>
      <protection locked="0"/>
    </xf>
    <xf numFmtId="174" fontId="82" fillId="11" borderId="0" xfId="0" applyNumberFormat="1" applyFont="1" applyFill="1" applyBorder="1" applyAlignment="1" applyProtection="1">
      <alignment horizontal="left"/>
      <protection locked="0"/>
    </xf>
    <xf numFmtId="3" fontId="82" fillId="11" borderId="0" xfId="0" applyNumberFormat="1" applyFont="1" applyFill="1" applyBorder="1" applyAlignment="1" applyProtection="1">
      <alignment horizontal="left"/>
      <protection locked="0"/>
    </xf>
    <xf numFmtId="3" fontId="83" fillId="11" borderId="0" xfId="0" applyNumberFormat="1" applyFont="1" applyFill="1" applyBorder="1" applyAlignment="1" applyProtection="1">
      <alignment horizontal="left"/>
      <protection locked="0"/>
    </xf>
    <xf numFmtId="3" fontId="103" fillId="11" borderId="0" xfId="0" applyNumberFormat="1" applyFont="1" applyFill="1" applyBorder="1" applyAlignment="1" applyProtection="1">
      <alignment horizontal="left"/>
      <protection locked="0"/>
    </xf>
    <xf numFmtId="0" fontId="6" fillId="2" borderId="55" xfId="0" applyFont="1" applyFill="1" applyBorder="1" applyProtection="1"/>
    <xf numFmtId="0" fontId="45" fillId="8" borderId="22" xfId="0" applyFont="1" applyFill="1" applyBorder="1" applyAlignment="1" applyProtection="1">
      <alignment horizontal="center"/>
    </xf>
    <xf numFmtId="0" fontId="6" fillId="10" borderId="5" xfId="0" applyFont="1" applyFill="1" applyBorder="1" applyProtection="1"/>
    <xf numFmtId="0" fontId="69" fillId="10" borderId="5" xfId="0" applyFont="1" applyFill="1" applyBorder="1" applyProtection="1"/>
    <xf numFmtId="0" fontId="18" fillId="10" borderId="5" xfId="0" applyFont="1" applyFill="1" applyBorder="1" applyProtection="1"/>
    <xf numFmtId="164" fontId="12" fillId="11" borderId="26" xfId="0" applyNumberFormat="1" applyFont="1" applyFill="1" applyBorder="1" applyProtection="1"/>
    <xf numFmtId="164" fontId="7" fillId="12" borderId="26" xfId="0" applyNumberFormat="1" applyFont="1" applyFill="1" applyBorder="1" applyAlignment="1" applyProtection="1">
      <alignment horizontal="center"/>
      <protection locked="0"/>
    </xf>
    <xf numFmtId="164" fontId="12" fillId="0" borderId="26" xfId="0" applyNumberFormat="1" applyFont="1" applyFill="1" applyBorder="1" applyAlignment="1" applyProtection="1">
      <alignment horizontal="center"/>
      <protection locked="0"/>
    </xf>
    <xf numFmtId="164" fontId="14" fillId="12" borderId="26" xfId="0" applyNumberFormat="1" applyFont="1" applyFill="1" applyBorder="1" applyProtection="1"/>
    <xf numFmtId="164" fontId="12" fillId="2" borderId="26" xfId="0" applyNumberFormat="1" applyFont="1" applyFill="1" applyBorder="1" applyProtection="1">
      <protection locked="0"/>
    </xf>
    <xf numFmtId="164" fontId="6" fillId="8" borderId="26" xfId="0" applyNumberFormat="1" applyFont="1" applyFill="1" applyBorder="1" applyProtection="1">
      <protection locked="0"/>
    </xf>
    <xf numFmtId="164" fontId="6" fillId="14" borderId="26" xfId="0" applyNumberFormat="1" applyFont="1" applyFill="1" applyBorder="1" applyAlignment="1" applyProtection="1">
      <alignment horizontal="center"/>
      <protection locked="0"/>
    </xf>
    <xf numFmtId="0" fontId="6" fillId="0" borderId="26" xfId="0" applyFont="1" applyFill="1" applyBorder="1" applyProtection="1">
      <protection locked="0"/>
    </xf>
    <xf numFmtId="0" fontId="12" fillId="10" borderId="56" xfId="0" applyFont="1" applyFill="1" applyBorder="1" applyProtection="1"/>
    <xf numFmtId="0" fontId="12" fillId="10" borderId="56" xfId="0" applyFont="1" applyFill="1" applyBorder="1" applyAlignment="1" applyProtection="1">
      <alignment horizontal="left"/>
    </xf>
    <xf numFmtId="0" fontId="14" fillId="10" borderId="56" xfId="0" applyFont="1" applyFill="1" applyBorder="1" applyAlignment="1" applyProtection="1">
      <alignment horizontal="left"/>
    </xf>
    <xf numFmtId="0" fontId="12" fillId="10" borderId="56" xfId="0" applyFont="1" applyFill="1" applyBorder="1" applyAlignment="1" applyProtection="1">
      <alignment horizontal="center"/>
    </xf>
    <xf numFmtId="175" fontId="12" fillId="10" borderId="56" xfId="0" applyNumberFormat="1" applyFont="1" applyFill="1" applyBorder="1" applyAlignment="1" applyProtection="1">
      <alignment horizontal="center"/>
    </xf>
    <xf numFmtId="0" fontId="12" fillId="10" borderId="56" xfId="0" applyNumberFormat="1" applyFont="1" applyFill="1" applyBorder="1" applyAlignment="1" applyProtection="1">
      <alignment horizontal="center"/>
    </xf>
    <xf numFmtId="169" fontId="12" fillId="10" borderId="56" xfId="0" applyNumberFormat="1" applyFont="1" applyFill="1" applyBorder="1" applyAlignment="1" applyProtection="1">
      <alignment horizontal="center"/>
    </xf>
    <xf numFmtId="171" fontId="6" fillId="10" borderId="56" xfId="0" applyNumberFormat="1" applyFont="1" applyFill="1" applyBorder="1" applyProtection="1"/>
    <xf numFmtId="0" fontId="26" fillId="10" borderId="56" xfId="0" applyFont="1" applyFill="1" applyBorder="1" applyAlignment="1" applyProtection="1"/>
    <xf numFmtId="0" fontId="133" fillId="10" borderId="56" xfId="0" applyFont="1" applyFill="1" applyBorder="1" applyAlignment="1" applyProtection="1">
      <alignment horizontal="left"/>
    </xf>
    <xf numFmtId="0" fontId="137" fillId="10" borderId="56" xfId="0" applyFont="1" applyFill="1" applyBorder="1" applyAlignment="1" applyProtection="1">
      <alignment horizontal="left"/>
    </xf>
    <xf numFmtId="0" fontId="138" fillId="10" borderId="56" xfId="0" applyFont="1" applyFill="1" applyBorder="1" applyAlignment="1" applyProtection="1">
      <alignment horizontal="center"/>
    </xf>
    <xf numFmtId="0" fontId="127" fillId="10" borderId="56" xfId="0" applyFont="1" applyFill="1" applyBorder="1" applyAlignment="1" applyProtection="1">
      <alignment horizontal="left"/>
    </xf>
    <xf numFmtId="0" fontId="26" fillId="10" borderId="56" xfId="0" applyFont="1" applyFill="1" applyBorder="1" applyProtection="1"/>
    <xf numFmtId="0" fontId="130" fillId="10" borderId="56" xfId="0" applyFont="1" applyFill="1" applyBorder="1" applyAlignment="1" applyProtection="1">
      <alignment horizontal="left"/>
    </xf>
    <xf numFmtId="0" fontId="130" fillId="10" borderId="56" xfId="0" applyNumberFormat="1" applyFont="1" applyFill="1" applyBorder="1" applyAlignment="1" applyProtection="1">
      <alignment horizontal="center"/>
    </xf>
    <xf numFmtId="175" fontId="130" fillId="10" borderId="56" xfId="0" applyNumberFormat="1" applyFont="1" applyFill="1" applyBorder="1" applyAlignment="1" applyProtection="1">
      <alignment horizontal="center"/>
    </xf>
    <xf numFmtId="169" fontId="130" fillId="10" borderId="56" xfId="0" applyNumberFormat="1" applyFont="1" applyFill="1" applyBorder="1" applyAlignment="1" applyProtection="1">
      <alignment horizontal="center"/>
    </xf>
    <xf numFmtId="0" fontId="130" fillId="10" borderId="56" xfId="0" applyFont="1" applyFill="1" applyBorder="1" applyAlignment="1" applyProtection="1">
      <alignment horizontal="center"/>
    </xf>
    <xf numFmtId="0" fontId="132" fillId="10" borderId="56" xfId="0" applyFont="1" applyFill="1" applyBorder="1" applyAlignment="1" applyProtection="1">
      <alignment horizontal="center"/>
    </xf>
    <xf numFmtId="171" fontId="130" fillId="10" borderId="56" xfId="0" applyNumberFormat="1" applyFont="1" applyFill="1" applyBorder="1" applyAlignment="1" applyProtection="1">
      <alignment horizontal="center"/>
    </xf>
    <xf numFmtId="171" fontId="108" fillId="10" borderId="56" xfId="0" applyNumberFormat="1" applyFont="1" applyFill="1" applyBorder="1" applyAlignment="1" applyProtection="1">
      <alignment horizontal="center"/>
    </xf>
    <xf numFmtId="0" fontId="131" fillId="10" borderId="56" xfId="0" applyFont="1" applyFill="1" applyBorder="1" applyAlignment="1" applyProtection="1">
      <alignment horizontal="left"/>
    </xf>
    <xf numFmtId="1" fontId="130" fillId="10" borderId="56" xfId="0" applyNumberFormat="1" applyFont="1" applyFill="1" applyBorder="1" applyAlignment="1" applyProtection="1">
      <alignment horizontal="left"/>
    </xf>
    <xf numFmtId="0" fontId="16" fillId="10" borderId="56" xfId="0" applyNumberFormat="1" applyFont="1" applyFill="1" applyBorder="1" applyAlignment="1" applyProtection="1">
      <alignment horizontal="center"/>
    </xf>
    <xf numFmtId="169" fontId="16" fillId="10" borderId="56" xfId="0" applyNumberFormat="1" applyFont="1" applyFill="1" applyBorder="1" applyAlignment="1" applyProtection="1">
      <alignment horizontal="center"/>
    </xf>
    <xf numFmtId="1" fontId="16" fillId="10" borderId="56" xfId="0" applyNumberFormat="1" applyFont="1" applyFill="1" applyBorder="1" applyAlignment="1" applyProtection="1">
      <alignment horizontal="center"/>
    </xf>
    <xf numFmtId="171" fontId="16" fillId="10" borderId="56" xfId="0" applyNumberFormat="1" applyFont="1" applyFill="1" applyBorder="1" applyAlignment="1" applyProtection="1">
      <alignment horizontal="center"/>
    </xf>
    <xf numFmtId="171" fontId="12" fillId="10" borderId="56" xfId="0" applyNumberFormat="1" applyFont="1" applyFill="1" applyBorder="1" applyAlignment="1" applyProtection="1">
      <alignment horizontal="center"/>
    </xf>
    <xf numFmtId="171" fontId="6" fillId="10" borderId="56" xfId="0" applyNumberFormat="1" applyFont="1" applyFill="1" applyBorder="1" applyAlignment="1" applyProtection="1">
      <alignment horizontal="center"/>
    </xf>
    <xf numFmtId="169" fontId="12" fillId="10" borderId="56" xfId="3" applyNumberFormat="1" applyFont="1" applyFill="1" applyBorder="1" applyAlignment="1" applyProtection="1">
      <alignment horizontal="center"/>
      <protection locked="0"/>
    </xf>
    <xf numFmtId="173" fontId="12" fillId="11" borderId="56" xfId="3" applyNumberFormat="1" applyFont="1" applyFill="1" applyBorder="1" applyAlignment="1" applyProtection="1">
      <alignment horizontal="center"/>
    </xf>
    <xf numFmtId="3" fontId="12" fillId="11" borderId="56" xfId="2" applyNumberFormat="1" applyFont="1" applyFill="1" applyBorder="1" applyAlignment="1" applyProtection="1">
      <alignment horizontal="center"/>
    </xf>
    <xf numFmtId="171" fontId="12" fillId="11" borderId="56" xfId="3" applyNumberFormat="1" applyFont="1" applyFill="1" applyBorder="1" applyProtection="1"/>
    <xf numFmtId="171" fontId="6" fillId="11" borderId="56" xfId="3" applyNumberFormat="1" applyFont="1" applyFill="1" applyBorder="1" applyAlignment="1" applyProtection="1">
      <alignment horizontal="left"/>
    </xf>
    <xf numFmtId="171" fontId="6" fillId="10" borderId="56" xfId="3" applyNumberFormat="1" applyFont="1" applyFill="1" applyBorder="1" applyAlignment="1" applyProtection="1">
      <alignment horizontal="left"/>
    </xf>
    <xf numFmtId="169" fontId="6" fillId="10" borderId="56" xfId="3" applyNumberFormat="1" applyFont="1" applyFill="1" applyBorder="1" applyAlignment="1" applyProtection="1">
      <alignment horizontal="center"/>
      <protection locked="0"/>
    </xf>
    <xf numFmtId="0" fontId="13" fillId="10" borderId="56" xfId="0" applyFont="1" applyFill="1" applyBorder="1" applyAlignment="1" applyProtection="1">
      <alignment horizontal="left"/>
    </xf>
    <xf numFmtId="0" fontId="13" fillId="10" borderId="56" xfId="0" applyFont="1" applyFill="1" applyBorder="1" applyAlignment="1" applyProtection="1">
      <alignment horizontal="center"/>
    </xf>
    <xf numFmtId="175" fontId="13" fillId="10" borderId="56" xfId="0" applyNumberFormat="1" applyFont="1" applyFill="1" applyBorder="1" applyAlignment="1" applyProtection="1">
      <alignment horizontal="center"/>
    </xf>
    <xf numFmtId="0" fontId="13" fillId="10" borderId="56" xfId="0" applyNumberFormat="1" applyFont="1" applyFill="1" applyBorder="1" applyAlignment="1" applyProtection="1">
      <alignment horizontal="center"/>
    </xf>
    <xf numFmtId="169" fontId="135" fillId="12" borderId="56" xfId="0" applyNumberFormat="1" applyFont="1" applyFill="1" applyBorder="1" applyAlignment="1" applyProtection="1">
      <alignment horizontal="center"/>
    </xf>
    <xf numFmtId="169" fontId="73" fillId="10" borderId="56" xfId="0" applyNumberFormat="1" applyFont="1" applyFill="1" applyBorder="1" applyAlignment="1" applyProtection="1">
      <alignment horizontal="center"/>
    </xf>
    <xf numFmtId="3" fontId="135" fillId="12" borderId="56" xfId="0" applyNumberFormat="1" applyFont="1" applyFill="1" applyBorder="1" applyAlignment="1" applyProtection="1">
      <alignment horizontal="center"/>
    </xf>
    <xf numFmtId="171" fontId="135" fillId="12" borderId="56" xfId="0" applyNumberFormat="1" applyFont="1" applyFill="1" applyBorder="1" applyProtection="1"/>
    <xf numFmtId="171" fontId="64" fillId="10" borderId="56" xfId="0" applyNumberFormat="1" applyFont="1" applyFill="1" applyBorder="1" applyProtection="1"/>
    <xf numFmtId="171" fontId="13" fillId="10" borderId="56" xfId="0" applyNumberFormat="1" applyFont="1" applyFill="1" applyBorder="1" applyAlignment="1" applyProtection="1">
      <alignment horizontal="center"/>
    </xf>
    <xf numFmtId="171" fontId="13" fillId="10" borderId="56" xfId="0" applyNumberFormat="1" applyFont="1" applyFill="1" applyBorder="1" applyProtection="1"/>
    <xf numFmtId="0" fontId="12" fillId="8" borderId="55" xfId="0" applyFont="1" applyFill="1" applyBorder="1" applyProtection="1"/>
    <xf numFmtId="0" fontId="12" fillId="8" borderId="22" xfId="0" applyFont="1" applyFill="1" applyBorder="1" applyProtection="1"/>
    <xf numFmtId="0" fontId="12" fillId="8" borderId="22" xfId="0" applyFont="1" applyFill="1" applyBorder="1" applyAlignment="1" applyProtection="1">
      <alignment horizontal="left"/>
    </xf>
    <xf numFmtId="0" fontId="12" fillId="8" borderId="22" xfId="0" applyFont="1" applyFill="1" applyBorder="1" applyAlignment="1" applyProtection="1">
      <alignment horizontal="center"/>
    </xf>
    <xf numFmtId="175" fontId="12" fillId="8" borderId="22" xfId="0" applyNumberFormat="1" applyFont="1" applyFill="1" applyBorder="1" applyAlignment="1" applyProtection="1">
      <alignment horizontal="center"/>
    </xf>
    <xf numFmtId="0" fontId="12" fillId="8" borderId="22" xfId="0" applyNumberFormat="1" applyFont="1" applyFill="1" applyBorder="1" applyAlignment="1" applyProtection="1">
      <alignment horizontal="center"/>
    </xf>
    <xf numFmtId="169" fontId="12" fillId="8" borderId="22" xfId="3" applyNumberFormat="1" applyFont="1" applyFill="1" applyBorder="1" applyAlignment="1" applyProtection="1">
      <alignment horizontal="center"/>
    </xf>
    <xf numFmtId="169" fontId="12" fillId="8" borderId="22" xfId="0" applyNumberFormat="1" applyFont="1" applyFill="1" applyBorder="1" applyAlignment="1" applyProtection="1">
      <alignment horizontal="center"/>
    </xf>
    <xf numFmtId="171" fontId="12" fillId="8" borderId="22" xfId="3" applyNumberFormat="1" applyFont="1" applyFill="1" applyBorder="1" applyAlignment="1" applyProtection="1">
      <alignment horizontal="center"/>
    </xf>
    <xf numFmtId="171" fontId="12" fillId="8" borderId="22" xfId="3" applyNumberFormat="1" applyFont="1" applyFill="1" applyBorder="1" applyProtection="1"/>
    <xf numFmtId="171" fontId="6" fillId="8" borderId="22" xfId="3" applyNumberFormat="1" applyFont="1" applyFill="1" applyBorder="1" applyAlignment="1" applyProtection="1">
      <alignment horizontal="left"/>
    </xf>
    <xf numFmtId="171" fontId="6" fillId="8" borderId="18" xfId="3" applyNumberFormat="1" applyFont="1" applyFill="1" applyBorder="1" applyAlignment="1" applyProtection="1">
      <alignment horizontal="left"/>
    </xf>
    <xf numFmtId="0" fontId="12" fillId="8" borderId="5" xfId="0" applyFont="1" applyFill="1" applyBorder="1" applyAlignment="1" applyProtection="1"/>
    <xf numFmtId="0" fontId="13" fillId="8" borderId="17" xfId="0" applyFont="1" applyFill="1" applyBorder="1" applyProtection="1"/>
    <xf numFmtId="0" fontId="13" fillId="8" borderId="7" xfId="0" applyFont="1" applyFill="1" applyBorder="1" applyProtection="1"/>
    <xf numFmtId="0" fontId="13" fillId="8" borderId="7" xfId="0" applyFont="1" applyFill="1" applyBorder="1" applyAlignment="1" applyProtection="1">
      <alignment horizontal="left"/>
    </xf>
    <xf numFmtId="0" fontId="13" fillId="8" borderId="7" xfId="0" applyFont="1" applyFill="1" applyBorder="1" applyAlignment="1" applyProtection="1">
      <alignment horizontal="center"/>
    </xf>
    <xf numFmtId="175" fontId="13" fillId="8" borderId="7" xfId="0" applyNumberFormat="1" applyFont="1" applyFill="1" applyBorder="1" applyAlignment="1" applyProtection="1">
      <alignment horizontal="center"/>
    </xf>
    <xf numFmtId="0" fontId="13" fillId="8" borderId="7" xfId="0" applyNumberFormat="1" applyFont="1" applyFill="1" applyBorder="1" applyAlignment="1" applyProtection="1">
      <alignment horizontal="center"/>
    </xf>
    <xf numFmtId="169" fontId="13" fillId="8" borderId="7" xfId="3" applyNumberFormat="1" applyFont="1" applyFill="1" applyBorder="1" applyAlignment="1" applyProtection="1">
      <alignment horizontal="center"/>
    </xf>
    <xf numFmtId="169" fontId="13" fillId="8" borderId="7" xfId="0" applyNumberFormat="1" applyFont="1" applyFill="1" applyBorder="1" applyAlignment="1" applyProtection="1">
      <alignment horizontal="center"/>
    </xf>
    <xf numFmtId="171" fontId="13" fillId="8" borderId="7" xfId="3" applyNumberFormat="1" applyFont="1" applyFill="1" applyBorder="1" applyAlignment="1" applyProtection="1">
      <alignment horizontal="center"/>
    </xf>
    <xf numFmtId="171" fontId="13" fillId="8" borderId="7" xfId="3" applyNumberFormat="1" applyFont="1" applyFill="1" applyBorder="1" applyProtection="1"/>
    <xf numFmtId="171" fontId="6" fillId="8" borderId="7" xfId="3" applyNumberFormat="1" applyFont="1" applyFill="1" applyBorder="1" applyAlignment="1" applyProtection="1">
      <alignment horizontal="left"/>
    </xf>
    <xf numFmtId="0" fontId="12" fillId="8" borderId="0" xfId="0" applyFont="1" applyFill="1" applyBorder="1" applyAlignment="1" applyProtection="1">
      <alignment horizontal="left"/>
    </xf>
    <xf numFmtId="175" fontId="12" fillId="8" borderId="0" xfId="0" applyNumberFormat="1" applyFont="1" applyFill="1" applyBorder="1" applyAlignment="1" applyProtection="1">
      <alignment horizontal="center"/>
    </xf>
    <xf numFmtId="0" fontId="12" fillId="8" borderId="0" xfId="0" applyNumberFormat="1" applyFont="1" applyFill="1" applyBorder="1" applyAlignment="1" applyProtection="1">
      <alignment horizontal="center"/>
    </xf>
    <xf numFmtId="171" fontId="12" fillId="8" borderId="0" xfId="3" applyNumberFormat="1" applyFont="1" applyFill="1" applyBorder="1" applyAlignment="1" applyProtection="1">
      <alignment horizontal="center"/>
    </xf>
    <xf numFmtId="171" fontId="12" fillId="8" borderId="0" xfId="3" applyNumberFormat="1" applyFont="1" applyFill="1" applyBorder="1" applyProtection="1"/>
    <xf numFmtId="171" fontId="6" fillId="8" borderId="0" xfId="3" applyNumberFormat="1" applyFont="1" applyFill="1" applyBorder="1" applyAlignment="1" applyProtection="1">
      <alignment horizontal="left"/>
    </xf>
    <xf numFmtId="176" fontId="13" fillId="8" borderId="0" xfId="0" applyNumberFormat="1" applyFont="1" applyFill="1" applyBorder="1" applyAlignment="1" applyProtection="1">
      <alignment horizontal="left"/>
    </xf>
    <xf numFmtId="0" fontId="12" fillId="2" borderId="55" xfId="0" applyFont="1" applyFill="1" applyBorder="1" applyProtection="1"/>
    <xf numFmtId="0" fontId="12" fillId="2" borderId="22" xfId="0" applyFont="1" applyFill="1" applyBorder="1" applyAlignment="1" applyProtection="1">
      <alignment horizontal="left"/>
    </xf>
    <xf numFmtId="175" fontId="12" fillId="2" borderId="22" xfId="0" applyNumberFormat="1" applyFont="1" applyFill="1" applyBorder="1" applyAlignment="1" applyProtection="1">
      <alignment horizontal="center"/>
    </xf>
    <xf numFmtId="0" fontId="12" fillId="2" borderId="22" xfId="0" applyNumberFormat="1" applyFont="1" applyFill="1" applyBorder="1" applyAlignment="1" applyProtection="1">
      <alignment horizontal="center"/>
    </xf>
    <xf numFmtId="169" fontId="12" fillId="2" borderId="22" xfId="0" applyNumberFormat="1" applyFont="1" applyFill="1" applyBorder="1" applyAlignment="1" applyProtection="1">
      <alignment horizontal="center"/>
    </xf>
    <xf numFmtId="171" fontId="6" fillId="2" borderId="22" xfId="0" applyNumberFormat="1" applyFont="1" applyFill="1" applyBorder="1" applyProtection="1"/>
    <xf numFmtId="171" fontId="6" fillId="8" borderId="18" xfId="0" applyNumberFormat="1" applyFont="1" applyFill="1" applyBorder="1" applyProtection="1"/>
    <xf numFmtId="0" fontId="41" fillId="6" borderId="26" xfId="0" applyFont="1" applyFill="1" applyBorder="1" applyAlignment="1" applyProtection="1"/>
    <xf numFmtId="0" fontId="13" fillId="3" borderId="26" xfId="0" applyFont="1" applyFill="1" applyBorder="1" applyProtection="1"/>
    <xf numFmtId="0" fontId="130" fillId="3" borderId="26" xfId="0" applyFont="1" applyFill="1" applyBorder="1" applyAlignment="1" applyProtection="1">
      <alignment horizontal="center"/>
    </xf>
    <xf numFmtId="164" fontId="6" fillId="11" borderId="26" xfId="0" applyNumberFormat="1" applyFont="1" applyFill="1" applyBorder="1" applyAlignment="1" applyProtection="1"/>
    <xf numFmtId="164" fontId="6" fillId="12" borderId="26" xfId="0" applyNumberFormat="1" applyFont="1" applyFill="1" applyBorder="1" applyAlignment="1" applyProtection="1"/>
    <xf numFmtId="164" fontId="45" fillId="3" borderId="26" xfId="0" applyNumberFormat="1" applyFont="1" applyFill="1" applyBorder="1" applyAlignment="1" applyProtection="1"/>
    <xf numFmtId="164" fontId="6" fillId="3" borderId="26" xfId="0" applyNumberFormat="1" applyFont="1" applyFill="1" applyBorder="1" applyAlignment="1" applyProtection="1"/>
    <xf numFmtId="0" fontId="6" fillId="11" borderId="26" xfId="0" applyFont="1" applyFill="1" applyBorder="1" applyProtection="1"/>
    <xf numFmtId="164" fontId="7" fillId="12" borderId="26" xfId="0" applyNumberFormat="1" applyFont="1" applyFill="1" applyBorder="1" applyAlignment="1" applyProtection="1"/>
    <xf numFmtId="0" fontId="6" fillId="3" borderId="26" xfId="0" applyFont="1" applyFill="1" applyBorder="1" applyAlignment="1" applyProtection="1"/>
    <xf numFmtId="164" fontId="35" fillId="3" borderId="26" xfId="0" applyNumberFormat="1" applyFont="1" applyFill="1" applyBorder="1" applyAlignment="1" applyProtection="1"/>
    <xf numFmtId="0" fontId="132" fillId="3" borderId="26" xfId="0" applyFont="1" applyFill="1" applyBorder="1" applyAlignment="1" applyProtection="1">
      <alignment horizontal="left"/>
    </xf>
    <xf numFmtId="0" fontId="12" fillId="3" borderId="57" xfId="0" applyFont="1" applyFill="1" applyBorder="1" applyAlignment="1" applyProtection="1"/>
    <xf numFmtId="0" fontId="12" fillId="3" borderId="26" xfId="0" applyFont="1" applyFill="1" applyBorder="1" applyAlignment="1" applyProtection="1"/>
    <xf numFmtId="0" fontId="131" fillId="3" borderId="26" xfId="0" applyFont="1" applyFill="1" applyBorder="1" applyAlignment="1" applyProtection="1"/>
    <xf numFmtId="166" fontId="6" fillId="11" borderId="26" xfId="0" applyNumberFormat="1" applyFont="1" applyFill="1" applyBorder="1" applyAlignment="1" applyProtection="1"/>
    <xf numFmtId="166" fontId="6" fillId="12" borderId="26" xfId="0" applyNumberFormat="1" applyFont="1" applyFill="1" applyBorder="1" applyAlignment="1" applyProtection="1"/>
    <xf numFmtId="167" fontId="7" fillId="12" borderId="26" xfId="0" applyNumberFormat="1" applyFont="1" applyFill="1" applyBorder="1" applyAlignment="1" applyProtection="1"/>
    <xf numFmtId="1" fontId="130" fillId="3" borderId="26" xfId="0" applyNumberFormat="1" applyFont="1" applyFill="1" applyBorder="1" applyAlignment="1" applyProtection="1">
      <alignment horizontal="center"/>
    </xf>
    <xf numFmtId="167" fontId="6" fillId="12" borderId="26" xfId="0" applyNumberFormat="1" applyFont="1" applyFill="1" applyBorder="1" applyAlignment="1" applyProtection="1"/>
    <xf numFmtId="0" fontId="6" fillId="3" borderId="58" xfId="0" applyFont="1" applyFill="1" applyBorder="1" applyAlignment="1" applyProtection="1"/>
    <xf numFmtId="164" fontId="12" fillId="11" borderId="26" xfId="0" applyNumberFormat="1" applyFont="1" applyFill="1" applyBorder="1" applyAlignment="1" applyProtection="1"/>
    <xf numFmtId="44" fontId="6" fillId="12" borderId="26" xfId="0" applyNumberFormat="1" applyFont="1" applyFill="1" applyBorder="1" applyAlignment="1" applyProtection="1"/>
    <xf numFmtId="164" fontId="45" fillId="6" borderId="26" xfId="0" applyNumberFormat="1" applyFont="1" applyFill="1" applyBorder="1" applyAlignment="1" applyProtection="1"/>
    <xf numFmtId="44" fontId="7" fillId="12" borderId="26" xfId="0" applyNumberFormat="1" applyFont="1" applyFill="1" applyBorder="1" applyAlignment="1" applyProtection="1"/>
    <xf numFmtId="184" fontId="130" fillId="3" borderId="26" xfId="0" applyNumberFormat="1" applyFont="1" applyFill="1" applyBorder="1" applyAlignment="1" applyProtection="1">
      <alignment horizontal="center"/>
    </xf>
    <xf numFmtId="164" fontId="35" fillId="6" borderId="26" xfId="0" applyNumberFormat="1" applyFont="1" applyFill="1" applyBorder="1" applyAlignment="1" applyProtection="1"/>
    <xf numFmtId="0" fontId="0" fillId="10" borderId="0" xfId="0" applyFill="1" applyBorder="1" applyAlignment="1">
      <alignment horizontal="left"/>
    </xf>
    <xf numFmtId="1" fontId="12" fillId="8" borderId="26" xfId="0" applyNumberFormat="1" applyFont="1" applyFill="1" applyBorder="1" applyAlignment="1" applyProtection="1">
      <alignment horizontal="center"/>
      <protection locked="0"/>
    </xf>
    <xf numFmtId="165" fontId="6" fillId="8" borderId="26" xfId="3" applyNumberFormat="1" applyFont="1" applyFill="1" applyBorder="1" applyProtection="1">
      <protection locked="0"/>
    </xf>
    <xf numFmtId="175" fontId="12" fillId="10" borderId="52" xfId="0" applyNumberFormat="1" applyFont="1" applyFill="1" applyBorder="1" applyAlignment="1" applyProtection="1">
      <alignment horizontal="center"/>
    </xf>
    <xf numFmtId="0" fontId="16" fillId="10" borderId="52" xfId="0" applyNumberFormat="1" applyFont="1" applyFill="1" applyBorder="1" applyAlignment="1" applyProtection="1">
      <alignment horizontal="center"/>
    </xf>
    <xf numFmtId="169" fontId="16" fillId="10" borderId="52" xfId="0" applyNumberFormat="1" applyFont="1" applyFill="1" applyBorder="1" applyAlignment="1" applyProtection="1">
      <alignment horizontal="center"/>
    </xf>
    <xf numFmtId="1" fontId="16" fillId="10" borderId="52" xfId="0" applyNumberFormat="1" applyFont="1" applyFill="1" applyBorder="1" applyAlignment="1" applyProtection="1">
      <alignment horizontal="center"/>
    </xf>
    <xf numFmtId="0" fontId="13" fillId="10" borderId="49" xfId="0" applyFont="1" applyFill="1" applyBorder="1" applyAlignment="1" applyProtection="1">
      <alignment horizontal="left"/>
    </xf>
    <xf numFmtId="0" fontId="13" fillId="10" borderId="49" xfId="0" applyFont="1" applyFill="1" applyBorder="1" applyAlignment="1" applyProtection="1">
      <alignment horizontal="center"/>
    </xf>
    <xf numFmtId="175" fontId="13" fillId="10" borderId="49" xfId="0" applyNumberFormat="1" applyFont="1" applyFill="1" applyBorder="1" applyAlignment="1" applyProtection="1">
      <alignment horizontal="center"/>
    </xf>
    <xf numFmtId="0" fontId="13" fillId="10" borderId="49" xfId="0" applyNumberFormat="1" applyFont="1" applyFill="1" applyBorder="1" applyAlignment="1" applyProtection="1">
      <alignment horizontal="center"/>
    </xf>
    <xf numFmtId="169" fontId="135" fillId="12" borderId="49" xfId="0" applyNumberFormat="1" applyFont="1" applyFill="1" applyBorder="1" applyAlignment="1" applyProtection="1">
      <alignment horizontal="center"/>
    </xf>
    <xf numFmtId="3" fontId="135" fillId="12" borderId="49" xfId="0" applyNumberFormat="1" applyFont="1" applyFill="1" applyBorder="1" applyAlignment="1" applyProtection="1">
      <alignment horizontal="center"/>
    </xf>
    <xf numFmtId="164" fontId="12" fillId="14" borderId="26" xfId="0" applyNumberFormat="1" applyFont="1" applyFill="1" applyBorder="1" applyAlignment="1" applyProtection="1">
      <alignment horizontal="center"/>
      <protection locked="0"/>
    </xf>
    <xf numFmtId="164" fontId="6" fillId="8" borderId="26" xfId="0" applyNumberFormat="1" applyFont="1" applyFill="1" applyBorder="1" applyAlignment="1" applyProtection="1">
      <alignment horizontal="left"/>
      <protection locked="0"/>
    </xf>
    <xf numFmtId="42" fontId="16" fillId="8" borderId="26" xfId="0" applyNumberFormat="1" applyFont="1" applyFill="1" applyBorder="1" applyProtection="1">
      <protection locked="0"/>
    </xf>
    <xf numFmtId="164" fontId="6" fillId="8" borderId="26" xfId="3" applyNumberFormat="1" applyFont="1" applyFill="1" applyBorder="1" applyAlignment="1" applyProtection="1">
      <alignment horizontal="left"/>
      <protection locked="0"/>
    </xf>
    <xf numFmtId="42" fontId="16" fillId="8" borderId="26" xfId="0" applyNumberFormat="1" applyFont="1" applyFill="1" applyBorder="1" applyAlignment="1" applyProtection="1">
      <alignment horizontal="left"/>
      <protection locked="0"/>
    </xf>
    <xf numFmtId="42" fontId="6" fillId="8" borderId="26" xfId="0" applyNumberFormat="1" applyFont="1" applyFill="1" applyBorder="1" applyAlignment="1" applyProtection="1">
      <alignment horizontal="left"/>
      <protection locked="0"/>
    </xf>
    <xf numFmtId="167" fontId="82" fillId="0" borderId="0" xfId="0" applyNumberFormat="1" applyFont="1" applyFill="1" applyAlignment="1" applyProtection="1">
      <alignment horizontal="right"/>
    </xf>
    <xf numFmtId="165" fontId="149" fillId="11" borderId="0" xfId="0" applyNumberFormat="1" applyFont="1" applyFill="1" applyProtection="1">
      <protection locked="0"/>
    </xf>
    <xf numFmtId="2" fontId="149" fillId="11" borderId="0" xfId="0" applyNumberFormat="1" applyFont="1" applyFill="1" applyProtection="1">
      <protection locked="0"/>
    </xf>
    <xf numFmtId="174" fontId="12" fillId="14" borderId="1" xfId="0" applyNumberFormat="1" applyFont="1" applyFill="1" applyBorder="1" applyAlignment="1" applyProtection="1">
      <alignment horizontal="center"/>
      <protection locked="0"/>
    </xf>
    <xf numFmtId="0" fontId="133" fillId="10" borderId="26" xfId="0" applyFont="1" applyFill="1" applyBorder="1" applyAlignment="1" applyProtection="1">
      <alignment horizontal="left"/>
    </xf>
    <xf numFmtId="0" fontId="137" fillId="10" borderId="26" xfId="0" applyFont="1" applyFill="1" applyBorder="1" applyAlignment="1" applyProtection="1">
      <alignment horizontal="left"/>
    </xf>
    <xf numFmtId="0" fontId="164" fillId="10" borderId="26" xfId="0" applyFont="1" applyFill="1" applyBorder="1" applyAlignment="1" applyProtection="1">
      <alignment horizontal="left"/>
    </xf>
    <xf numFmtId="0" fontId="14" fillId="10" borderId="0" xfId="0" applyFont="1" applyFill="1" applyBorder="1" applyAlignment="1" applyProtection="1">
      <alignment horizontal="right"/>
    </xf>
    <xf numFmtId="16" fontId="132" fillId="10" borderId="0" xfId="0" applyNumberFormat="1" applyFont="1" applyFill="1" applyBorder="1" applyAlignment="1" applyProtection="1">
      <alignment horizontal="center"/>
    </xf>
    <xf numFmtId="0" fontId="22" fillId="10" borderId="0" xfId="0" applyNumberFormat="1" applyFont="1" applyFill="1" applyBorder="1" applyAlignment="1" applyProtection="1">
      <alignment horizontal="right"/>
    </xf>
    <xf numFmtId="0" fontId="23" fillId="10" borderId="0" xfId="0" applyFont="1" applyFill="1" applyBorder="1" applyAlignment="1" applyProtection="1">
      <alignment horizontal="right"/>
    </xf>
    <xf numFmtId="164" fontId="6" fillId="10" borderId="0" xfId="0" applyNumberFormat="1" applyFont="1" applyFill="1" applyBorder="1" applyAlignment="1" applyProtection="1">
      <alignment horizontal="left"/>
    </xf>
    <xf numFmtId="164" fontId="7" fillId="10" borderId="0" xfId="0" applyNumberFormat="1" applyFont="1" applyFill="1" applyBorder="1" applyAlignment="1" applyProtection="1">
      <alignment horizontal="left"/>
    </xf>
    <xf numFmtId="42" fontId="6" fillId="10" borderId="0" xfId="0" applyNumberFormat="1" applyFont="1" applyFill="1" applyBorder="1" applyProtection="1"/>
    <xf numFmtId="42" fontId="16" fillId="10" borderId="0" xfId="0" applyNumberFormat="1" applyFont="1" applyFill="1" applyBorder="1" applyProtection="1"/>
    <xf numFmtId="42" fontId="6" fillId="10" borderId="0" xfId="3" applyNumberFormat="1" applyFont="1" applyFill="1" applyBorder="1" applyAlignment="1" applyProtection="1">
      <alignment horizontal="left"/>
    </xf>
    <xf numFmtId="42" fontId="6" fillId="10" borderId="0" xfId="0" applyNumberFormat="1" applyFont="1" applyFill="1" applyBorder="1" applyAlignment="1" applyProtection="1">
      <alignment horizontal="left"/>
    </xf>
    <xf numFmtId="0" fontId="6" fillId="10" borderId="0" xfId="0" applyNumberFormat="1" applyFont="1" applyFill="1" applyBorder="1" applyProtection="1"/>
    <xf numFmtId="164" fontId="6" fillId="10" borderId="0" xfId="3" applyNumberFormat="1" applyFont="1" applyFill="1" applyBorder="1" applyAlignment="1" applyProtection="1">
      <alignment horizontal="left"/>
    </xf>
    <xf numFmtId="0" fontId="16" fillId="10" borderId="0" xfId="0" applyFont="1" applyFill="1" applyBorder="1" applyAlignment="1" applyProtection="1">
      <alignment horizontal="right"/>
    </xf>
    <xf numFmtId="164" fontId="16" fillId="10" borderId="0" xfId="0" applyNumberFormat="1" applyFont="1" applyFill="1" applyBorder="1" applyAlignment="1" applyProtection="1">
      <alignment horizontal="left"/>
    </xf>
    <xf numFmtId="0" fontId="133" fillId="10" borderId="0" xfId="0" applyFont="1" applyFill="1" applyBorder="1" applyAlignment="1" applyProtection="1">
      <alignment horizontal="left"/>
    </xf>
    <xf numFmtId="164" fontId="6" fillId="10" borderId="0" xfId="0" applyNumberFormat="1" applyFont="1" applyFill="1" applyBorder="1" applyAlignment="1" applyProtection="1">
      <alignment horizontal="left"/>
      <protection locked="0"/>
    </xf>
    <xf numFmtId="0" fontId="80" fillId="10" borderId="0" xfId="0" applyFont="1" applyFill="1" applyBorder="1" applyAlignment="1" applyProtection="1">
      <alignment horizontal="left"/>
    </xf>
    <xf numFmtId="44" fontId="6" fillId="0" borderId="0" xfId="0" applyNumberFormat="1" applyFont="1" applyFill="1" applyAlignment="1" applyProtection="1">
      <alignment horizontal="left"/>
    </xf>
    <xf numFmtId="180" fontId="82" fillId="0" borderId="0" xfId="0" applyNumberFormat="1" applyFont="1" applyProtection="1"/>
    <xf numFmtId="185" fontId="6" fillId="11" borderId="0" xfId="0" applyNumberFormat="1" applyFont="1" applyFill="1" applyBorder="1" applyAlignment="1" applyProtection="1">
      <alignment horizontal="center"/>
    </xf>
    <xf numFmtId="44" fontId="7" fillId="12" borderId="26" xfId="0" applyNumberFormat="1" applyFont="1" applyFill="1" applyBorder="1" applyAlignment="1" applyProtection="1">
      <alignment horizontal="center"/>
    </xf>
    <xf numFmtId="0" fontId="6" fillId="2" borderId="49" xfId="0" applyFont="1" applyFill="1" applyBorder="1" applyAlignment="1" applyProtection="1">
      <alignment horizontal="center"/>
      <protection locked="0"/>
    </xf>
    <xf numFmtId="167" fontId="6" fillId="11" borderId="49" xfId="0" applyNumberFormat="1" applyFont="1" applyFill="1" applyBorder="1" applyAlignment="1" applyProtection="1">
      <alignment horizontal="center"/>
    </xf>
    <xf numFmtId="167" fontId="6" fillId="11" borderId="52" xfId="0" applyNumberFormat="1" applyFont="1" applyFill="1" applyBorder="1" applyAlignment="1" applyProtection="1">
      <alignment horizontal="center"/>
    </xf>
    <xf numFmtId="0" fontId="6" fillId="11" borderId="49" xfId="0" applyFont="1" applyFill="1" applyBorder="1" applyAlignment="1" applyProtection="1">
      <alignment horizontal="center"/>
    </xf>
    <xf numFmtId="44" fontId="93" fillId="0" borderId="0" xfId="0" applyNumberFormat="1" applyFont="1" applyProtection="1"/>
    <xf numFmtId="0" fontId="166" fillId="0" borderId="0" xfId="0" applyFont="1"/>
    <xf numFmtId="0" fontId="6" fillId="10" borderId="51" xfId="0" applyFont="1" applyFill="1" applyBorder="1" applyAlignment="1" applyProtection="1">
      <alignment horizontal="center"/>
    </xf>
    <xf numFmtId="0" fontId="130" fillId="10" borderId="52" xfId="0" applyFont="1" applyFill="1" applyBorder="1" applyAlignment="1" applyProtection="1">
      <alignment horizontal="center"/>
    </xf>
    <xf numFmtId="0" fontId="35" fillId="10" borderId="51" xfId="0" applyFont="1" applyFill="1" applyBorder="1" applyAlignment="1" applyProtection="1">
      <alignment horizontal="center"/>
    </xf>
    <xf numFmtId="44" fontId="6" fillId="11" borderId="26" xfId="0" applyNumberFormat="1" applyFont="1" applyFill="1" applyBorder="1" applyAlignment="1" applyProtection="1">
      <alignment horizontal="center"/>
    </xf>
    <xf numFmtId="0" fontId="6" fillId="12" borderId="26" xfId="0" applyFont="1" applyFill="1" applyBorder="1" applyAlignment="1" applyProtection="1">
      <alignment horizontal="center"/>
    </xf>
    <xf numFmtId="44" fontId="6" fillId="12" borderId="26" xfId="0" applyNumberFormat="1" applyFont="1" applyFill="1" applyBorder="1" applyAlignment="1" applyProtection="1">
      <alignment horizontal="center"/>
    </xf>
    <xf numFmtId="167" fontId="6" fillId="12" borderId="26" xfId="0" applyNumberFormat="1" applyFont="1" applyFill="1" applyBorder="1" applyAlignment="1" applyProtection="1">
      <alignment horizontal="center"/>
    </xf>
    <xf numFmtId="167" fontId="6" fillId="10" borderId="50" xfId="0" applyNumberFormat="1" applyFont="1" applyFill="1" applyBorder="1" applyAlignment="1" applyProtection="1">
      <alignment horizontal="center"/>
    </xf>
    <xf numFmtId="167" fontId="35" fillId="10" borderId="50" xfId="0" applyNumberFormat="1" applyFont="1" applyFill="1" applyBorder="1" applyAlignment="1" applyProtection="1">
      <alignment horizontal="center"/>
    </xf>
    <xf numFmtId="0" fontId="6" fillId="10" borderId="50" xfId="0" applyFont="1" applyFill="1" applyBorder="1" applyAlignment="1" applyProtection="1">
      <alignment horizontal="center"/>
    </xf>
    <xf numFmtId="167" fontId="35" fillId="10" borderId="50" xfId="0" applyNumberFormat="1" applyFont="1" applyFill="1" applyBorder="1" applyAlignment="1" applyProtection="1">
      <alignment horizontal="left"/>
    </xf>
    <xf numFmtId="167" fontId="7" fillId="10" borderId="50" xfId="0" applyNumberFormat="1" applyFont="1" applyFill="1" applyBorder="1" applyAlignment="1" applyProtection="1">
      <alignment horizontal="center"/>
    </xf>
    <xf numFmtId="0" fontId="6" fillId="10" borderId="48" xfId="0" applyFont="1" applyFill="1" applyBorder="1" applyAlignment="1" applyProtection="1">
      <alignment horizontal="left"/>
    </xf>
    <xf numFmtId="0" fontId="6" fillId="2" borderId="52" xfId="0" applyFont="1" applyFill="1" applyBorder="1" applyAlignment="1" applyProtection="1">
      <alignment horizontal="center"/>
      <protection locked="0"/>
    </xf>
    <xf numFmtId="0" fontId="6" fillId="11" borderId="52" xfId="0" applyFont="1" applyFill="1" applyBorder="1" applyAlignment="1" applyProtection="1">
      <alignment horizontal="center"/>
    </xf>
    <xf numFmtId="0" fontId="6" fillId="0" borderId="26" xfId="0" applyFont="1" applyFill="1" applyBorder="1" applyAlignment="1" applyProtection="1">
      <alignment horizontal="center"/>
      <protection locked="0"/>
    </xf>
    <xf numFmtId="3" fontId="6" fillId="16" borderId="0" xfId="0" applyNumberFormat="1" applyFont="1" applyFill="1" applyBorder="1" applyAlignment="1" applyProtection="1">
      <alignment horizontal="left"/>
      <protection locked="0"/>
    </xf>
    <xf numFmtId="3" fontId="106" fillId="16" borderId="0" xfId="0" applyNumberFormat="1" applyFont="1" applyFill="1" applyBorder="1" applyAlignment="1" applyProtection="1">
      <alignment horizontal="left"/>
      <protection locked="0"/>
    </xf>
    <xf numFmtId="3" fontId="6" fillId="11" borderId="0" xfId="0" applyNumberFormat="1" applyFont="1" applyFill="1" applyBorder="1" applyAlignment="1" applyProtection="1">
      <alignment horizontal="left"/>
      <protection locked="0"/>
    </xf>
    <xf numFmtId="0" fontId="133" fillId="10" borderId="26" xfId="0" applyFont="1" applyFill="1" applyBorder="1" applyAlignment="1" applyProtection="1">
      <alignment horizontal="left"/>
    </xf>
    <xf numFmtId="0" fontId="137" fillId="10" borderId="26" xfId="0" applyFont="1" applyFill="1" applyBorder="1" applyAlignment="1" applyProtection="1">
      <alignment horizontal="left"/>
    </xf>
    <xf numFmtId="0" fontId="133" fillId="10" borderId="56" xfId="0" applyFont="1" applyFill="1" applyBorder="1" applyAlignment="1" applyProtection="1">
      <alignment horizontal="left"/>
    </xf>
    <xf numFmtId="0" fontId="137" fillId="10" borderId="56" xfId="0" applyFont="1" applyFill="1" applyBorder="1" applyAlignment="1" applyProtection="1">
      <alignment horizontal="left"/>
    </xf>
    <xf numFmtId="185" fontId="82" fillId="0" borderId="0" xfId="0" applyNumberFormat="1" applyFont="1" applyFill="1" applyAlignment="1" applyProtection="1">
      <alignment horizontal="right"/>
      <protection locked="0"/>
    </xf>
    <xf numFmtId="165" fontId="6" fillId="11" borderId="0" xfId="0" applyNumberFormat="1" applyFont="1" applyFill="1" applyBorder="1" applyAlignment="1" applyProtection="1">
      <alignment horizontal="left"/>
      <protection locked="0"/>
    </xf>
    <xf numFmtId="4" fontId="6" fillId="11" borderId="0" xfId="0" applyNumberFormat="1" applyFont="1" applyFill="1" applyBorder="1" applyAlignment="1" applyProtection="1">
      <alignment horizontal="left"/>
      <protection locked="0"/>
    </xf>
    <xf numFmtId="0" fontId="26" fillId="0" borderId="0" xfId="0" applyFont="1" applyFill="1" applyBorder="1" applyAlignment="1" applyProtection="1">
      <alignment horizontal="left"/>
    </xf>
    <xf numFmtId="44" fontId="82" fillId="11" borderId="0" xfId="0" applyNumberFormat="1" applyFont="1" applyFill="1" applyProtection="1"/>
    <xf numFmtId="44" fontId="82" fillId="11" borderId="0" xfId="0" applyNumberFormat="1" applyFont="1" applyFill="1" applyAlignment="1" applyProtection="1">
      <alignment horizontal="left"/>
    </xf>
    <xf numFmtId="44" fontId="6" fillId="11" borderId="26" xfId="0" applyNumberFormat="1" applyFont="1" applyFill="1" applyBorder="1" applyAlignment="1" applyProtection="1"/>
    <xf numFmtId="3" fontId="6" fillId="0" borderId="0" xfId="0" applyNumberFormat="1" applyFont="1" applyFill="1" applyBorder="1" applyAlignment="1" applyProtection="1">
      <alignment horizontal="left"/>
      <protection locked="0"/>
    </xf>
    <xf numFmtId="0" fontId="21" fillId="0" borderId="0" xfId="0" applyFont="1"/>
    <xf numFmtId="10" fontId="82" fillId="0" borderId="0" xfId="0" applyNumberFormat="1" applyFont="1" applyFill="1" applyAlignment="1" applyProtection="1">
      <alignment horizontal="right"/>
      <protection locked="0"/>
    </xf>
    <xf numFmtId="10" fontId="82" fillId="0" borderId="0" xfId="0" applyNumberFormat="1" applyFont="1" applyFill="1" applyAlignment="1" applyProtection="1">
      <alignment horizontal="center"/>
      <protection locked="0"/>
    </xf>
    <xf numFmtId="10" fontId="82" fillId="0" borderId="0" xfId="0" applyNumberFormat="1" applyFont="1" applyFill="1" applyAlignment="1" applyProtection="1">
      <alignment horizontal="center"/>
    </xf>
  </cellXfs>
  <cellStyles count="4">
    <cellStyle name="Hyperlink" xfId="1" builtinId="8"/>
    <cellStyle name="Procent" xfId="2" builtinId="5"/>
    <cellStyle name="Standaard" xfId="0" builtinId="0"/>
    <cellStyle name="Valuta" xfId="3" builtinId="4"/>
  </cellStyles>
  <dxfs count="0"/>
  <tableStyles count="0" defaultTableStyle="TableStyleMedium9" defaultPivotStyle="PivotStyleLight16"/>
  <colors>
    <mruColors>
      <color rgb="FFFFFF99"/>
      <color rgb="FFFFFFCC"/>
      <color rgb="FF993300"/>
      <color rgb="FF0066CC"/>
      <color rgb="FFFF660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Liquide Middelen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2480452.5249999999</c:v>
              </c:pt>
              <c:pt idx="2">
                <c:v>3694342.9400000018</c:v>
              </c:pt>
              <c:pt idx="3">
                <c:v>4888836.4400000023</c:v>
              </c:pt>
            </c:numLit>
          </c:val>
        </c:ser>
        <c:dLbls>
          <c:showLegendKey val="0"/>
          <c:showVal val="1"/>
          <c:showCatName val="0"/>
          <c:showSerName val="0"/>
          <c:showPercent val="0"/>
          <c:showBubbleSize val="0"/>
        </c:dLbls>
        <c:gapWidth val="150"/>
        <c:axId val="-813951520"/>
        <c:axId val="-813929216"/>
      </c:barChart>
      <c:catAx>
        <c:axId val="-813951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3929216"/>
        <c:crosses val="autoZero"/>
        <c:auto val="1"/>
        <c:lblAlgn val="ctr"/>
        <c:lblOffset val="100"/>
        <c:tickLblSkip val="1"/>
        <c:tickMarkSkip val="1"/>
        <c:noMultiLvlLbl val="0"/>
      </c:catAx>
      <c:valAx>
        <c:axId val="-81392921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39515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Weerstandsvermogen</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848231558916034"/>
          <c:y val="0.19822485207100593"/>
          <c:w val="0.81026874026569939"/>
          <c:h val="0.66863905325444806"/>
        </c:manualLayout>
      </c:layout>
      <c:barChart>
        <c:barDir val="col"/>
        <c:grouping val="clustered"/>
        <c:varyColors val="0"/>
        <c:ser>
          <c:idx val="0"/>
          <c:order val="0"/>
          <c:tx>
            <c:strRef>
              <c:f>ken!$D$13</c:f>
              <c:strCache>
                <c:ptCount val="1"/>
                <c:pt idx="0">
                  <c:v>Weerstandsvermogen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ken!$F$8:$I$8</c:f>
              <c:numCache>
                <c:formatCode>0</c:formatCode>
                <c:ptCount val="4"/>
                <c:pt idx="0">
                  <c:v>2016</c:v>
                </c:pt>
                <c:pt idx="1">
                  <c:v>2017</c:v>
                </c:pt>
                <c:pt idx="2">
                  <c:v>2018</c:v>
                </c:pt>
                <c:pt idx="3">
                  <c:v>2019</c:v>
                </c:pt>
              </c:numCache>
            </c:numRef>
          </c:cat>
          <c:val>
            <c:numRef>
              <c:f>ken!$F$13:$I$13</c:f>
              <c:numCache>
                <c:formatCode>0%</c:formatCode>
                <c:ptCount val="4"/>
                <c:pt idx="0">
                  <c:v>0</c:v>
                </c:pt>
                <c:pt idx="1">
                  <c:v>0</c:v>
                </c:pt>
                <c:pt idx="2">
                  <c:v>0</c:v>
                </c:pt>
                <c:pt idx="3">
                  <c:v>0</c:v>
                </c:pt>
              </c:numCache>
            </c:numRef>
          </c:val>
        </c:ser>
        <c:dLbls>
          <c:showLegendKey val="0"/>
          <c:showVal val="1"/>
          <c:showCatName val="0"/>
          <c:showSerName val="0"/>
          <c:showPercent val="0"/>
          <c:showBubbleSize val="0"/>
        </c:dLbls>
        <c:gapWidth val="150"/>
        <c:axId val="-813932480"/>
        <c:axId val="-813931936"/>
      </c:barChart>
      <c:catAx>
        <c:axId val="-81393248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3931936"/>
        <c:crosses val="autoZero"/>
        <c:auto val="1"/>
        <c:lblAlgn val="ctr"/>
        <c:lblOffset val="100"/>
        <c:tickLblSkip val="1"/>
        <c:tickMarkSkip val="1"/>
        <c:noMultiLvlLbl val="0"/>
      </c:catAx>
      <c:valAx>
        <c:axId val="-813931936"/>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39324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Rijksbijdragen OCW</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5559923.8624999998</c:v>
              </c:pt>
              <c:pt idx="1">
                <c:v>5584447.4375000009</c:v>
              </c:pt>
              <c:pt idx="2">
                <c:v>5584138.3000000017</c:v>
              </c:pt>
              <c:pt idx="3">
                <c:v>5584138.3000000017</c:v>
              </c:pt>
            </c:numLit>
          </c:val>
        </c:ser>
        <c:dLbls>
          <c:showLegendKey val="0"/>
          <c:showVal val="1"/>
          <c:showCatName val="0"/>
          <c:showSerName val="0"/>
          <c:showPercent val="0"/>
          <c:showBubbleSize val="0"/>
        </c:dLbls>
        <c:gapWidth val="150"/>
        <c:axId val="-813928128"/>
        <c:axId val="-813927584"/>
      </c:barChart>
      <c:catAx>
        <c:axId val="-8139281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3927584"/>
        <c:crosses val="autoZero"/>
        <c:auto val="1"/>
        <c:lblAlgn val="ctr"/>
        <c:lblOffset val="100"/>
        <c:tickLblSkip val="1"/>
        <c:tickMarkSkip val="1"/>
        <c:noMultiLvlLbl val="0"/>
      </c:catAx>
      <c:valAx>
        <c:axId val="-81392758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392812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Personele 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Ref>
              <c:f>{}</c:f>
            </c:numRef>
          </c:val>
        </c:ser>
        <c:dLbls>
          <c:showLegendKey val="0"/>
          <c:showVal val="1"/>
          <c:showCatName val="0"/>
          <c:showSerName val="0"/>
          <c:showPercent val="0"/>
          <c:showBubbleSize val="0"/>
        </c:dLbls>
        <c:gapWidth val="150"/>
        <c:axId val="-813956416"/>
        <c:axId val="-813944448"/>
      </c:barChart>
      <c:catAx>
        <c:axId val="-813956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3944448"/>
        <c:crosses val="autoZero"/>
        <c:auto val="1"/>
        <c:lblAlgn val="ctr"/>
        <c:lblOffset val="100"/>
        <c:tickLblSkip val="1"/>
        <c:tickMarkSkip val="1"/>
        <c:noMultiLvlLbl val="0"/>
      </c:catAx>
      <c:valAx>
        <c:axId val="-813944448"/>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39564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Afschrijvingen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813956960"/>
        <c:axId val="-813949888"/>
      </c:barChart>
      <c:catAx>
        <c:axId val="-813956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3949888"/>
        <c:crosses val="autoZero"/>
        <c:auto val="1"/>
        <c:lblAlgn val="ctr"/>
        <c:lblOffset val="100"/>
        <c:tickLblSkip val="1"/>
        <c:tickMarkSkip val="1"/>
        <c:noMultiLvlLbl val="0"/>
      </c:catAx>
      <c:valAx>
        <c:axId val="-813949888"/>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395696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Huisvestingslasten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813946080"/>
        <c:axId val="-813945536"/>
      </c:barChart>
      <c:catAx>
        <c:axId val="-8139460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3945536"/>
        <c:crosses val="autoZero"/>
        <c:auto val="1"/>
        <c:lblAlgn val="ctr"/>
        <c:lblOffset val="100"/>
        <c:tickLblSkip val="1"/>
        <c:tickMarkSkip val="1"/>
        <c:noMultiLvlLbl val="0"/>
      </c:catAx>
      <c:valAx>
        <c:axId val="-813945536"/>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39460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instellingslasten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813942272"/>
        <c:axId val="-817474928"/>
      </c:barChart>
      <c:catAx>
        <c:axId val="-813942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7474928"/>
        <c:crosses val="autoZero"/>
        <c:auto val="1"/>
        <c:lblAlgn val="ctr"/>
        <c:lblOffset val="100"/>
        <c:tickLblSkip val="1"/>
        <c:tickMarkSkip val="1"/>
        <c:noMultiLvlLbl val="0"/>
      </c:catAx>
      <c:valAx>
        <c:axId val="-81747492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39422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Onderwijsleermiddelen</a:t>
            </a:r>
          </a:p>
        </c:rich>
      </c:tx>
      <c:overlay val="0"/>
      <c:spPr>
        <a:noFill/>
        <a:ln w="25400">
          <a:noFill/>
        </a:ln>
      </c:spPr>
    </c:title>
    <c:autoTitleDeleted val="0"/>
    <c:plotArea>
      <c:layout/>
      <c:barChart>
        <c:barDir val="col"/>
        <c:grouping val="clustered"/>
        <c:varyColors val="0"/>
        <c:ser>
          <c:idx val="0"/>
          <c:order val="0"/>
          <c:spPr>
            <a:solidFill>
              <a:srgbClr val="FF0000"/>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817492880"/>
        <c:axId val="-817463504"/>
      </c:barChart>
      <c:catAx>
        <c:axId val="-81749288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7463504"/>
        <c:crosses val="autoZero"/>
        <c:auto val="1"/>
        <c:lblAlgn val="ctr"/>
        <c:lblOffset val="100"/>
        <c:tickLblSkip val="1"/>
        <c:tickMarkSkip val="1"/>
        <c:noMultiLvlLbl val="0"/>
      </c:catAx>
      <c:valAx>
        <c:axId val="-81746350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74928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52"/>
          <c:y val="3.5502958579881658E-2"/>
        </c:manualLayout>
      </c:layout>
      <c:overlay val="0"/>
      <c:spPr>
        <a:noFill/>
        <a:ln w="25400">
          <a:noFill/>
        </a:ln>
      </c:spPr>
    </c:title>
    <c:autoTitleDeleted val="0"/>
    <c:plotArea>
      <c:layout>
        <c:manualLayout>
          <c:layoutTarget val="inner"/>
          <c:xMode val="edge"/>
          <c:yMode val="edge"/>
          <c:x val="0.19642878551895743"/>
          <c:y val="0.19822485207100593"/>
          <c:w val="0.77232227033590084"/>
          <c:h val="0.66863905325444806"/>
        </c:manualLayout>
      </c:layout>
      <c:barChart>
        <c:barDir val="col"/>
        <c:grouping val="clustered"/>
        <c:varyColors val="0"/>
        <c:ser>
          <c:idx val="0"/>
          <c:order val="0"/>
          <c:tx>
            <c:strRef>
              <c:f>begr!$D$44</c:f>
              <c:strCache>
                <c:ptCount val="1"/>
                <c:pt idx="0">
                  <c:v>Resultaat</c:v>
                </c:pt>
              </c:strCache>
            </c:strRef>
          </c:tx>
          <c:invertIfNegative val="0"/>
          <c:dLbls>
            <c:delete val="1"/>
          </c:dLbls>
          <c:cat>
            <c:numRef>
              <c:f>tab!$D$4:$H$4</c:f>
              <c:numCache>
                <c:formatCode>0</c:formatCode>
                <c:ptCount val="5"/>
                <c:pt idx="0">
                  <c:v>2016</c:v>
                </c:pt>
                <c:pt idx="1">
                  <c:v>2017</c:v>
                </c:pt>
                <c:pt idx="2">
                  <c:v>2018</c:v>
                </c:pt>
                <c:pt idx="3">
                  <c:v>2019</c:v>
                </c:pt>
                <c:pt idx="4">
                  <c:v>2020</c:v>
                </c:pt>
              </c:numCache>
            </c:numRef>
          </c:cat>
          <c:val>
            <c:numRef>
              <c:f>begr!$G$44:$J$44</c:f>
              <c:numCache>
                <c:formatCode>_-"€"\ * #,##0_-;_-"€"\ * #,##0\-;_-"€"\ * "-"_-;_-@_-</c:formatCode>
                <c:ptCount val="4"/>
                <c:pt idx="0">
                  <c:v>-78849.180000000022</c:v>
                </c:pt>
                <c:pt idx="1">
                  <c:v>-82605.420000000013</c:v>
                </c:pt>
                <c:pt idx="2">
                  <c:v>-85396.680000000022</c:v>
                </c:pt>
                <c:pt idx="3">
                  <c:v>-86780.160000000003</c:v>
                </c:pt>
              </c:numCache>
            </c:numRef>
          </c:val>
        </c:ser>
        <c:dLbls>
          <c:showLegendKey val="0"/>
          <c:showVal val="1"/>
          <c:showCatName val="0"/>
          <c:showSerName val="0"/>
          <c:showPercent val="0"/>
          <c:showBubbleSize val="0"/>
        </c:dLbls>
        <c:gapWidth val="150"/>
        <c:axId val="-817477648"/>
        <c:axId val="-817481456"/>
      </c:barChart>
      <c:catAx>
        <c:axId val="-81747764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7481456"/>
        <c:crosses val="autoZero"/>
        <c:auto val="1"/>
        <c:lblAlgn val="ctr"/>
        <c:lblOffset val="100"/>
        <c:tickLblSkip val="1"/>
        <c:tickMarkSkip val="1"/>
        <c:noMultiLvlLbl val="0"/>
      </c:catAx>
      <c:valAx>
        <c:axId val="-817481456"/>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747764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Leerlingenverloop</a:t>
            </a:r>
          </a:p>
        </c:rich>
      </c:tx>
      <c:layout>
        <c:manualLayout>
          <c:xMode val="edge"/>
          <c:yMode val="edge"/>
          <c:x val="0.34821456141511731"/>
          <c:y val="3.5294117647058851E-2"/>
        </c:manualLayout>
      </c:layout>
      <c:overlay val="0"/>
      <c:spPr>
        <a:noFill/>
        <a:ln w="25400">
          <a:noFill/>
        </a:ln>
      </c:spPr>
    </c:title>
    <c:autoTitleDeleted val="0"/>
    <c:plotArea>
      <c:layout>
        <c:manualLayout>
          <c:layoutTarget val="inner"/>
          <c:xMode val="edge"/>
          <c:yMode val="edge"/>
          <c:x val="7.75122962570855E-2"/>
          <c:y val="0.19705913231434305"/>
          <c:w val="0.87723309896534396"/>
          <c:h val="0.58823613889610338"/>
        </c:manualLayout>
      </c:layout>
      <c:barChart>
        <c:barDir val="col"/>
        <c:grouping val="clustered"/>
        <c:varyColors val="0"/>
        <c:ser>
          <c:idx val="2"/>
          <c:order val="0"/>
          <c:tx>
            <c:strRef>
              <c:f>'geg ZO'!$D$23</c:f>
              <c:strCache>
                <c:ptCount val="1"/>
                <c:pt idx="0">
                  <c:v>Aantal leerlingen SBO </c:v>
                </c:pt>
              </c:strCache>
            </c:strRef>
          </c:tx>
          <c:spPr>
            <a:solidFill>
              <a:srgbClr val="FFFFCC"/>
            </a:solidFill>
            <a:ln w="12700">
              <a:solidFill>
                <a:srgbClr val="000000"/>
              </a:solidFill>
              <a:prstDash val="solid"/>
            </a:ln>
          </c:spPr>
          <c:invertIfNegative val="0"/>
          <c:dLbls>
            <c:delete val="1"/>
          </c:dLbls>
          <c:cat>
            <c:numRef>
              <c:extLst>
                <c:ext xmlns:c15="http://schemas.microsoft.com/office/drawing/2012/chart" uri="{02D57815-91ED-43cb-92C2-25804820EDAC}">
                  <c15:fullRef>
                    <c15:sqref>'geg ZO'!$J$17:$O$17</c15:sqref>
                  </c15:fullRef>
                </c:ext>
              </c:extLst>
              <c:f>'geg ZO'!$J$17:$O$17</c:f>
              <c:numCache>
                <c:formatCode>General</c:formatCode>
                <c:ptCount val="6"/>
                <c:pt idx="0">
                  <c:v>2015</c:v>
                </c:pt>
                <c:pt idx="1">
                  <c:v>2016</c:v>
                </c:pt>
                <c:pt idx="2">
                  <c:v>2017</c:v>
                </c:pt>
                <c:pt idx="3">
                  <c:v>2018</c:v>
                </c:pt>
                <c:pt idx="4">
                  <c:v>2019</c:v>
                </c:pt>
                <c:pt idx="5">
                  <c:v>2020</c:v>
                </c:pt>
              </c:numCache>
            </c:numRef>
          </c:cat>
          <c:val>
            <c:numRef>
              <c:extLst>
                <c:ext xmlns:c15="http://schemas.microsoft.com/office/drawing/2012/chart" uri="{02D57815-91ED-43cb-92C2-25804820EDAC}">
                  <c15:fullRef>
                    <c15:sqref>'geg ZO'!$J$23:$O$23</c15:sqref>
                  </c15:fullRef>
                </c:ext>
              </c:extLst>
              <c:f>'geg ZO'!$J$23:$O$23</c:f>
              <c:numCache>
                <c:formatCode>General</c:formatCode>
                <c:ptCount val="6"/>
                <c:pt idx="0">
                  <c:v>0</c:v>
                </c:pt>
                <c:pt idx="1">
                  <c:v>0</c:v>
                </c:pt>
                <c:pt idx="2">
                  <c:v>0</c:v>
                </c:pt>
                <c:pt idx="3">
                  <c:v>0</c:v>
                </c:pt>
                <c:pt idx="4">
                  <c:v>0</c:v>
                </c:pt>
                <c:pt idx="5">
                  <c:v>0</c:v>
                </c:pt>
              </c:numCache>
            </c:numRef>
          </c:val>
        </c:ser>
        <c:ser>
          <c:idx val="0"/>
          <c:order val="1"/>
          <c:tx>
            <c:strRef>
              <c:f>'geg ZO'!$E$28</c:f>
              <c:strCache>
                <c:ptCount val="1"/>
                <c:pt idx="0">
                  <c:v>SO cat 1</c:v>
                </c:pt>
              </c:strCache>
            </c:strRef>
          </c:tx>
          <c:invertIfNegative val="0"/>
          <c:dLbls>
            <c:delete val="1"/>
          </c:dLbls>
          <c:cat>
            <c:numRef>
              <c:extLst>
                <c:ext xmlns:c15="http://schemas.microsoft.com/office/drawing/2012/chart" uri="{02D57815-91ED-43cb-92C2-25804820EDAC}">
                  <c15:fullRef>
                    <c15:sqref>'geg ZO'!$J$17:$O$17</c15:sqref>
                  </c15:fullRef>
                </c:ext>
              </c:extLst>
              <c:f>'geg ZO'!$J$17:$O$17</c:f>
              <c:numCache>
                <c:formatCode>General</c:formatCode>
                <c:ptCount val="6"/>
                <c:pt idx="0">
                  <c:v>2015</c:v>
                </c:pt>
                <c:pt idx="1">
                  <c:v>2016</c:v>
                </c:pt>
                <c:pt idx="2">
                  <c:v>2017</c:v>
                </c:pt>
                <c:pt idx="3">
                  <c:v>2018</c:v>
                </c:pt>
                <c:pt idx="4">
                  <c:v>2019</c:v>
                </c:pt>
                <c:pt idx="5">
                  <c:v>2020</c:v>
                </c:pt>
              </c:numCache>
            </c:numRef>
          </c:cat>
          <c:val>
            <c:numRef>
              <c:extLst>
                <c:ext xmlns:c15="http://schemas.microsoft.com/office/drawing/2012/chart" uri="{02D57815-91ED-43cb-92C2-25804820EDAC}">
                  <c15:fullRef>
                    <c15:sqref>'geg ZO'!$I$28:$O$28</c15:sqref>
                  </c15:fullRef>
                </c:ext>
              </c:extLst>
              <c:f>'geg ZO'!$I$28:$N$28</c:f>
              <c:numCache>
                <c:formatCode>General</c:formatCode>
                <c:ptCount val="6"/>
                <c:pt idx="0">
                  <c:v>0</c:v>
                </c:pt>
                <c:pt idx="1">
                  <c:v>0</c:v>
                </c:pt>
                <c:pt idx="2">
                  <c:v>0</c:v>
                </c:pt>
                <c:pt idx="3">
                  <c:v>0</c:v>
                </c:pt>
                <c:pt idx="4">
                  <c:v>0</c:v>
                </c:pt>
                <c:pt idx="5">
                  <c:v>0</c:v>
                </c:pt>
              </c:numCache>
            </c:numRef>
          </c:val>
        </c:ser>
        <c:ser>
          <c:idx val="1"/>
          <c:order val="2"/>
          <c:tx>
            <c:strRef>
              <c:f>'geg ZO'!$E$31</c:f>
              <c:strCache>
                <c:ptCount val="1"/>
                <c:pt idx="0">
                  <c:v>SO cat 2</c:v>
                </c:pt>
              </c:strCache>
            </c:strRef>
          </c:tx>
          <c:invertIfNegative val="0"/>
          <c:dLbls>
            <c:delete val="1"/>
          </c:dLbls>
          <c:cat>
            <c:numRef>
              <c:extLst>
                <c:ext xmlns:c15="http://schemas.microsoft.com/office/drawing/2012/chart" uri="{02D57815-91ED-43cb-92C2-25804820EDAC}">
                  <c15:fullRef>
                    <c15:sqref>'geg ZO'!$J$17:$O$17</c15:sqref>
                  </c15:fullRef>
                </c:ext>
              </c:extLst>
              <c:f>'geg ZO'!$J$17:$O$17</c:f>
              <c:numCache>
                <c:formatCode>General</c:formatCode>
                <c:ptCount val="6"/>
                <c:pt idx="0">
                  <c:v>2015</c:v>
                </c:pt>
                <c:pt idx="1">
                  <c:v>2016</c:v>
                </c:pt>
                <c:pt idx="2">
                  <c:v>2017</c:v>
                </c:pt>
                <c:pt idx="3">
                  <c:v>2018</c:v>
                </c:pt>
                <c:pt idx="4">
                  <c:v>2019</c:v>
                </c:pt>
                <c:pt idx="5">
                  <c:v>2020</c:v>
                </c:pt>
              </c:numCache>
            </c:numRef>
          </c:cat>
          <c:val>
            <c:numRef>
              <c:extLst>
                <c:ext xmlns:c15="http://schemas.microsoft.com/office/drawing/2012/chart" uri="{02D57815-91ED-43cb-92C2-25804820EDAC}">
                  <c15:fullRef>
                    <c15:sqref>'geg ZO'!$I$31:$O$31</c15:sqref>
                  </c15:fullRef>
                </c:ext>
              </c:extLst>
              <c:f>'geg ZO'!$I$31:$N$31</c:f>
              <c:numCache>
                <c:formatCode>General</c:formatCode>
                <c:ptCount val="6"/>
                <c:pt idx="0">
                  <c:v>0</c:v>
                </c:pt>
                <c:pt idx="1">
                  <c:v>0</c:v>
                </c:pt>
                <c:pt idx="2">
                  <c:v>0</c:v>
                </c:pt>
                <c:pt idx="3">
                  <c:v>0</c:v>
                </c:pt>
                <c:pt idx="4">
                  <c:v>0</c:v>
                </c:pt>
                <c:pt idx="5">
                  <c:v>0</c:v>
                </c:pt>
              </c:numCache>
            </c:numRef>
          </c:val>
        </c:ser>
        <c:ser>
          <c:idx val="3"/>
          <c:order val="3"/>
          <c:tx>
            <c:strRef>
              <c:f>'geg ZO'!$E$34</c:f>
              <c:strCache>
                <c:ptCount val="1"/>
                <c:pt idx="0">
                  <c:v>SO cat 3</c:v>
                </c:pt>
              </c:strCache>
            </c:strRef>
          </c:tx>
          <c:invertIfNegative val="0"/>
          <c:dLbls>
            <c:delete val="1"/>
          </c:dLbls>
          <c:cat>
            <c:numRef>
              <c:extLst>
                <c:ext xmlns:c15="http://schemas.microsoft.com/office/drawing/2012/chart" uri="{02D57815-91ED-43cb-92C2-25804820EDAC}">
                  <c15:fullRef>
                    <c15:sqref>'geg ZO'!$J$17:$O$17</c15:sqref>
                  </c15:fullRef>
                </c:ext>
              </c:extLst>
              <c:f>'geg ZO'!$J$17:$O$17</c:f>
              <c:numCache>
                <c:formatCode>General</c:formatCode>
                <c:ptCount val="6"/>
                <c:pt idx="0">
                  <c:v>2015</c:v>
                </c:pt>
                <c:pt idx="1">
                  <c:v>2016</c:v>
                </c:pt>
                <c:pt idx="2">
                  <c:v>2017</c:v>
                </c:pt>
                <c:pt idx="3">
                  <c:v>2018</c:v>
                </c:pt>
                <c:pt idx="4">
                  <c:v>2019</c:v>
                </c:pt>
                <c:pt idx="5">
                  <c:v>2020</c:v>
                </c:pt>
              </c:numCache>
            </c:numRef>
          </c:cat>
          <c:val>
            <c:numRef>
              <c:extLst>
                <c:ext xmlns:c15="http://schemas.microsoft.com/office/drawing/2012/chart" uri="{02D57815-91ED-43cb-92C2-25804820EDAC}">
                  <c15:fullRef>
                    <c15:sqref>'geg ZO'!$I$34:$O$34</c15:sqref>
                  </c15:fullRef>
                </c:ext>
              </c:extLst>
              <c:f>'geg ZO'!$I$34:$N$34</c:f>
              <c:numCache>
                <c:formatCode>General</c:formatCode>
                <c:ptCount val="6"/>
                <c:pt idx="0">
                  <c:v>0</c:v>
                </c:pt>
                <c:pt idx="1">
                  <c:v>0</c:v>
                </c:pt>
                <c:pt idx="2">
                  <c:v>0</c:v>
                </c:pt>
                <c:pt idx="3">
                  <c:v>0</c:v>
                </c:pt>
                <c:pt idx="4">
                  <c:v>0</c:v>
                </c:pt>
                <c:pt idx="5">
                  <c:v>0</c:v>
                </c:pt>
              </c:numCache>
            </c:numRef>
          </c:val>
        </c:ser>
        <c:dLbls>
          <c:showLegendKey val="0"/>
          <c:showVal val="1"/>
          <c:showCatName val="0"/>
          <c:showSerName val="0"/>
          <c:showPercent val="0"/>
          <c:showBubbleSize val="0"/>
        </c:dLbls>
        <c:gapWidth val="150"/>
        <c:axId val="-817474384"/>
        <c:axId val="-817477104"/>
      </c:barChart>
      <c:catAx>
        <c:axId val="-817474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7477104"/>
        <c:crosses val="autoZero"/>
        <c:auto val="1"/>
        <c:lblAlgn val="ctr"/>
        <c:lblOffset val="100"/>
        <c:noMultiLvlLbl val="0"/>
      </c:catAx>
      <c:valAx>
        <c:axId val="-81747710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74743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b"/>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1"/>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Overige Overheidsbijdragen</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817473840"/>
        <c:axId val="-817468944"/>
      </c:barChart>
      <c:catAx>
        <c:axId val="-817473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7468944"/>
        <c:crosses val="autoZero"/>
        <c:auto val="1"/>
        <c:lblAlgn val="ctr"/>
        <c:lblOffset val="100"/>
        <c:tickLblSkip val="1"/>
        <c:tickMarkSkip val="1"/>
        <c:noMultiLvlLbl val="0"/>
      </c:catAx>
      <c:valAx>
        <c:axId val="-81746894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74738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overlay val="0"/>
      <c:spPr>
        <a:noFill/>
        <a:ln w="25400">
          <a:noFill/>
        </a:ln>
      </c:spPr>
    </c:title>
    <c:autoTitleDeleted val="0"/>
    <c:plotArea>
      <c:layout>
        <c:manualLayout>
          <c:layoutTarget val="inner"/>
          <c:xMode val="edge"/>
          <c:yMode val="edge"/>
          <c:x val="0.22147699392869538"/>
          <c:y val="0.19648093841642431"/>
          <c:w val="0.74720521184024535"/>
          <c:h val="0.58944281524926656"/>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tab!$D$4:$H$4</c:f>
              <c:numCache>
                <c:formatCode>0</c:formatCode>
                <c:ptCount val="5"/>
                <c:pt idx="0">
                  <c:v>2016</c:v>
                </c:pt>
                <c:pt idx="1">
                  <c:v>2017</c:v>
                </c:pt>
                <c:pt idx="2">
                  <c:v>2018</c:v>
                </c:pt>
                <c:pt idx="3">
                  <c:v>2019</c:v>
                </c:pt>
                <c:pt idx="4">
                  <c:v>2020</c:v>
                </c:pt>
              </c:numCache>
            </c:numRef>
          </c:cat>
          <c:val>
            <c:numRef>
              <c:f>pers!$J$204:$N$204</c:f>
              <c:numCache>
                <c:formatCode>_-"€"\ * #,##0_-;_-"€"\ * #,##0\-;_-"€"\ * "-"_-;_-@_-</c:formatCode>
                <c:ptCount val="5"/>
                <c:pt idx="0">
                  <c:v>0</c:v>
                </c:pt>
                <c:pt idx="1">
                  <c:v>0</c:v>
                </c:pt>
                <c:pt idx="2">
                  <c:v>0</c:v>
                </c:pt>
                <c:pt idx="3">
                  <c:v>0</c:v>
                </c:pt>
                <c:pt idx="4">
                  <c:v>0</c:v>
                </c:pt>
              </c:numCache>
            </c:numRef>
          </c:val>
        </c:ser>
        <c:ser>
          <c:idx val="1"/>
          <c:order val="1"/>
          <c:tx>
            <c:v>lasten</c:v>
          </c:tx>
          <c:spPr>
            <a:solidFill>
              <a:srgbClr val="FFCC99"/>
            </a:solidFill>
            <a:ln w="12700">
              <a:solidFill>
                <a:srgbClr val="000000"/>
              </a:solidFill>
              <a:prstDash val="solid"/>
            </a:ln>
          </c:spPr>
          <c:invertIfNegative val="0"/>
          <c:cat>
            <c:numRef>
              <c:f>tab!$D$4:$H$4</c:f>
              <c:numCache>
                <c:formatCode>0</c:formatCode>
                <c:ptCount val="5"/>
                <c:pt idx="0">
                  <c:v>2016</c:v>
                </c:pt>
                <c:pt idx="1">
                  <c:v>2017</c:v>
                </c:pt>
                <c:pt idx="2">
                  <c:v>2018</c:v>
                </c:pt>
                <c:pt idx="3">
                  <c:v>2019</c:v>
                </c:pt>
                <c:pt idx="4">
                  <c:v>2020</c:v>
                </c:pt>
              </c:numCache>
            </c:numRef>
          </c:cat>
          <c:val>
            <c:numRef>
              <c:f>pers!$J$205:$N$205</c:f>
              <c:numCache>
                <c:formatCode>_-"€"\ * #,##0_-;_-"€"\ * #,##0\-;_-"€"\ * "-"_-;_-@_-</c:formatCode>
                <c:ptCount val="5"/>
                <c:pt idx="0">
                  <c:v>78849.180000000022</c:v>
                </c:pt>
                <c:pt idx="1">
                  <c:v>82605.420000000013</c:v>
                </c:pt>
                <c:pt idx="2">
                  <c:v>85396.680000000022</c:v>
                </c:pt>
                <c:pt idx="3">
                  <c:v>86780.160000000003</c:v>
                </c:pt>
                <c:pt idx="4">
                  <c:v>86780.160000000003</c:v>
                </c:pt>
              </c:numCache>
            </c:numRef>
          </c:val>
        </c:ser>
        <c:dLbls>
          <c:showLegendKey val="0"/>
          <c:showVal val="0"/>
          <c:showCatName val="0"/>
          <c:showSerName val="0"/>
          <c:showPercent val="0"/>
          <c:showBubbleSize val="0"/>
        </c:dLbls>
        <c:gapWidth val="150"/>
        <c:axId val="-813940640"/>
        <c:axId val="-813927040"/>
      </c:barChart>
      <c:catAx>
        <c:axId val="-81394064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3927040"/>
        <c:crosses val="autoZero"/>
        <c:auto val="1"/>
        <c:lblAlgn val="ctr"/>
        <c:lblOffset val="100"/>
        <c:tickLblSkip val="1"/>
        <c:tickMarkSkip val="1"/>
        <c:noMultiLvlLbl val="0"/>
      </c:catAx>
      <c:valAx>
        <c:axId val="-81392704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39406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63"/>
          <c:h val="7.038123167155427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Eigen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1240895.0624999991</c:v>
              </c:pt>
              <c:pt idx="1">
                <c:v>2481523.2999999998</c:v>
              </c:pt>
              <c:pt idx="2">
                <c:v>3696912.8000000017</c:v>
              </c:pt>
              <c:pt idx="3">
                <c:v>4891406.3000000026</c:v>
              </c:pt>
            </c:numLit>
          </c:val>
        </c:ser>
        <c:dLbls>
          <c:showLegendKey val="0"/>
          <c:showVal val="1"/>
          <c:showCatName val="0"/>
          <c:showSerName val="0"/>
          <c:showPercent val="0"/>
          <c:showBubbleSize val="0"/>
        </c:dLbls>
        <c:gapWidth val="150"/>
        <c:axId val="-817492336"/>
        <c:axId val="-817485264"/>
      </c:barChart>
      <c:catAx>
        <c:axId val="-8174923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7485264"/>
        <c:crosses val="autoZero"/>
        <c:auto val="1"/>
        <c:lblAlgn val="ctr"/>
        <c:lblOffset val="100"/>
        <c:tickLblSkip val="1"/>
        <c:tickMarkSkip val="1"/>
        <c:noMultiLvlLbl val="0"/>
      </c:catAx>
      <c:valAx>
        <c:axId val="-817485264"/>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74923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473"/>
          <c:y val="3.5608308605341282E-2"/>
        </c:manualLayout>
      </c:layout>
      <c:overlay val="0"/>
      <c:spPr>
        <a:noFill/>
        <a:ln w="25400">
          <a:noFill/>
        </a:ln>
      </c:spPr>
    </c:title>
    <c:autoTitleDeleted val="0"/>
    <c:plotArea>
      <c:layout>
        <c:manualLayout>
          <c:layoutTarget val="inner"/>
          <c:xMode val="edge"/>
          <c:yMode val="edge"/>
          <c:x val="0.1152144805039049"/>
          <c:y val="0.14579679941171089"/>
          <c:w val="0.85906227948100067"/>
          <c:h val="0.66765675372188726"/>
        </c:manualLayout>
      </c:layout>
      <c:barChart>
        <c:barDir val="col"/>
        <c:grouping val="clustered"/>
        <c:varyColors val="0"/>
        <c:ser>
          <c:idx val="0"/>
          <c:order val="0"/>
          <c:tx>
            <c:v>investeringen</c:v>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extLst>
                <c:ext xmlns:c15="http://schemas.microsoft.com/office/drawing/2012/chart" uri="{02D57815-91ED-43cb-92C2-25804820EDAC}">
                  <c15:fullRef>
                    <c15:sqref>tab!$D$4:$G$4</c15:sqref>
                  </c15:fullRef>
                </c:ext>
              </c:extLst>
              <c:f>tab!$D$4:$G$4</c:f>
              <c:numCache>
                <c:formatCode>0</c:formatCode>
                <c:ptCount val="4"/>
                <c:pt idx="0">
                  <c:v>2016</c:v>
                </c:pt>
                <c:pt idx="1">
                  <c:v>2017</c:v>
                </c:pt>
                <c:pt idx="2">
                  <c:v>2018</c:v>
                </c:pt>
                <c:pt idx="3">
                  <c:v>2019</c:v>
                </c:pt>
              </c:numCache>
            </c:numRef>
          </c:cat>
          <c:val>
            <c:numRef>
              <c:extLst>
                <c:ext xmlns:c15="http://schemas.microsoft.com/office/drawing/2012/chart" uri="{02D57815-91ED-43cb-92C2-25804820EDAC}">
                  <c15:fullRef>
                    <c15:sqref>act!$G$25:$K$25</c15:sqref>
                  </c15:fullRef>
                </c:ext>
              </c:extLst>
              <c:f>act!$G$25:$J$25</c:f>
              <c:numCache>
                <c:formatCode>_-"€"\ * #,##0_-;_-"€"\ * #,##0\-;_-"€"\ * "-"_-;_-@_-</c:formatCode>
                <c:ptCount val="4"/>
                <c:pt idx="0">
                  <c:v>0</c:v>
                </c:pt>
                <c:pt idx="1">
                  <c:v>0</c:v>
                </c:pt>
                <c:pt idx="2">
                  <c:v>0</c:v>
                </c:pt>
                <c:pt idx="3">
                  <c:v>0</c:v>
                </c:pt>
              </c:numCache>
            </c:numRef>
          </c:val>
        </c:ser>
        <c:dLbls>
          <c:showLegendKey val="0"/>
          <c:showVal val="1"/>
          <c:showCatName val="0"/>
          <c:showSerName val="0"/>
          <c:showPercent val="0"/>
          <c:showBubbleSize val="0"/>
        </c:dLbls>
        <c:gapWidth val="150"/>
        <c:axId val="-817473296"/>
        <c:axId val="-817476560"/>
      </c:barChart>
      <c:catAx>
        <c:axId val="-81747329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7476560"/>
        <c:crosses val="autoZero"/>
        <c:auto val="1"/>
        <c:lblAlgn val="ctr"/>
        <c:lblOffset val="100"/>
        <c:tickLblSkip val="1"/>
        <c:tickMarkSkip val="2"/>
        <c:noMultiLvlLbl val="0"/>
      </c:catAx>
      <c:valAx>
        <c:axId val="-81747656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74732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Kapitalisatiefactor</a:t>
            </a:r>
          </a:p>
        </c:rich>
      </c:tx>
      <c:layout>
        <c:manualLayout>
          <c:xMode val="edge"/>
          <c:yMode val="edge"/>
          <c:x val="0.32142902519350852"/>
          <c:y val="3.5502958579881658E-2"/>
        </c:manualLayout>
      </c:layout>
      <c:overlay val="0"/>
      <c:spPr>
        <a:noFill/>
        <a:ln w="25400">
          <a:noFill/>
        </a:ln>
      </c:spPr>
    </c:title>
    <c:autoTitleDeleted val="0"/>
    <c:plotArea>
      <c:layout>
        <c:manualLayout>
          <c:layoutTarget val="inner"/>
          <c:xMode val="edge"/>
          <c:yMode val="edge"/>
          <c:x val="0.15848231558916046"/>
          <c:y val="0.19822485207100593"/>
          <c:w val="0.81026874026569939"/>
          <c:h val="0.66863905325444872"/>
        </c:manualLayout>
      </c:layout>
      <c:barChart>
        <c:barDir val="col"/>
        <c:grouping val="clustered"/>
        <c:varyColors val="0"/>
        <c:ser>
          <c:idx val="0"/>
          <c:order val="0"/>
          <c:tx>
            <c:strRef>
              <c:f>ken!$D$9</c:f>
              <c:strCache>
                <c:ptCount val="1"/>
                <c:pt idx="0">
                  <c:v>Kapitalisatiefactor (incl. privaat vermogen)</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ken!$F$8:$I$8</c:f>
              <c:numCache>
                <c:formatCode>0</c:formatCode>
                <c:ptCount val="4"/>
                <c:pt idx="0">
                  <c:v>2016</c:v>
                </c:pt>
                <c:pt idx="1">
                  <c:v>2017</c:v>
                </c:pt>
                <c:pt idx="2">
                  <c:v>2018</c:v>
                </c:pt>
                <c:pt idx="3">
                  <c:v>2019</c:v>
                </c:pt>
              </c:numCache>
            </c:numRef>
          </c:cat>
          <c:val>
            <c:numRef>
              <c:f>ken!$F$9:$I$9</c:f>
              <c:numCache>
                <c:formatCode>0%</c:formatCode>
                <c:ptCount val="4"/>
                <c:pt idx="0">
                  <c:v>0</c:v>
                </c:pt>
                <c:pt idx="1">
                  <c:v>0</c:v>
                </c:pt>
                <c:pt idx="2">
                  <c:v>0</c:v>
                </c:pt>
                <c:pt idx="3">
                  <c:v>0</c:v>
                </c:pt>
              </c:numCache>
            </c:numRef>
          </c:val>
        </c:ser>
        <c:dLbls>
          <c:showLegendKey val="0"/>
          <c:showVal val="1"/>
          <c:showCatName val="0"/>
          <c:showSerName val="0"/>
          <c:showPercent val="0"/>
          <c:showBubbleSize val="0"/>
        </c:dLbls>
        <c:gapWidth val="150"/>
        <c:axId val="-817470032"/>
        <c:axId val="-817472752"/>
      </c:barChart>
      <c:catAx>
        <c:axId val="-81747003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7472752"/>
        <c:crosses val="autoZero"/>
        <c:auto val="1"/>
        <c:lblAlgn val="ctr"/>
        <c:lblOffset val="100"/>
        <c:tickLblSkip val="1"/>
        <c:tickMarkSkip val="1"/>
        <c:noMultiLvlLbl val="0"/>
      </c:catAx>
      <c:valAx>
        <c:axId val="-817472752"/>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74700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33" r="0.75000000000000433"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2</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tx>
            <c:strRef>
              <c:f>ken!$D$11</c:f>
              <c:strCache>
                <c:ptCount val="1"/>
                <c:pt idx="0">
                  <c:v>Solvabiliteit 2</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ken!$F$8:$I$8</c:f>
              <c:numCache>
                <c:formatCode>0</c:formatCode>
                <c:ptCount val="4"/>
                <c:pt idx="0">
                  <c:v>2016</c:v>
                </c:pt>
                <c:pt idx="1">
                  <c:v>2017</c:v>
                </c:pt>
                <c:pt idx="2">
                  <c:v>2018</c:v>
                </c:pt>
                <c:pt idx="3">
                  <c:v>2019</c:v>
                </c:pt>
              </c:numCache>
            </c:numRef>
          </c:cat>
          <c:val>
            <c:numRef>
              <c:f>ken!$F$11:$I$11</c:f>
              <c:numCache>
                <c:formatCode>0%</c:formatCode>
                <c:ptCount val="4"/>
                <c:pt idx="0">
                  <c:v>1</c:v>
                </c:pt>
                <c:pt idx="1">
                  <c:v>1</c:v>
                </c:pt>
                <c:pt idx="2">
                  <c:v>1</c:v>
                </c:pt>
                <c:pt idx="3">
                  <c:v>1</c:v>
                </c:pt>
              </c:numCache>
            </c:numRef>
          </c:val>
        </c:ser>
        <c:dLbls>
          <c:showLegendKey val="0"/>
          <c:showVal val="1"/>
          <c:showCatName val="0"/>
          <c:showSerName val="0"/>
          <c:showPercent val="0"/>
          <c:showBubbleSize val="0"/>
        </c:dLbls>
        <c:gapWidth val="150"/>
        <c:axId val="-817495056"/>
        <c:axId val="-817493968"/>
      </c:barChart>
      <c:catAx>
        <c:axId val="-8174950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7493968"/>
        <c:crosses val="autoZero"/>
        <c:auto val="1"/>
        <c:lblAlgn val="ctr"/>
        <c:lblOffset val="100"/>
        <c:tickLblSkip val="1"/>
        <c:tickMarkSkip val="1"/>
        <c:noMultiLvlLbl val="0"/>
      </c:catAx>
      <c:valAx>
        <c:axId val="-817493968"/>
        <c:scaling>
          <c:orientation val="minMax"/>
          <c:max val="1"/>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74950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tab!$E$11</c:f>
              <c:strCache>
                <c:ptCount val="1"/>
                <c:pt idx="0">
                  <c:v>SBO-leerlingen</c:v>
                </c:pt>
              </c:strCache>
            </c:strRef>
          </c:tx>
          <c:marker>
            <c:symbol val="none"/>
          </c:marker>
          <c:cat>
            <c:numRef>
              <c:f>tab!$F$10:$K$10</c:f>
              <c:numCache>
                <c:formatCode>General</c:formatCode>
                <c:ptCount val="6"/>
                <c:pt idx="0">
                  <c:v>2010</c:v>
                </c:pt>
                <c:pt idx="1">
                  <c:v>2011</c:v>
                </c:pt>
                <c:pt idx="2">
                  <c:v>2012</c:v>
                </c:pt>
                <c:pt idx="3">
                  <c:v>2013</c:v>
                </c:pt>
                <c:pt idx="4">
                  <c:v>2014</c:v>
                </c:pt>
                <c:pt idx="5">
                  <c:v>2015</c:v>
                </c:pt>
              </c:numCache>
            </c:numRef>
          </c:cat>
          <c:val>
            <c:numRef>
              <c:f>tab!$F$11:$K$11</c:f>
              <c:numCache>
                <c:formatCode>0.000%</c:formatCode>
                <c:ptCount val="6"/>
                <c:pt idx="0">
                  <c:v>2.7150000000000001E-2</c:v>
                </c:pt>
                <c:pt idx="1">
                  <c:v>2.6790000000000001E-2</c:v>
                </c:pt>
                <c:pt idx="2">
                  <c:v>2.597E-2</c:v>
                </c:pt>
                <c:pt idx="3">
                  <c:v>2.5180000000000001E-2</c:v>
                </c:pt>
                <c:pt idx="4">
                  <c:v>2.4660000000000001E-2</c:v>
                </c:pt>
                <c:pt idx="5">
                  <c:v>2.35E-2</c:v>
                </c:pt>
              </c:numCache>
            </c:numRef>
          </c:val>
          <c:smooth val="0"/>
        </c:ser>
        <c:ser>
          <c:idx val="1"/>
          <c:order val="1"/>
          <c:tx>
            <c:strRef>
              <c:f>tab!$E$12</c:f>
              <c:strCache>
                <c:ptCount val="1"/>
                <c:pt idx="0">
                  <c:v>SO cat 1</c:v>
                </c:pt>
              </c:strCache>
            </c:strRef>
          </c:tx>
          <c:marker>
            <c:symbol val="none"/>
          </c:marker>
          <c:cat>
            <c:numRef>
              <c:f>tab!$F$10:$K$10</c:f>
              <c:numCache>
                <c:formatCode>General</c:formatCode>
                <c:ptCount val="6"/>
                <c:pt idx="0">
                  <c:v>2010</c:v>
                </c:pt>
                <c:pt idx="1">
                  <c:v>2011</c:v>
                </c:pt>
                <c:pt idx="2">
                  <c:v>2012</c:v>
                </c:pt>
                <c:pt idx="3">
                  <c:v>2013</c:v>
                </c:pt>
                <c:pt idx="4">
                  <c:v>2014</c:v>
                </c:pt>
                <c:pt idx="5">
                  <c:v>2015</c:v>
                </c:pt>
              </c:numCache>
            </c:numRef>
          </c:cat>
          <c:val>
            <c:numRef>
              <c:f>tab!$F$12:$K$12</c:f>
              <c:numCache>
                <c:formatCode>0.000%</c:formatCode>
                <c:ptCount val="6"/>
                <c:pt idx="0">
                  <c:v>1.3339999999999999E-2</c:v>
                </c:pt>
                <c:pt idx="1">
                  <c:v>1.354E-2</c:v>
                </c:pt>
                <c:pt idx="2">
                  <c:v>1.333E-2</c:v>
                </c:pt>
                <c:pt idx="3">
                  <c:v>1.3440000000000001E-2</c:v>
                </c:pt>
                <c:pt idx="4">
                  <c:v>1.336E-2</c:v>
                </c:pt>
                <c:pt idx="5">
                  <c:v>1.274E-2</c:v>
                </c:pt>
              </c:numCache>
            </c:numRef>
          </c:val>
          <c:smooth val="0"/>
        </c:ser>
        <c:ser>
          <c:idx val="2"/>
          <c:order val="2"/>
          <c:tx>
            <c:strRef>
              <c:f>tab!$E$13</c:f>
              <c:strCache>
                <c:ptCount val="1"/>
                <c:pt idx="0">
                  <c:v>SO cat 2</c:v>
                </c:pt>
              </c:strCache>
            </c:strRef>
          </c:tx>
          <c:marker>
            <c:symbol val="none"/>
          </c:marker>
          <c:cat>
            <c:numRef>
              <c:f>tab!$F$10:$K$10</c:f>
              <c:numCache>
                <c:formatCode>General</c:formatCode>
                <c:ptCount val="6"/>
                <c:pt idx="0">
                  <c:v>2010</c:v>
                </c:pt>
                <c:pt idx="1">
                  <c:v>2011</c:v>
                </c:pt>
                <c:pt idx="2">
                  <c:v>2012</c:v>
                </c:pt>
                <c:pt idx="3">
                  <c:v>2013</c:v>
                </c:pt>
                <c:pt idx="4">
                  <c:v>2014</c:v>
                </c:pt>
                <c:pt idx="5">
                  <c:v>2015</c:v>
                </c:pt>
              </c:numCache>
            </c:numRef>
          </c:cat>
          <c:val>
            <c:numRef>
              <c:f>tab!$F$13:$K$13</c:f>
              <c:numCache>
                <c:formatCode>0.000%</c:formatCode>
                <c:ptCount val="6"/>
                <c:pt idx="0">
                  <c:v>8.9999999999999998E-4</c:v>
                </c:pt>
                <c:pt idx="1">
                  <c:v>8.8999999999999995E-4</c:v>
                </c:pt>
                <c:pt idx="2">
                  <c:v>8.9999999999999998E-4</c:v>
                </c:pt>
                <c:pt idx="3">
                  <c:v>9.1E-4</c:v>
                </c:pt>
                <c:pt idx="4">
                  <c:v>9.8999999999999999E-4</c:v>
                </c:pt>
                <c:pt idx="5">
                  <c:v>1.0499999999999999E-3</c:v>
                </c:pt>
              </c:numCache>
            </c:numRef>
          </c:val>
          <c:smooth val="0"/>
        </c:ser>
        <c:ser>
          <c:idx val="3"/>
          <c:order val="3"/>
          <c:tx>
            <c:strRef>
              <c:f>tab!$E$14</c:f>
              <c:strCache>
                <c:ptCount val="1"/>
                <c:pt idx="0">
                  <c:v>SO cat 3</c:v>
                </c:pt>
              </c:strCache>
            </c:strRef>
          </c:tx>
          <c:marker>
            <c:symbol val="none"/>
          </c:marker>
          <c:cat>
            <c:numRef>
              <c:f>tab!$F$10:$K$10</c:f>
              <c:numCache>
                <c:formatCode>General</c:formatCode>
                <c:ptCount val="6"/>
                <c:pt idx="0">
                  <c:v>2010</c:v>
                </c:pt>
                <c:pt idx="1">
                  <c:v>2011</c:v>
                </c:pt>
                <c:pt idx="2">
                  <c:v>2012</c:v>
                </c:pt>
                <c:pt idx="3">
                  <c:v>2013</c:v>
                </c:pt>
                <c:pt idx="4">
                  <c:v>2014</c:v>
                </c:pt>
                <c:pt idx="5">
                  <c:v>2015</c:v>
                </c:pt>
              </c:numCache>
            </c:numRef>
          </c:cat>
          <c:val>
            <c:numRef>
              <c:f>tab!$F$14:$K$14</c:f>
              <c:numCache>
                <c:formatCode>0.000%</c:formatCode>
                <c:ptCount val="6"/>
                <c:pt idx="0">
                  <c:v>2.0899999999999998E-3</c:v>
                </c:pt>
                <c:pt idx="1">
                  <c:v>2.1199999999999999E-3</c:v>
                </c:pt>
                <c:pt idx="2">
                  <c:v>2.0899999999999998E-3</c:v>
                </c:pt>
                <c:pt idx="3">
                  <c:v>1.99E-3</c:v>
                </c:pt>
                <c:pt idx="4">
                  <c:v>1.91E-3</c:v>
                </c:pt>
                <c:pt idx="5">
                  <c:v>1.7700000000000001E-3</c:v>
                </c:pt>
              </c:numCache>
            </c:numRef>
          </c:val>
          <c:smooth val="0"/>
        </c:ser>
        <c:ser>
          <c:idx val="4"/>
          <c:order val="4"/>
          <c:tx>
            <c:strRef>
              <c:f>tab!$E$15</c:f>
              <c:strCache>
                <c:ptCount val="1"/>
                <c:pt idx="0">
                  <c:v>SO totaal</c:v>
                </c:pt>
              </c:strCache>
            </c:strRef>
          </c:tx>
          <c:marker>
            <c:symbol val="none"/>
          </c:marker>
          <c:cat>
            <c:numRef>
              <c:f>tab!$F$10:$K$10</c:f>
              <c:numCache>
                <c:formatCode>General</c:formatCode>
                <c:ptCount val="6"/>
                <c:pt idx="0">
                  <c:v>2010</c:v>
                </c:pt>
                <c:pt idx="1">
                  <c:v>2011</c:v>
                </c:pt>
                <c:pt idx="2">
                  <c:v>2012</c:v>
                </c:pt>
                <c:pt idx="3">
                  <c:v>2013</c:v>
                </c:pt>
                <c:pt idx="4">
                  <c:v>2014</c:v>
                </c:pt>
                <c:pt idx="5">
                  <c:v>2015</c:v>
                </c:pt>
              </c:numCache>
            </c:numRef>
          </c:cat>
          <c:val>
            <c:numRef>
              <c:f>tab!$F$15:$K$15</c:f>
              <c:numCache>
                <c:formatCode>0.000%</c:formatCode>
                <c:ptCount val="6"/>
                <c:pt idx="0">
                  <c:v>1.6330000000000001E-2</c:v>
                </c:pt>
                <c:pt idx="1">
                  <c:v>1.6549999999999999E-2</c:v>
                </c:pt>
                <c:pt idx="2">
                  <c:v>1.6320000000000001E-2</c:v>
                </c:pt>
                <c:pt idx="3">
                  <c:v>1.634E-2</c:v>
                </c:pt>
                <c:pt idx="4">
                  <c:v>1.6250000000000001E-2</c:v>
                </c:pt>
                <c:pt idx="5">
                  <c:v>1.555E-2</c:v>
                </c:pt>
              </c:numCache>
            </c:numRef>
          </c:val>
          <c:smooth val="0"/>
        </c:ser>
        <c:dLbls>
          <c:showLegendKey val="0"/>
          <c:showVal val="0"/>
          <c:showCatName val="0"/>
          <c:showSerName val="0"/>
          <c:showPercent val="0"/>
          <c:showBubbleSize val="0"/>
        </c:dLbls>
        <c:smooth val="0"/>
        <c:axId val="-817464048"/>
        <c:axId val="-817490704"/>
      </c:lineChart>
      <c:catAx>
        <c:axId val="-817464048"/>
        <c:scaling>
          <c:orientation val="minMax"/>
        </c:scaling>
        <c:delete val="0"/>
        <c:axPos val="b"/>
        <c:numFmt formatCode="General" sourceLinked="1"/>
        <c:majorTickMark val="out"/>
        <c:minorTickMark val="none"/>
        <c:tickLblPos val="nextTo"/>
        <c:crossAx val="-817490704"/>
        <c:crosses val="autoZero"/>
        <c:auto val="1"/>
        <c:lblAlgn val="ctr"/>
        <c:lblOffset val="100"/>
        <c:noMultiLvlLbl val="0"/>
      </c:catAx>
      <c:valAx>
        <c:axId val="-817490704"/>
        <c:scaling>
          <c:orientation val="minMax"/>
        </c:scaling>
        <c:delete val="0"/>
        <c:axPos val="l"/>
        <c:majorGridlines/>
        <c:numFmt formatCode="0.000%" sourceLinked="1"/>
        <c:majorTickMark val="out"/>
        <c:minorTickMark val="none"/>
        <c:tickLblPos val="nextTo"/>
        <c:crossAx val="-81746404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69"/>
          <c:y val="3.5294117647058851E-2"/>
        </c:manualLayout>
      </c:layout>
      <c:overlay val="0"/>
      <c:spPr>
        <a:noFill/>
        <a:ln w="25400">
          <a:noFill/>
        </a:ln>
      </c:spPr>
    </c:title>
    <c:autoTitleDeleted val="0"/>
    <c:plotArea>
      <c:layout>
        <c:manualLayout>
          <c:layoutTarget val="inner"/>
          <c:xMode val="edge"/>
          <c:yMode val="edge"/>
          <c:x val="0.20581700445898976"/>
          <c:y val="0.19705910653019784"/>
          <c:w val="0.76286520130995161"/>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tab!$D$4:$H$4</c:f>
              <c:numCache>
                <c:formatCode>0</c:formatCode>
                <c:ptCount val="5"/>
                <c:pt idx="0">
                  <c:v>2016</c:v>
                </c:pt>
                <c:pt idx="1">
                  <c:v>2017</c:v>
                </c:pt>
                <c:pt idx="2">
                  <c:v>2018</c:v>
                </c:pt>
                <c:pt idx="3">
                  <c:v>2019</c:v>
                </c:pt>
                <c:pt idx="4">
                  <c:v>2020</c:v>
                </c:pt>
              </c:numCache>
            </c:numRef>
          </c:cat>
          <c:val>
            <c:numRef>
              <c:f>mat!$J$89:$N$89</c:f>
              <c:numCache>
                <c:formatCode>_-"€"\ * #,##0_-;_-"€"\ * #,##0\-;_-"€"\ * "-"_-;_-@_-</c:formatCode>
                <c:ptCount val="5"/>
                <c:pt idx="0">
                  <c:v>0</c:v>
                </c:pt>
                <c:pt idx="1">
                  <c:v>0</c:v>
                </c:pt>
                <c:pt idx="2">
                  <c:v>0</c:v>
                </c:pt>
                <c:pt idx="3">
                  <c:v>0</c:v>
                </c:pt>
                <c:pt idx="4">
                  <c:v>0</c:v>
                </c:pt>
              </c:numCache>
            </c:numRef>
          </c:val>
        </c:ser>
        <c:ser>
          <c:idx val="1"/>
          <c:order val="1"/>
          <c:tx>
            <c:v>lasten</c:v>
          </c:tx>
          <c:spPr>
            <a:solidFill>
              <a:srgbClr val="FFCC99"/>
            </a:solidFill>
            <a:ln w="12700">
              <a:solidFill>
                <a:srgbClr val="000000"/>
              </a:solidFill>
              <a:prstDash val="solid"/>
            </a:ln>
          </c:spPr>
          <c:invertIfNegative val="0"/>
          <c:cat>
            <c:numRef>
              <c:f>tab!$D$4:$H$4</c:f>
              <c:numCache>
                <c:formatCode>0</c:formatCode>
                <c:ptCount val="5"/>
                <c:pt idx="0">
                  <c:v>2016</c:v>
                </c:pt>
                <c:pt idx="1">
                  <c:v>2017</c:v>
                </c:pt>
                <c:pt idx="2">
                  <c:v>2018</c:v>
                </c:pt>
                <c:pt idx="3">
                  <c:v>2019</c:v>
                </c:pt>
                <c:pt idx="4">
                  <c:v>2020</c:v>
                </c:pt>
              </c:numCache>
            </c:numRef>
          </c:cat>
          <c:val>
            <c:numRef>
              <c:f>mat!$J$180:$N$180</c:f>
              <c:numCache>
                <c:formatCode>_-"€"\ * #,##0_-;_-"€"\ * #,##0\-;_-"€"\ * "-"_-;_-@_-</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3941184"/>
        <c:axId val="-813937920"/>
      </c:barChart>
      <c:catAx>
        <c:axId val="-81394118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3937920"/>
        <c:crosses val="autoZero"/>
        <c:auto val="1"/>
        <c:lblAlgn val="ctr"/>
        <c:lblOffset val="100"/>
        <c:tickLblSkip val="1"/>
        <c:tickMarkSkip val="1"/>
        <c:noMultiLvlLbl val="0"/>
      </c:catAx>
      <c:valAx>
        <c:axId val="-813937920"/>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39411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36"/>
          <c:y val="0.90882483459449515"/>
          <c:w val="0.2357897160667312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07"/>
          <c:y val="3.5294117647058851E-2"/>
        </c:manualLayout>
      </c:layout>
      <c:overlay val="0"/>
      <c:spPr>
        <a:noFill/>
        <a:ln w="25400">
          <a:noFill/>
        </a:ln>
      </c:spPr>
    </c:title>
    <c:autoTitleDeleted val="0"/>
    <c:plotArea>
      <c:layout>
        <c:manualLayout>
          <c:layoutTarget val="inner"/>
          <c:xMode val="edge"/>
          <c:yMode val="edge"/>
          <c:x val="0.22098238370882817"/>
          <c:y val="0.19705910653019784"/>
          <c:w val="0.74776867214603626"/>
          <c:h val="0.58823613889610338"/>
        </c:manualLayout>
      </c:layout>
      <c:barChart>
        <c:barDir val="col"/>
        <c:grouping val="clustered"/>
        <c:varyColors val="0"/>
        <c:ser>
          <c:idx val="0"/>
          <c:order val="0"/>
          <c:tx>
            <c:v>baten</c:v>
          </c:tx>
          <c:spPr>
            <a:solidFill>
              <a:srgbClr val="CCCCFF"/>
            </a:solidFill>
            <a:ln w="12700">
              <a:solidFill>
                <a:srgbClr val="000000"/>
              </a:solidFill>
              <a:prstDash val="solid"/>
            </a:ln>
          </c:spPr>
          <c:invertIfNegative val="0"/>
          <c:cat>
            <c:numRef>
              <c:f>tab!$D$4:$H$4</c:f>
              <c:numCache>
                <c:formatCode>0</c:formatCode>
                <c:ptCount val="5"/>
                <c:pt idx="0">
                  <c:v>2016</c:v>
                </c:pt>
                <c:pt idx="1">
                  <c:v>2017</c:v>
                </c:pt>
                <c:pt idx="2">
                  <c:v>2018</c:v>
                </c:pt>
                <c:pt idx="3">
                  <c:v>2019</c:v>
                </c:pt>
                <c:pt idx="4">
                  <c:v>2020</c:v>
                </c:pt>
              </c:numCache>
            </c:numRef>
          </c:cat>
          <c:val>
            <c:numRef>
              <c:f>begr!$G$23:$K$23</c:f>
              <c:numCache>
                <c:formatCode>_-"€"\ * #,##0_-;_-"€"\ * #,##0\-;_-"€"\ * "-"_-;_-@_-</c:formatCode>
                <c:ptCount val="5"/>
                <c:pt idx="0">
                  <c:v>0</c:v>
                </c:pt>
                <c:pt idx="1">
                  <c:v>0</c:v>
                </c:pt>
                <c:pt idx="2">
                  <c:v>0</c:v>
                </c:pt>
                <c:pt idx="3">
                  <c:v>0</c:v>
                </c:pt>
                <c:pt idx="4">
                  <c:v>0</c:v>
                </c:pt>
              </c:numCache>
            </c:numRef>
          </c:val>
        </c:ser>
        <c:ser>
          <c:idx val="1"/>
          <c:order val="1"/>
          <c:tx>
            <c:v>lasten</c:v>
          </c:tx>
          <c:spPr>
            <a:solidFill>
              <a:srgbClr val="FFCC99"/>
            </a:solidFill>
            <a:ln w="12700">
              <a:solidFill>
                <a:srgbClr val="000000"/>
              </a:solidFill>
              <a:prstDash val="solid"/>
            </a:ln>
          </c:spPr>
          <c:invertIfNegative val="0"/>
          <c:cat>
            <c:numRef>
              <c:f>tab!$D$4:$H$4</c:f>
              <c:numCache>
                <c:formatCode>0</c:formatCode>
                <c:ptCount val="5"/>
                <c:pt idx="0">
                  <c:v>2016</c:v>
                </c:pt>
                <c:pt idx="1">
                  <c:v>2017</c:v>
                </c:pt>
                <c:pt idx="2">
                  <c:v>2018</c:v>
                </c:pt>
                <c:pt idx="3">
                  <c:v>2019</c:v>
                </c:pt>
                <c:pt idx="4">
                  <c:v>2020</c:v>
                </c:pt>
              </c:numCache>
            </c:numRef>
          </c:cat>
          <c:val>
            <c:numRef>
              <c:f>begr!$G$29:$K$29</c:f>
              <c:numCache>
                <c:formatCode>_-"€"\ * #,##0_-;_-"€"\ * #,##0\-;_-"€"\ * "-"_-;_-@_-</c:formatCode>
                <c:ptCount val="5"/>
                <c:pt idx="0">
                  <c:v>78849.180000000022</c:v>
                </c:pt>
                <c:pt idx="1">
                  <c:v>82605.420000000013</c:v>
                </c:pt>
                <c:pt idx="2">
                  <c:v>85396.680000000022</c:v>
                </c:pt>
                <c:pt idx="3">
                  <c:v>86780.160000000003</c:v>
                </c:pt>
                <c:pt idx="4">
                  <c:v>86780.160000000003</c:v>
                </c:pt>
              </c:numCache>
            </c:numRef>
          </c:val>
        </c:ser>
        <c:dLbls>
          <c:showLegendKey val="0"/>
          <c:showVal val="0"/>
          <c:showCatName val="0"/>
          <c:showSerName val="0"/>
          <c:showPercent val="0"/>
          <c:showBubbleSize val="0"/>
        </c:dLbls>
        <c:gapWidth val="150"/>
        <c:axId val="-813948256"/>
        <c:axId val="-813933024"/>
      </c:barChart>
      <c:catAx>
        <c:axId val="-8139482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3933024"/>
        <c:crosses val="autoZero"/>
        <c:auto val="1"/>
        <c:lblAlgn val="ctr"/>
        <c:lblOffset val="100"/>
        <c:tickLblSkip val="1"/>
        <c:tickMarkSkip val="1"/>
        <c:noMultiLvlLbl val="0"/>
      </c:catAx>
      <c:valAx>
        <c:axId val="-813933024"/>
        <c:scaling>
          <c:orientation val="minMax"/>
        </c:scaling>
        <c:delete val="0"/>
        <c:axPos val="l"/>
        <c:numFmt formatCode="_-&quot;€&quot;\ * #,##0_-;_-&quot;€&quot;\ * #,##0\-;_-&quot;€&quot;\ * &quot;-&quot;_-;_-@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39482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15"/>
          <c:w val="0.23516973480714501"/>
          <c:h val="7.0588336667533128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Materiële vaste activa</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_("€"* #.##0_);_("€"* \(#.##0\);_("€"* "-"_);_(@_)</c:formatCode>
              <c:ptCount val="4"/>
              <c:pt idx="0">
                <c:v>0</c:v>
              </c:pt>
              <c:pt idx="1">
                <c:v>0</c:v>
              </c:pt>
              <c:pt idx="2">
                <c:v>0</c:v>
              </c:pt>
              <c:pt idx="3">
                <c:v>0</c:v>
              </c:pt>
            </c:numLit>
          </c:val>
        </c:ser>
        <c:dLbls>
          <c:showLegendKey val="0"/>
          <c:showVal val="1"/>
          <c:showCatName val="0"/>
          <c:showSerName val="0"/>
          <c:showPercent val="0"/>
          <c:showBubbleSize val="0"/>
        </c:dLbls>
        <c:gapWidth val="150"/>
        <c:axId val="-813940096"/>
        <c:axId val="-813947712"/>
      </c:barChart>
      <c:catAx>
        <c:axId val="-8139400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3947712"/>
        <c:crosses val="autoZero"/>
        <c:auto val="1"/>
        <c:lblAlgn val="ctr"/>
        <c:lblOffset val="100"/>
        <c:tickLblSkip val="1"/>
        <c:tickMarkSkip val="1"/>
        <c:noMultiLvlLbl val="0"/>
      </c:catAx>
      <c:valAx>
        <c:axId val="-813947712"/>
        <c:scaling>
          <c:orientation val="minMax"/>
        </c:scaling>
        <c:delete val="0"/>
        <c:axPos val="l"/>
        <c:numFmt formatCode="_(&quot;€&quot;* #.##0_);_(&quot;€&quot;* \(#.##0\);_(&quot;€&quot;* &quot;-&quot;_);_(@_)"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39400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oddHeader>&amp;L&amp;"Arial,Vet"&amp;F&amp;R&amp;"Arial,Vet"&amp;A</c:oddHeader>
      <c:oddFooter>&amp;L&amp;"Arial,Vet"keizer / goedhart&amp;C&amp;"Arial,Vet"&amp;D&amp;R&amp;"Arial,Vet"pagina &amp;P</c:oddFooter>
    </c:headerFooter>
    <c:pageMargins b="1" l="0.75000000000000411" r="0.75000000000000411"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nl-NL"/>
              <a:t>Vreemd Vermogen</a:t>
            </a:r>
          </a:p>
        </c:rich>
      </c:tx>
      <c:overlay val="0"/>
      <c:spPr>
        <a:noFill/>
        <a:ln w="25400">
          <a:noFill/>
        </a:ln>
      </c:spPr>
    </c:title>
    <c:autoTitleDeleted val="0"/>
    <c:plotArea>
      <c:layout/>
      <c:barChart>
        <c:barDir val="col"/>
        <c:grouping val="clustered"/>
        <c:varyColors val="0"/>
        <c:ser>
          <c:idx val="0"/>
          <c:order val="0"/>
          <c:spPr>
            <a:solidFill>
              <a:srgbClr val="CC99FF"/>
            </a:solidFill>
            <a:ln w="12700">
              <a:solidFill>
                <a:srgbClr val="000000"/>
              </a:solidFill>
              <a:prstDash val="solid"/>
            </a:ln>
          </c:spPr>
          <c:invertIfNegative val="0"/>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4"/>
              <c:pt idx="0">
                <c:v>2013</c:v>
              </c:pt>
              <c:pt idx="1">
                <c:v>2014</c:v>
              </c:pt>
              <c:pt idx="2">
                <c:v>2015</c:v>
              </c:pt>
              <c:pt idx="3">
                <c:v>2016</c:v>
              </c:pt>
            </c:numLit>
          </c:cat>
          <c:val>
            <c:numLit>
              <c:formatCode>General</c:formatCode>
              <c:ptCount val="1"/>
              <c:pt idx="0">
                <c:v>0</c:v>
              </c:pt>
            </c:numLit>
          </c:val>
        </c:ser>
        <c:dLbls>
          <c:showLegendKey val="0"/>
          <c:showVal val="1"/>
          <c:showCatName val="0"/>
          <c:showSerName val="0"/>
          <c:showPercent val="0"/>
          <c:showBubbleSize val="0"/>
        </c:dLbls>
        <c:gapWidth val="150"/>
        <c:axId val="-813952064"/>
        <c:axId val="-813930848"/>
      </c:barChart>
      <c:catAx>
        <c:axId val="-8139520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3930848"/>
        <c:crosses val="autoZero"/>
        <c:auto val="1"/>
        <c:lblAlgn val="ctr"/>
        <c:lblOffset val="100"/>
        <c:tickLblSkip val="1"/>
        <c:tickMarkSkip val="1"/>
        <c:noMultiLvlLbl val="0"/>
      </c:catAx>
      <c:valAx>
        <c:axId val="-8139308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8139520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Solvabiliteit 1</a:t>
            </a:r>
          </a:p>
        </c:rich>
      </c:tx>
      <c:layout>
        <c:manualLayout>
          <c:xMode val="edge"/>
          <c:yMode val="edge"/>
          <c:x val="0.40178610026687972"/>
          <c:y val="3.5294117647058851E-2"/>
        </c:manualLayout>
      </c:layout>
      <c:overlay val="0"/>
      <c:spPr>
        <a:noFill/>
        <a:ln w="25400">
          <a:noFill/>
        </a:ln>
      </c:spPr>
    </c:title>
    <c:autoTitleDeleted val="0"/>
    <c:plotArea>
      <c:layout>
        <c:manualLayout>
          <c:layoutTarget val="inner"/>
          <c:xMode val="edge"/>
          <c:yMode val="edge"/>
          <c:x val="0.11607155507938396"/>
          <c:y val="0.19705910653019784"/>
          <c:w val="0.8526795007754796"/>
          <c:h val="0.67058919834156472"/>
        </c:manualLayout>
      </c:layout>
      <c:barChart>
        <c:barDir val="col"/>
        <c:grouping val="clustered"/>
        <c:varyColors val="0"/>
        <c:ser>
          <c:idx val="0"/>
          <c:order val="0"/>
          <c:tx>
            <c:strRef>
              <c:f>ken!$D$10</c:f>
              <c:strCache>
                <c:ptCount val="1"/>
                <c:pt idx="0">
                  <c:v>Solvabiliteit 1</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ken!$F$8:$I$8</c:f>
              <c:numCache>
                <c:formatCode>0</c:formatCode>
                <c:ptCount val="4"/>
                <c:pt idx="0">
                  <c:v>2016</c:v>
                </c:pt>
                <c:pt idx="1">
                  <c:v>2017</c:v>
                </c:pt>
                <c:pt idx="2">
                  <c:v>2018</c:v>
                </c:pt>
                <c:pt idx="3">
                  <c:v>2019</c:v>
                </c:pt>
              </c:numCache>
            </c:numRef>
          </c:cat>
          <c:val>
            <c:numRef>
              <c:f>ken!$F$10:$I$10</c:f>
              <c:numCache>
                <c:formatCode>0%</c:formatCode>
                <c:ptCount val="4"/>
                <c:pt idx="0">
                  <c:v>1</c:v>
                </c:pt>
                <c:pt idx="1">
                  <c:v>1</c:v>
                </c:pt>
                <c:pt idx="2">
                  <c:v>1</c:v>
                </c:pt>
                <c:pt idx="3">
                  <c:v>1</c:v>
                </c:pt>
              </c:numCache>
            </c:numRef>
          </c:val>
        </c:ser>
        <c:dLbls>
          <c:showLegendKey val="0"/>
          <c:showVal val="1"/>
          <c:showCatName val="0"/>
          <c:showSerName val="0"/>
          <c:showPercent val="0"/>
          <c:showBubbleSize val="0"/>
        </c:dLbls>
        <c:gapWidth val="150"/>
        <c:axId val="-813933568"/>
        <c:axId val="-813934656"/>
      </c:barChart>
      <c:catAx>
        <c:axId val="-81393356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3934656"/>
        <c:crosses val="autoZero"/>
        <c:auto val="1"/>
        <c:lblAlgn val="ctr"/>
        <c:lblOffset val="100"/>
        <c:tickLblSkip val="1"/>
        <c:tickMarkSkip val="1"/>
        <c:noMultiLvlLbl val="0"/>
      </c:catAx>
      <c:valAx>
        <c:axId val="-813934656"/>
        <c:scaling>
          <c:orientation val="minMax"/>
          <c:max val="1"/>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393356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25" b="1" i="0" u="none" strike="noStrike" baseline="0">
                <a:solidFill>
                  <a:srgbClr val="000000"/>
                </a:solidFill>
                <a:latin typeface="Arial"/>
                <a:ea typeface="Arial"/>
                <a:cs typeface="Arial"/>
              </a:defRPr>
            </a:pPr>
            <a:r>
              <a:rPr lang="nl-NL"/>
              <a:t>Liquiditeit</a:t>
            </a:r>
          </a:p>
        </c:rich>
      </c:tx>
      <c:layout>
        <c:manualLayout>
          <c:xMode val="edge"/>
          <c:yMode val="edge"/>
          <c:x val="0.41741110386679381"/>
          <c:y val="3.5398230088495596E-2"/>
        </c:manualLayout>
      </c:layout>
      <c:overlay val="0"/>
      <c:spPr>
        <a:noFill/>
        <a:ln w="25400">
          <a:noFill/>
        </a:ln>
      </c:spPr>
    </c:title>
    <c:autoTitleDeleted val="0"/>
    <c:plotArea>
      <c:layout>
        <c:manualLayout>
          <c:layoutTarget val="inner"/>
          <c:xMode val="edge"/>
          <c:yMode val="edge"/>
          <c:x val="0.10069133159781871"/>
          <c:y val="0.25438845384778652"/>
          <c:w val="0.86830451780539164"/>
          <c:h val="0.66961844815418536"/>
        </c:manualLayout>
      </c:layout>
      <c:barChart>
        <c:barDir val="col"/>
        <c:grouping val="clustered"/>
        <c:varyColors val="0"/>
        <c:ser>
          <c:idx val="0"/>
          <c:order val="0"/>
          <c:tx>
            <c:strRef>
              <c:f>ken!$D$12</c:f>
              <c:strCache>
                <c:ptCount val="1"/>
                <c:pt idx="0">
                  <c:v>Liquiditeit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ken!$F$7:$I$8</c:f>
              <c:strCache>
                <c:ptCount val="4"/>
                <c:pt idx="0">
                  <c:v>2016</c:v>
                </c:pt>
                <c:pt idx="1">
                  <c:v>2017</c:v>
                </c:pt>
                <c:pt idx="2">
                  <c:v>2018</c:v>
                </c:pt>
                <c:pt idx="3">
                  <c:v>2019</c:v>
                </c:pt>
              </c:strCache>
            </c:strRef>
          </c:cat>
          <c:val>
            <c:numRef>
              <c:f>ken!$F$12:$I$12</c:f>
              <c:numCache>
                <c:formatCode>0%</c:formatCode>
                <c:ptCount val="4"/>
                <c:pt idx="0">
                  <c:v>0</c:v>
                </c:pt>
                <c:pt idx="1">
                  <c:v>0</c:v>
                </c:pt>
                <c:pt idx="2">
                  <c:v>0</c:v>
                </c:pt>
                <c:pt idx="3">
                  <c:v>0</c:v>
                </c:pt>
              </c:numCache>
            </c:numRef>
          </c:val>
        </c:ser>
        <c:dLbls>
          <c:showLegendKey val="0"/>
          <c:showVal val="1"/>
          <c:showCatName val="0"/>
          <c:showSerName val="0"/>
          <c:showPercent val="0"/>
          <c:showBubbleSize val="0"/>
        </c:dLbls>
        <c:gapWidth val="150"/>
        <c:axId val="-813944992"/>
        <c:axId val="-813930304"/>
      </c:barChart>
      <c:catAx>
        <c:axId val="-813944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3930304"/>
        <c:crosses val="autoZero"/>
        <c:auto val="1"/>
        <c:lblAlgn val="ctr"/>
        <c:lblOffset val="100"/>
        <c:tickLblSkip val="1"/>
        <c:tickMarkSkip val="1"/>
        <c:noMultiLvlLbl val="0"/>
      </c:catAx>
      <c:valAx>
        <c:axId val="-81393030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39449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Arial"/>
                <a:ea typeface="Arial"/>
                <a:cs typeface="Arial"/>
              </a:defRPr>
            </a:pPr>
            <a:r>
              <a:rPr lang="nl-NL"/>
              <a:t>Rentabiliteit</a:t>
            </a:r>
          </a:p>
        </c:rich>
      </c:tx>
      <c:layout>
        <c:manualLayout>
          <c:xMode val="edge"/>
          <c:yMode val="edge"/>
          <c:x val="0.3991031440218909"/>
          <c:y val="3.5190615835777136E-2"/>
        </c:manualLayout>
      </c:layout>
      <c:overlay val="0"/>
      <c:spPr>
        <a:noFill/>
        <a:ln w="25400">
          <a:noFill/>
        </a:ln>
      </c:spPr>
    </c:title>
    <c:autoTitleDeleted val="0"/>
    <c:plotArea>
      <c:layout>
        <c:manualLayout>
          <c:layoutTarget val="inner"/>
          <c:xMode val="edge"/>
          <c:yMode val="edge"/>
          <c:x val="0.15919282511210794"/>
          <c:y val="0.19648093841642431"/>
          <c:w val="0.8094170403587444"/>
          <c:h val="0.671554252199422"/>
        </c:manualLayout>
      </c:layout>
      <c:barChart>
        <c:barDir val="col"/>
        <c:grouping val="clustered"/>
        <c:varyColors val="0"/>
        <c:ser>
          <c:idx val="0"/>
          <c:order val="0"/>
          <c:tx>
            <c:strRef>
              <c:f>ken!$D$14</c:f>
              <c:strCache>
                <c:ptCount val="1"/>
                <c:pt idx="0">
                  <c:v>Rentabiliteit</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ken!$F$8:$I$8</c:f>
              <c:numCache>
                <c:formatCode>0</c:formatCode>
                <c:ptCount val="4"/>
                <c:pt idx="0">
                  <c:v>2016</c:v>
                </c:pt>
                <c:pt idx="1">
                  <c:v>2017</c:v>
                </c:pt>
                <c:pt idx="2">
                  <c:v>2018</c:v>
                </c:pt>
                <c:pt idx="3">
                  <c:v>2019</c:v>
                </c:pt>
              </c:numCache>
            </c:numRef>
          </c:cat>
          <c:val>
            <c:numRef>
              <c:f>ken!$F$14:$I$14</c:f>
              <c:numCache>
                <c:formatCode>0%</c:formatCode>
                <c:ptCount val="4"/>
                <c:pt idx="0">
                  <c:v>0</c:v>
                </c:pt>
                <c:pt idx="1">
                  <c:v>0</c:v>
                </c:pt>
                <c:pt idx="2">
                  <c:v>0</c:v>
                </c:pt>
                <c:pt idx="3">
                  <c:v>0</c:v>
                </c:pt>
              </c:numCache>
            </c:numRef>
          </c:val>
        </c:ser>
        <c:dLbls>
          <c:showLegendKey val="0"/>
          <c:showVal val="1"/>
          <c:showCatName val="0"/>
          <c:showSerName val="0"/>
          <c:showPercent val="0"/>
          <c:showBubbleSize val="0"/>
        </c:dLbls>
        <c:gapWidth val="150"/>
        <c:axId val="-813925952"/>
        <c:axId val="-813946624"/>
      </c:barChart>
      <c:catAx>
        <c:axId val="-81392595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3946624"/>
        <c:crosses val="autoZero"/>
        <c:auto val="1"/>
        <c:lblAlgn val="ctr"/>
        <c:lblOffset val="100"/>
        <c:tickLblSkip val="1"/>
        <c:tickMarkSkip val="1"/>
        <c:noMultiLvlLbl val="0"/>
      </c:catAx>
      <c:valAx>
        <c:axId val="-813946624"/>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81392595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11" r="0.75000000000000411"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3.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2.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10</xdr:col>
      <xdr:colOff>0</xdr:colOff>
      <xdr:row>76</xdr:row>
      <xdr:rowOff>0</xdr:rowOff>
    </xdr:from>
    <xdr:to>
      <xdr:col>17</xdr:col>
      <xdr:colOff>9525</xdr:colOff>
      <xdr:row>76</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156882</xdr:colOff>
      <xdr:row>7</xdr:row>
      <xdr:rowOff>143996</xdr:rowOff>
    </xdr:from>
    <xdr:to>
      <xdr:col>16</xdr:col>
      <xdr:colOff>539563</xdr:colOff>
      <xdr:row>27</xdr:row>
      <xdr:rowOff>153520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155202</xdr:colOff>
      <xdr:row>29</xdr:row>
      <xdr:rowOff>121585</xdr:rowOff>
    </xdr:from>
    <xdr:to>
      <xdr:col>8</xdr:col>
      <xdr:colOff>616323</xdr:colOff>
      <xdr:row>49</xdr:row>
      <xdr:rowOff>121585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161925</xdr:colOff>
      <xdr:row>7</xdr:row>
      <xdr:rowOff>142875</xdr:rowOff>
    </xdr:from>
    <xdr:to>
      <xdr:col>8</xdr:col>
      <xdr:colOff>590550</xdr:colOff>
      <xdr:row>27</xdr:row>
      <xdr:rowOff>142875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171450</xdr:colOff>
      <xdr:row>76</xdr:row>
      <xdr:rowOff>0</xdr:rowOff>
    </xdr:from>
    <xdr:to>
      <xdr:col>8</xdr:col>
      <xdr:colOff>600075</xdr:colOff>
      <xdr:row>76</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76</xdr:row>
      <xdr:rowOff>0</xdr:rowOff>
    </xdr:from>
    <xdr:to>
      <xdr:col>16</xdr:col>
      <xdr:colOff>600075</xdr:colOff>
      <xdr:row>76</xdr:row>
      <xdr:rowOff>0</xdr:rowOff>
    </xdr:to>
    <xdr:graphicFrame macro="">
      <xdr:nvGraphicFramePr>
        <xdr:cNvPr id="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142875</xdr:colOff>
      <xdr:row>73</xdr:row>
      <xdr:rowOff>79375</xdr:rowOff>
    </xdr:from>
    <xdr:to>
      <xdr:col>8</xdr:col>
      <xdr:colOff>619125</xdr:colOff>
      <xdr:row>93</xdr:row>
      <xdr:rowOff>79375</xdr:rowOff>
    </xdr:to>
    <xdr:graphicFrame macro="">
      <xdr:nvGraphicFramePr>
        <xdr:cNvPr id="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11206</xdr:colOff>
      <xdr:row>97</xdr:row>
      <xdr:rowOff>89647</xdr:rowOff>
    </xdr:from>
    <xdr:to>
      <xdr:col>8</xdr:col>
      <xdr:colOff>611281</xdr:colOff>
      <xdr:row>117</xdr:row>
      <xdr:rowOff>85165</xdr:rowOff>
    </xdr:to>
    <xdr:graphicFrame macro="">
      <xdr:nvGraphicFramePr>
        <xdr:cNvPr id="10"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0</xdr:colOff>
      <xdr:row>97</xdr:row>
      <xdr:rowOff>100854</xdr:rowOff>
    </xdr:from>
    <xdr:to>
      <xdr:col>16</xdr:col>
      <xdr:colOff>590550</xdr:colOff>
      <xdr:row>117</xdr:row>
      <xdr:rowOff>110379</xdr:rowOff>
    </xdr:to>
    <xdr:graphicFrame macro="">
      <xdr:nvGraphicFramePr>
        <xdr:cNvPr id="1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168088</xdr:colOff>
      <xdr:row>119</xdr:row>
      <xdr:rowOff>67235</xdr:rowOff>
    </xdr:from>
    <xdr:to>
      <xdr:col>8</xdr:col>
      <xdr:colOff>588868</xdr:colOff>
      <xdr:row>139</xdr:row>
      <xdr:rowOff>53227</xdr:rowOff>
    </xdr:to>
    <xdr:graphicFrame macro="">
      <xdr:nvGraphicFramePr>
        <xdr:cNvPr id="1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74</xdr:row>
      <xdr:rowOff>0</xdr:rowOff>
    </xdr:from>
    <xdr:to>
      <xdr:col>9</xdr:col>
      <xdr:colOff>0</xdr:colOff>
      <xdr:row>74</xdr:row>
      <xdr:rowOff>0</xdr:rowOff>
    </xdr:to>
    <xdr:graphicFrame macro="">
      <xdr:nvGraphicFramePr>
        <xdr:cNvPr id="1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9525</xdr:colOff>
      <xdr:row>76</xdr:row>
      <xdr:rowOff>0</xdr:rowOff>
    </xdr:from>
    <xdr:to>
      <xdr:col>17</xdr:col>
      <xdr:colOff>9525</xdr:colOff>
      <xdr:row>76</xdr:row>
      <xdr:rowOff>0</xdr:rowOff>
    </xdr:to>
    <xdr:graphicFrame macro="">
      <xdr:nvGraphicFramePr>
        <xdr:cNvPr id="1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171450</xdr:colOff>
      <xdr:row>76</xdr:row>
      <xdr:rowOff>0</xdr:rowOff>
    </xdr:from>
    <xdr:to>
      <xdr:col>8</xdr:col>
      <xdr:colOff>600075</xdr:colOff>
      <xdr:row>76</xdr:row>
      <xdr:rowOff>0</xdr:rowOff>
    </xdr:to>
    <xdr:graphicFrame macro="">
      <xdr:nvGraphicFramePr>
        <xdr:cNvPr id="1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9525</xdr:colOff>
      <xdr:row>76</xdr:row>
      <xdr:rowOff>0</xdr:rowOff>
    </xdr:from>
    <xdr:to>
      <xdr:col>17</xdr:col>
      <xdr:colOff>9525</xdr:colOff>
      <xdr:row>76</xdr:row>
      <xdr:rowOff>0</xdr:rowOff>
    </xdr:to>
    <xdr:graphicFrame macro="">
      <xdr:nvGraphicFramePr>
        <xdr:cNvPr id="1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171450</xdr:colOff>
      <xdr:row>76</xdr:row>
      <xdr:rowOff>0</xdr:rowOff>
    </xdr:from>
    <xdr:to>
      <xdr:col>9</xdr:col>
      <xdr:colOff>0</xdr:colOff>
      <xdr:row>76</xdr:row>
      <xdr:rowOff>0</xdr:rowOff>
    </xdr:to>
    <xdr:graphicFrame macro="">
      <xdr:nvGraphicFramePr>
        <xdr:cNvPr id="1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9525</xdr:colOff>
      <xdr:row>76</xdr:row>
      <xdr:rowOff>0</xdr:rowOff>
    </xdr:from>
    <xdr:to>
      <xdr:col>17</xdr:col>
      <xdr:colOff>9525</xdr:colOff>
      <xdr:row>76</xdr:row>
      <xdr:rowOff>0</xdr:rowOff>
    </xdr:to>
    <xdr:graphicFrame macro="">
      <xdr:nvGraphicFramePr>
        <xdr:cNvPr id="18"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9</xdr:col>
      <xdr:colOff>155201</xdr:colOff>
      <xdr:row>51</xdr:row>
      <xdr:rowOff>87966</xdr:rowOff>
    </xdr:from>
    <xdr:to>
      <xdr:col>16</xdr:col>
      <xdr:colOff>625848</xdr:colOff>
      <xdr:row>71</xdr:row>
      <xdr:rowOff>73959</xdr:rowOff>
    </xdr:to>
    <xdr:graphicFrame macro="">
      <xdr:nvGraphicFramePr>
        <xdr:cNvPr id="19"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152400</xdr:colOff>
      <xdr:row>29</xdr:row>
      <xdr:rowOff>138393</xdr:rowOff>
    </xdr:from>
    <xdr:to>
      <xdr:col>16</xdr:col>
      <xdr:colOff>619126</xdr:colOff>
      <xdr:row>49</xdr:row>
      <xdr:rowOff>138393</xdr:rowOff>
    </xdr:to>
    <xdr:graphicFrame macro="">
      <xdr:nvGraphicFramePr>
        <xdr:cNvPr id="20"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9525</xdr:colOff>
      <xdr:row>74</xdr:row>
      <xdr:rowOff>0</xdr:rowOff>
    </xdr:from>
    <xdr:to>
      <xdr:col>17</xdr:col>
      <xdr:colOff>9525</xdr:colOff>
      <xdr:row>74</xdr:row>
      <xdr:rowOff>0</xdr:rowOff>
    </xdr:to>
    <xdr:graphicFrame macro="">
      <xdr:nvGraphicFramePr>
        <xdr:cNvPr id="21"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152400</xdr:colOff>
      <xdr:row>76</xdr:row>
      <xdr:rowOff>0</xdr:rowOff>
    </xdr:from>
    <xdr:to>
      <xdr:col>8</xdr:col>
      <xdr:colOff>581025</xdr:colOff>
      <xdr:row>76</xdr:row>
      <xdr:rowOff>0</xdr:rowOff>
    </xdr:to>
    <xdr:graphicFrame macro="">
      <xdr:nvGraphicFramePr>
        <xdr:cNvPr id="22"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153521</xdr:colOff>
      <xdr:row>51</xdr:row>
      <xdr:rowOff>97491</xdr:rowOff>
    </xdr:from>
    <xdr:to>
      <xdr:col>8</xdr:col>
      <xdr:colOff>614642</xdr:colOff>
      <xdr:row>71</xdr:row>
      <xdr:rowOff>73959</xdr:rowOff>
    </xdr:to>
    <xdr:graphicFrame macro="">
      <xdr:nvGraphicFramePr>
        <xdr:cNvPr id="25"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xdr:col>
      <xdr:colOff>485775</xdr:colOff>
      <xdr:row>51</xdr:row>
      <xdr:rowOff>0</xdr:rowOff>
    </xdr:from>
    <xdr:to>
      <xdr:col>17</xdr:col>
      <xdr:colOff>161925</xdr:colOff>
      <xdr:row>51</xdr:row>
      <xdr:rowOff>0</xdr:rowOff>
    </xdr:to>
    <xdr:pic>
      <xdr:nvPicPr>
        <xdr:cNvPr id="26" name="Picture 29" descr="vosabblogo"/>
        <xdr:cNvPicPr>
          <a:picLocks noChangeAspect="1" noChangeArrowheads="1"/>
        </xdr:cNvPicPr>
      </xdr:nvPicPr>
      <xdr:blipFill>
        <a:blip xmlns:r="http://schemas.openxmlformats.org/officeDocument/2006/relationships" r:embed="rId22"/>
        <a:srcRect/>
        <a:stretch>
          <a:fillRect/>
        </a:stretch>
      </xdr:blipFill>
      <xdr:spPr bwMode="auto">
        <a:xfrm>
          <a:off x="8220075" y="11811000"/>
          <a:ext cx="1619250" cy="0"/>
        </a:xfrm>
        <a:prstGeom prst="rect">
          <a:avLst/>
        </a:prstGeom>
        <a:noFill/>
        <a:ln w="9525">
          <a:noFill/>
          <a:miter lim="800000"/>
          <a:headEnd/>
          <a:tailEnd/>
        </a:ln>
      </xdr:spPr>
    </xdr:pic>
    <xdr:clientData/>
  </xdr:twoCellAnchor>
  <xdr:twoCellAnchor>
    <xdr:from>
      <xdr:col>14</xdr:col>
      <xdr:colOff>485775</xdr:colOff>
      <xdr:row>76</xdr:row>
      <xdr:rowOff>0</xdr:rowOff>
    </xdr:from>
    <xdr:to>
      <xdr:col>17</xdr:col>
      <xdr:colOff>161925</xdr:colOff>
      <xdr:row>76</xdr:row>
      <xdr:rowOff>0</xdr:rowOff>
    </xdr:to>
    <xdr:pic>
      <xdr:nvPicPr>
        <xdr:cNvPr id="27" name="Picture 31" descr="vosabblogo"/>
        <xdr:cNvPicPr>
          <a:picLocks noChangeAspect="1" noChangeArrowheads="1"/>
        </xdr:cNvPicPr>
      </xdr:nvPicPr>
      <xdr:blipFill>
        <a:blip xmlns:r="http://schemas.openxmlformats.org/officeDocument/2006/relationships" r:embed="rId22"/>
        <a:srcRect/>
        <a:stretch>
          <a:fillRect/>
        </a:stretch>
      </xdr:blipFill>
      <xdr:spPr bwMode="auto">
        <a:xfrm>
          <a:off x="8220075" y="19421475"/>
          <a:ext cx="1619250" cy="0"/>
        </a:xfrm>
        <a:prstGeom prst="rect">
          <a:avLst/>
        </a:prstGeom>
        <a:noFill/>
        <a:ln w="9525">
          <a:noFill/>
          <a:miter lim="800000"/>
          <a:headEnd/>
          <a:tailEnd/>
        </a:ln>
      </xdr:spPr>
    </xdr:pic>
    <xdr:clientData/>
  </xdr:twoCellAnchor>
  <xdr:twoCellAnchor>
    <xdr:from>
      <xdr:col>10</xdr:col>
      <xdr:colOff>1</xdr:colOff>
      <xdr:row>119</xdr:row>
      <xdr:rowOff>56030</xdr:rowOff>
    </xdr:from>
    <xdr:to>
      <xdr:col>16</xdr:col>
      <xdr:colOff>600076</xdr:colOff>
      <xdr:row>139</xdr:row>
      <xdr:rowOff>42022</xdr:rowOff>
    </xdr:to>
    <xdr:graphicFrame macro="">
      <xdr:nvGraphicFramePr>
        <xdr:cNvPr id="28"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0</xdr:colOff>
      <xdr:row>73</xdr:row>
      <xdr:rowOff>90581</xdr:rowOff>
    </xdr:from>
    <xdr:to>
      <xdr:col>17</xdr:col>
      <xdr:colOff>0</xdr:colOff>
      <xdr:row>93</xdr:row>
      <xdr:rowOff>90581</xdr:rowOff>
    </xdr:to>
    <xdr:graphicFrame macro="">
      <xdr:nvGraphicFramePr>
        <xdr:cNvPr id="29"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xdr:colOff>
      <xdr:row>16</xdr:row>
      <xdr:rowOff>0</xdr:rowOff>
    </xdr:from>
    <xdr:to>
      <xdr:col>10</xdr:col>
      <xdr:colOff>14007</xdr:colOff>
      <xdr:row>34</xdr:row>
      <xdr:rowOff>0</xdr:rowOff>
    </xdr:to>
    <xdr:graphicFrame macro="">
      <xdr:nvGraphicFramePr>
        <xdr:cNvPr id="5" name="Grafiek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425824</xdr:colOff>
      <xdr:row>3</xdr:row>
      <xdr:rowOff>9525</xdr:rowOff>
    </xdr:from>
    <xdr:to>
      <xdr:col>12</xdr:col>
      <xdr:colOff>171450</xdr:colOff>
      <xdr:row>5</xdr:row>
      <xdr:rowOff>0</xdr:rowOff>
    </xdr:to>
    <xdr:pic>
      <xdr:nvPicPr>
        <xdr:cNvPr id="2"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88899" y="495300"/>
          <a:ext cx="1726826"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28</xdr:col>
      <xdr:colOff>352425</xdr:colOff>
      <xdr:row>2</xdr:row>
      <xdr:rowOff>133350</xdr:rowOff>
    </xdr:from>
    <xdr:to>
      <xdr:col>31</xdr:col>
      <xdr:colOff>38100</xdr:colOff>
      <xdr:row>4</xdr:row>
      <xdr:rowOff>152400</xdr:rowOff>
    </xdr:to>
    <xdr:pic>
      <xdr:nvPicPr>
        <xdr:cNvPr id="63489"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126575" y="457200"/>
          <a:ext cx="1562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28</xdr:col>
      <xdr:colOff>352425</xdr:colOff>
      <xdr:row>2</xdr:row>
      <xdr:rowOff>133350</xdr:rowOff>
    </xdr:from>
    <xdr:to>
      <xdr:col>31</xdr:col>
      <xdr:colOff>38100</xdr:colOff>
      <xdr:row>4</xdr:row>
      <xdr:rowOff>152400</xdr:rowOff>
    </xdr:to>
    <xdr:pic>
      <xdr:nvPicPr>
        <xdr:cNvPr id="64513"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269450" y="457200"/>
          <a:ext cx="15621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1019175</xdr:colOff>
      <xdr:row>3</xdr:row>
      <xdr:rowOff>28575</xdr:rowOff>
    </xdr:from>
    <xdr:to>
      <xdr:col>10</xdr:col>
      <xdr:colOff>171450</xdr:colOff>
      <xdr:row>4</xdr:row>
      <xdr:rowOff>228600</xdr:rowOff>
    </xdr:to>
    <xdr:pic>
      <xdr:nvPicPr>
        <xdr:cNvPr id="21511"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2850" y="514350"/>
          <a:ext cx="140017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cenariomodelpo.nl/" TargetMode="External"/><Relationship Id="rId2" Type="http://schemas.openxmlformats.org/officeDocument/2006/relationships/hyperlink" Target="mailto:be.keizer@wxs.nl" TargetMode="External"/><Relationship Id="rId1" Type="http://schemas.openxmlformats.org/officeDocument/2006/relationships/hyperlink" Target="mailto:r.goedhart@poraad.nl" TargetMode="External"/><Relationship Id="rId5" Type="http://schemas.openxmlformats.org/officeDocument/2006/relationships/printerSettings" Target="../printerSettings/printerSettings1.bin"/><Relationship Id="rId4" Type="http://schemas.openxmlformats.org/officeDocument/2006/relationships/hyperlink" Target="https://www.duo.nl/open_onderwijsdata/prognoses/"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poraad.nl/" TargetMode="External"/><Relationship Id="rId1" Type="http://schemas.openxmlformats.org/officeDocument/2006/relationships/hyperlink" Target="http://www.poraad.nl/" TargetMode="External"/><Relationship Id="rId4" Type="http://schemas.openxmlformats.org/officeDocument/2006/relationships/drawing" Target="../drawings/drawing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xml"/><Relationship Id="rId1" Type="http://schemas.openxmlformats.org/officeDocument/2006/relationships/printerSettings" Target="../printerSettings/printerSettings19.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0.bin"/><Relationship Id="rId1" Type="http://schemas.openxmlformats.org/officeDocument/2006/relationships/hyperlink" Target="http://www.poraad.nl/content/meerjarenbegrotingsmodellen-geld"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6.xml"/><Relationship Id="rId1" Type="http://schemas.openxmlformats.org/officeDocument/2006/relationships/printerSettings" Target="../printerSettings/printerSettings23.bin"/><Relationship Id="rId4" Type="http://schemas.openxmlformats.org/officeDocument/2006/relationships/comments" Target="../comments1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4.bin"/><Relationship Id="rId1" Type="http://schemas.openxmlformats.org/officeDocument/2006/relationships/hyperlink" Target="http://www.poraad.nl/" TargetMode="External"/><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R369"/>
  <sheetViews>
    <sheetView showGridLines="0" topLeftCell="A13" zoomScale="90" zoomScaleNormal="90" zoomScaleSheetLayoutView="100" workbookViewId="0">
      <selection activeCell="C33" sqref="C33"/>
    </sheetView>
  </sheetViews>
  <sheetFormatPr defaultColWidth="9.140625" defaultRowHeight="12.75" x14ac:dyDescent="0.2"/>
  <cols>
    <col min="1" max="1" width="3.7109375" style="107" customWidth="1"/>
    <col min="2" max="2" width="2.7109375" style="107" customWidth="1"/>
    <col min="3" max="3" width="7.85546875" style="107" customWidth="1"/>
    <col min="4" max="11" width="9.140625" style="107"/>
    <col min="12" max="13" width="12.7109375" style="107" bestFit="1" customWidth="1"/>
    <col min="14" max="16384" width="9.140625" style="107"/>
  </cols>
  <sheetData>
    <row r="2" spans="3:18" ht="18.75" x14ac:dyDescent="0.3">
      <c r="C2" s="788" t="s">
        <v>978</v>
      </c>
      <c r="D2" s="789"/>
      <c r="E2" s="789"/>
      <c r="F2" s="789"/>
      <c r="G2" s="789"/>
      <c r="H2" s="789"/>
      <c r="I2" s="789"/>
      <c r="J2" s="789"/>
      <c r="K2" s="790"/>
      <c r="L2" s="787" t="s">
        <v>903</v>
      </c>
      <c r="M2" s="982">
        <v>42541</v>
      </c>
      <c r="Q2" s="458"/>
    </row>
    <row r="3" spans="3:18" s="765" customFormat="1" ht="15.75" x14ac:dyDescent="0.25">
      <c r="C3" s="1"/>
      <c r="K3" s="1"/>
      <c r="Q3" s="458"/>
    </row>
    <row r="4" spans="3:18" s="765" customFormat="1" ht="15.75" x14ac:dyDescent="0.25">
      <c r="C4" s="1" t="s">
        <v>1016</v>
      </c>
      <c r="K4" s="1"/>
      <c r="Q4" s="458"/>
    </row>
    <row r="5" spans="3:18" s="765" customFormat="1" ht="15.75" x14ac:dyDescent="0.25">
      <c r="C5" s="1519" t="s">
        <v>1017</v>
      </c>
      <c r="K5" s="1"/>
      <c r="Q5" s="458"/>
    </row>
    <row r="6" spans="3:18" s="765" customFormat="1" ht="15.75" x14ac:dyDescent="0.25">
      <c r="C6" s="1519" t="s">
        <v>1026</v>
      </c>
      <c r="K6" s="1"/>
      <c r="Q6" s="458"/>
    </row>
    <row r="7" spans="3:18" ht="15.75" x14ac:dyDescent="0.25">
      <c r="C7" s="1519" t="s">
        <v>1043</v>
      </c>
      <c r="D7" s="765"/>
      <c r="E7" s="765"/>
      <c r="F7" s="765"/>
      <c r="G7" s="765"/>
      <c r="H7" s="765"/>
      <c r="I7" s="765"/>
      <c r="J7" s="765"/>
      <c r="K7" s="1"/>
      <c r="L7" s="765"/>
      <c r="M7" s="765"/>
      <c r="R7" s="458"/>
    </row>
    <row r="8" spans="3:18" ht="15.75" x14ac:dyDescent="0.25">
      <c r="C8" s="1519" t="s">
        <v>1044</v>
      </c>
      <c r="D8" s="765"/>
      <c r="E8" s="765"/>
      <c r="F8" s="765"/>
      <c r="G8" s="765"/>
      <c r="H8" s="765"/>
      <c r="I8" s="765"/>
      <c r="J8" s="765"/>
      <c r="K8" s="1"/>
      <c r="L8" s="765"/>
      <c r="M8" s="765"/>
      <c r="R8" s="458"/>
    </row>
    <row r="9" spans="3:18" ht="15.75" x14ac:dyDescent="0.25">
      <c r="C9" s="1" t="s">
        <v>1030</v>
      </c>
      <c r="K9" s="2"/>
      <c r="R9" s="458"/>
    </row>
    <row r="10" spans="3:18" ht="15.75" x14ac:dyDescent="0.25">
      <c r="C10" s="1519" t="s">
        <v>1031</v>
      </c>
      <c r="K10" s="2"/>
      <c r="R10" s="458"/>
    </row>
    <row r="11" spans="3:18" ht="15.75" x14ac:dyDescent="0.25">
      <c r="C11" s="1551" t="s">
        <v>1045</v>
      </c>
      <c r="K11" s="2"/>
      <c r="R11" s="458"/>
    </row>
    <row r="12" spans="3:18" x14ac:dyDescent="0.2">
      <c r="L12" s="329"/>
      <c r="R12" s="458"/>
    </row>
    <row r="13" spans="3:18" x14ac:dyDescent="0.2">
      <c r="C13" s="2" t="s">
        <v>177</v>
      </c>
    </row>
    <row r="14" spans="3:18" x14ac:dyDescent="0.2">
      <c r="C14" s="107" t="s">
        <v>302</v>
      </c>
      <c r="Q14" s="458"/>
    </row>
    <row r="15" spans="3:18" x14ac:dyDescent="0.2">
      <c r="C15" s="107" t="s">
        <v>76</v>
      </c>
      <c r="Q15" s="458"/>
    </row>
    <row r="16" spans="3:18" x14ac:dyDescent="0.2">
      <c r="Q16" s="458"/>
    </row>
    <row r="17" spans="3:17" x14ac:dyDescent="0.2">
      <c r="C17" s="107" t="s">
        <v>59</v>
      </c>
      <c r="Q17" s="458"/>
    </row>
    <row r="18" spans="3:17" x14ac:dyDescent="0.2">
      <c r="C18" s="107" t="s">
        <v>60</v>
      </c>
      <c r="Q18" s="458"/>
    </row>
    <row r="19" spans="3:17" x14ac:dyDescent="0.2">
      <c r="C19" s="107" t="s">
        <v>428</v>
      </c>
      <c r="Q19" s="458"/>
    </row>
    <row r="20" spans="3:17" x14ac:dyDescent="0.2">
      <c r="Q20" s="458"/>
    </row>
    <row r="21" spans="3:17" x14ac:dyDescent="0.2">
      <c r="C21" s="107" t="s">
        <v>187</v>
      </c>
      <c r="Q21" s="458"/>
    </row>
    <row r="22" spans="3:17" x14ac:dyDescent="0.2">
      <c r="C22" s="107" t="s">
        <v>415</v>
      </c>
      <c r="Q22" s="458"/>
    </row>
    <row r="23" spans="3:17" x14ac:dyDescent="0.2">
      <c r="C23" s="107" t="s">
        <v>979</v>
      </c>
      <c r="Q23" s="458"/>
    </row>
    <row r="24" spans="3:17" x14ac:dyDescent="0.2">
      <c r="C24" s="107" t="s">
        <v>980</v>
      </c>
      <c r="Q24" s="458"/>
    </row>
    <row r="25" spans="3:17" x14ac:dyDescent="0.2">
      <c r="C25" s="107" t="s">
        <v>416</v>
      </c>
      <c r="Q25" s="458"/>
    </row>
    <row r="26" spans="3:17" x14ac:dyDescent="0.2">
      <c r="C26" s="107" t="s">
        <v>238</v>
      </c>
    </row>
    <row r="27" spans="3:17" x14ac:dyDescent="0.2">
      <c r="C27" s="107" t="s">
        <v>665</v>
      </c>
    </row>
    <row r="28" spans="3:17" x14ac:dyDescent="0.2">
      <c r="C28" s="107" t="s">
        <v>111</v>
      </c>
    </row>
    <row r="29" spans="3:17" x14ac:dyDescent="0.2">
      <c r="I29" s="2"/>
    </row>
    <row r="30" spans="3:17" x14ac:dyDescent="0.2">
      <c r="C30" s="107" t="s">
        <v>181</v>
      </c>
    </row>
    <row r="31" spans="3:17" x14ac:dyDescent="0.2">
      <c r="C31" s="107" t="s">
        <v>182</v>
      </c>
    </row>
    <row r="33" spans="3:4" x14ac:dyDescent="0.2">
      <c r="C33" s="107" t="s">
        <v>1046</v>
      </c>
    </row>
    <row r="34" spans="3:4" x14ac:dyDescent="0.2">
      <c r="C34" s="107" t="s">
        <v>830</v>
      </c>
    </row>
    <row r="35" spans="3:4" x14ac:dyDescent="0.2">
      <c r="C35" s="107" t="s">
        <v>981</v>
      </c>
    </row>
    <row r="37" spans="3:4" x14ac:dyDescent="0.2">
      <c r="C37" s="2" t="s">
        <v>392</v>
      </c>
    </row>
    <row r="38" spans="3:4" x14ac:dyDescent="0.2">
      <c r="C38" s="107" t="s">
        <v>61</v>
      </c>
    </row>
    <row r="39" spans="3:4" x14ac:dyDescent="0.2">
      <c r="C39" s="107" t="s">
        <v>784</v>
      </c>
    </row>
    <row r="40" spans="3:4" x14ac:dyDescent="0.2">
      <c r="C40" s="107" t="s">
        <v>785</v>
      </c>
    </row>
    <row r="41" spans="3:4" x14ac:dyDescent="0.2">
      <c r="C41" s="107" t="s">
        <v>62</v>
      </c>
    </row>
    <row r="42" spans="3:4" x14ac:dyDescent="0.2">
      <c r="C42" s="107" t="s">
        <v>147</v>
      </c>
    </row>
    <row r="43" spans="3:4" x14ac:dyDescent="0.2">
      <c r="D43" s="107" t="s">
        <v>666</v>
      </c>
    </row>
    <row r="44" spans="3:4" x14ac:dyDescent="0.2">
      <c r="D44" s="107" t="s">
        <v>178</v>
      </c>
    </row>
    <row r="45" spans="3:4" x14ac:dyDescent="0.2">
      <c r="D45" s="107" t="s">
        <v>419</v>
      </c>
    </row>
    <row r="46" spans="3:4" x14ac:dyDescent="0.2">
      <c r="D46" s="107" t="s">
        <v>420</v>
      </c>
    </row>
    <row r="47" spans="3:4" x14ac:dyDescent="0.2">
      <c r="D47" s="107" t="s">
        <v>667</v>
      </c>
    </row>
    <row r="48" spans="3:4" hidden="1" x14ac:dyDescent="0.2">
      <c r="D48" s="107" t="s">
        <v>668</v>
      </c>
    </row>
    <row r="49" spans="3:4" x14ac:dyDescent="0.2">
      <c r="D49" s="107" t="s">
        <v>186</v>
      </c>
    </row>
    <row r="50" spans="3:4" x14ac:dyDescent="0.2">
      <c r="D50" s="107" t="s">
        <v>1018</v>
      </c>
    </row>
    <row r="51" spans="3:4" x14ac:dyDescent="0.2">
      <c r="D51" s="598" t="s">
        <v>982</v>
      </c>
    </row>
    <row r="52" spans="3:4" x14ac:dyDescent="0.2">
      <c r="D52" s="598" t="s">
        <v>1019</v>
      </c>
    </row>
    <row r="53" spans="3:4" x14ac:dyDescent="0.2">
      <c r="D53" s="107" t="s">
        <v>296</v>
      </c>
    </row>
    <row r="54" spans="3:4" x14ac:dyDescent="0.2">
      <c r="D54" s="107" t="s">
        <v>983</v>
      </c>
    </row>
    <row r="55" spans="3:4" x14ac:dyDescent="0.2">
      <c r="D55" s="107" t="s">
        <v>669</v>
      </c>
    </row>
    <row r="56" spans="3:4" x14ac:dyDescent="0.2">
      <c r="D56" s="107" t="s">
        <v>35</v>
      </c>
    </row>
    <row r="57" spans="3:4" x14ac:dyDescent="0.2">
      <c r="D57" s="107" t="s">
        <v>297</v>
      </c>
    </row>
    <row r="58" spans="3:4" x14ac:dyDescent="0.2">
      <c r="C58" s="107" t="s">
        <v>118</v>
      </c>
    </row>
    <row r="59" spans="3:4" x14ac:dyDescent="0.2">
      <c r="C59" s="107" t="s">
        <v>77</v>
      </c>
    </row>
    <row r="60" spans="3:4" x14ac:dyDescent="0.2">
      <c r="C60" s="107" t="s">
        <v>119</v>
      </c>
    </row>
    <row r="61" spans="3:4" x14ac:dyDescent="0.2">
      <c r="C61" s="107" t="s">
        <v>786</v>
      </c>
    </row>
    <row r="62" spans="3:4" x14ac:dyDescent="0.2">
      <c r="C62" s="107" t="s">
        <v>922</v>
      </c>
    </row>
    <row r="63" spans="3:4" x14ac:dyDescent="0.2">
      <c r="C63" s="107" t="s">
        <v>854</v>
      </c>
    </row>
    <row r="64" spans="3:4" x14ac:dyDescent="0.2">
      <c r="C64" s="107" t="s">
        <v>855</v>
      </c>
    </row>
    <row r="65" spans="3:10" x14ac:dyDescent="0.2">
      <c r="C65" s="107" t="s">
        <v>787</v>
      </c>
    </row>
    <row r="67" spans="3:10" x14ac:dyDescent="0.2">
      <c r="C67" s="107" t="s">
        <v>894</v>
      </c>
    </row>
    <row r="68" spans="3:10" x14ac:dyDescent="0.2">
      <c r="C68" s="107" t="s">
        <v>1032</v>
      </c>
      <c r="J68" s="649"/>
    </row>
    <row r="69" spans="3:10" x14ac:dyDescent="0.2">
      <c r="C69" s="107" t="s">
        <v>984</v>
      </c>
      <c r="J69" s="649"/>
    </row>
    <row r="70" spans="3:10" x14ac:dyDescent="0.2">
      <c r="C70" s="107" t="s">
        <v>990</v>
      </c>
      <c r="J70" s="649"/>
    </row>
    <row r="71" spans="3:10" x14ac:dyDescent="0.2">
      <c r="C71" s="107" t="s">
        <v>985</v>
      </c>
      <c r="J71" s="649"/>
    </row>
    <row r="72" spans="3:10" x14ac:dyDescent="0.2">
      <c r="C72" s="107" t="s">
        <v>788</v>
      </c>
    </row>
    <row r="73" spans="3:10" x14ac:dyDescent="0.2">
      <c r="C73" s="107" t="s">
        <v>63</v>
      </c>
    </row>
    <row r="75" spans="3:10" x14ac:dyDescent="0.2">
      <c r="C75" s="107" t="s">
        <v>64</v>
      </c>
    </row>
    <row r="76" spans="3:10" x14ac:dyDescent="0.2">
      <c r="C76" s="107" t="s">
        <v>67</v>
      </c>
    </row>
    <row r="78" spans="3:10" x14ac:dyDescent="0.2">
      <c r="C78" s="331" t="s">
        <v>25</v>
      </c>
    </row>
    <row r="79" spans="3:10" x14ac:dyDescent="0.2">
      <c r="C79" s="107" t="s">
        <v>923</v>
      </c>
    </row>
    <row r="80" spans="3:10" x14ac:dyDescent="0.2">
      <c r="C80" s="107" t="s">
        <v>396</v>
      </c>
    </row>
    <row r="81" spans="3:12" x14ac:dyDescent="0.2">
      <c r="C81" s="107" t="s">
        <v>789</v>
      </c>
    </row>
    <row r="83" spans="3:12" x14ac:dyDescent="0.2">
      <c r="C83" s="2" t="s">
        <v>397</v>
      </c>
    </row>
    <row r="84" spans="3:12" x14ac:dyDescent="0.2">
      <c r="C84" s="107" t="s">
        <v>998</v>
      </c>
      <c r="L84" s="4" t="s">
        <v>842</v>
      </c>
    </row>
    <row r="85" spans="3:12" x14ac:dyDescent="0.2">
      <c r="C85" s="107" t="s">
        <v>1033</v>
      </c>
      <c r="G85" s="4" t="s">
        <v>1034</v>
      </c>
      <c r="K85" s="4"/>
    </row>
    <row r="87" spans="3:12" x14ac:dyDescent="0.2">
      <c r="C87" s="2" t="s">
        <v>78</v>
      </c>
    </row>
    <row r="88" spans="3:12" x14ac:dyDescent="0.2">
      <c r="C88" s="107" t="s">
        <v>986</v>
      </c>
    </row>
    <row r="90" spans="3:12" x14ac:dyDescent="0.2">
      <c r="C90" s="2" t="s">
        <v>790</v>
      </c>
    </row>
    <row r="91" spans="3:12" s="110" customFormat="1" x14ac:dyDescent="0.2">
      <c r="C91" s="110" t="s">
        <v>987</v>
      </c>
    </row>
    <row r="92" spans="3:12" x14ac:dyDescent="0.2">
      <c r="C92" s="107" t="s">
        <v>895</v>
      </c>
    </row>
    <row r="93" spans="3:12" x14ac:dyDescent="0.2">
      <c r="C93" s="107" t="s">
        <v>439</v>
      </c>
    </row>
    <row r="94" spans="3:12" x14ac:dyDescent="0.2">
      <c r="C94" s="107" t="s">
        <v>179</v>
      </c>
    </row>
    <row r="96" spans="3:12" x14ac:dyDescent="0.2">
      <c r="C96" s="2" t="s">
        <v>1004</v>
      </c>
    </row>
    <row r="97" spans="3:3" x14ac:dyDescent="0.2">
      <c r="C97" s="107" t="s">
        <v>417</v>
      </c>
    </row>
    <row r="98" spans="3:3" x14ac:dyDescent="0.2">
      <c r="C98" s="107" t="s">
        <v>180</v>
      </c>
    </row>
    <row r="99" spans="3:3" x14ac:dyDescent="0.2">
      <c r="C99" s="107" t="s">
        <v>1005</v>
      </c>
    </row>
    <row r="101" spans="3:3" x14ac:dyDescent="0.2">
      <c r="C101" s="2" t="s">
        <v>791</v>
      </c>
    </row>
    <row r="102" spans="3:3" x14ac:dyDescent="0.2">
      <c r="C102" s="107" t="s">
        <v>792</v>
      </c>
    </row>
    <row r="103" spans="3:3" x14ac:dyDescent="0.2">
      <c r="C103" s="107" t="s">
        <v>793</v>
      </c>
    </row>
    <row r="104" spans="3:3" x14ac:dyDescent="0.2">
      <c r="C104" s="107" t="s">
        <v>829</v>
      </c>
    </row>
    <row r="105" spans="3:3" x14ac:dyDescent="0.2">
      <c r="C105" s="107" t="s">
        <v>40</v>
      </c>
    </row>
    <row r="106" spans="3:3" x14ac:dyDescent="0.2">
      <c r="C106" s="2" t="s">
        <v>418</v>
      </c>
    </row>
    <row r="107" spans="3:3" x14ac:dyDescent="0.2">
      <c r="C107" s="107" t="s">
        <v>674</v>
      </c>
    </row>
    <row r="108" spans="3:3" x14ac:dyDescent="0.2">
      <c r="C108" s="107" t="s">
        <v>672</v>
      </c>
    </row>
    <row r="109" spans="3:3" x14ac:dyDescent="0.2">
      <c r="C109" s="107" t="s">
        <v>398</v>
      </c>
    </row>
    <row r="111" spans="3:3" x14ac:dyDescent="0.2">
      <c r="C111" s="331" t="s">
        <v>27</v>
      </c>
    </row>
    <row r="112" spans="3:3" x14ac:dyDescent="0.2">
      <c r="C112" s="107" t="s">
        <v>843</v>
      </c>
    </row>
    <row r="114" spans="3:3" x14ac:dyDescent="0.2">
      <c r="C114" s="107" t="s">
        <v>1006</v>
      </c>
    </row>
    <row r="115" spans="3:3" x14ac:dyDescent="0.2">
      <c r="C115" s="107" t="s">
        <v>1035</v>
      </c>
    </row>
    <row r="116" spans="3:3" x14ac:dyDescent="0.2">
      <c r="C116" s="107" t="s">
        <v>1020</v>
      </c>
    </row>
    <row r="117" spans="3:3" x14ac:dyDescent="0.2">
      <c r="C117" s="107" t="s">
        <v>1036</v>
      </c>
    </row>
    <row r="118" spans="3:3" x14ac:dyDescent="0.2">
      <c r="C118" s="107" t="s">
        <v>845</v>
      </c>
    </row>
    <row r="120" spans="3:3" x14ac:dyDescent="0.2">
      <c r="C120" s="2" t="s">
        <v>28</v>
      </c>
    </row>
    <row r="121" spans="3:3" x14ac:dyDescent="0.2">
      <c r="C121" s="107" t="s">
        <v>29</v>
      </c>
    </row>
    <row r="123" spans="3:3" x14ac:dyDescent="0.2">
      <c r="C123" s="2" t="s">
        <v>120</v>
      </c>
    </row>
    <row r="124" spans="3:3" x14ac:dyDescent="0.2">
      <c r="C124" s="107" t="s">
        <v>844</v>
      </c>
    </row>
    <row r="126" spans="3:3" x14ac:dyDescent="0.2">
      <c r="C126" s="2" t="s">
        <v>146</v>
      </c>
    </row>
    <row r="128" spans="3:3" x14ac:dyDescent="0.2">
      <c r="C128" s="336" t="s">
        <v>1002</v>
      </c>
    </row>
    <row r="129" spans="3:3" x14ac:dyDescent="0.2">
      <c r="C129" s="107" t="s">
        <v>988</v>
      </c>
    </row>
    <row r="130" spans="3:3" x14ac:dyDescent="0.2">
      <c r="C130" s="107" t="s">
        <v>1037</v>
      </c>
    </row>
    <row r="131" spans="3:3" x14ac:dyDescent="0.2">
      <c r="C131" s="107" t="s">
        <v>930</v>
      </c>
    </row>
    <row r="132" spans="3:3" x14ac:dyDescent="0.2">
      <c r="C132" s="107" t="s">
        <v>931</v>
      </c>
    </row>
    <row r="133" spans="3:3" x14ac:dyDescent="0.2">
      <c r="C133" s="107" t="s">
        <v>1021</v>
      </c>
    </row>
    <row r="135" spans="3:3" x14ac:dyDescent="0.2">
      <c r="C135" s="107" t="s">
        <v>989</v>
      </c>
    </row>
    <row r="136" spans="3:3" x14ac:dyDescent="0.2">
      <c r="C136" s="107" t="s">
        <v>846</v>
      </c>
    </row>
    <row r="137" spans="3:3" x14ac:dyDescent="0.2">
      <c r="C137" s="107" t="s">
        <v>847</v>
      </c>
    </row>
    <row r="138" spans="3:3" x14ac:dyDescent="0.2">
      <c r="C138" s="107" t="s">
        <v>999</v>
      </c>
    </row>
    <row r="139" spans="3:3" x14ac:dyDescent="0.2">
      <c r="C139" s="107" t="s">
        <v>1000</v>
      </c>
    </row>
    <row r="140" spans="3:3" x14ac:dyDescent="0.2">
      <c r="C140" s="107" t="s">
        <v>932</v>
      </c>
    </row>
    <row r="141" spans="3:3" x14ac:dyDescent="0.2">
      <c r="C141" s="107" t="s">
        <v>1022</v>
      </c>
    </row>
    <row r="142" spans="3:3" x14ac:dyDescent="0.2">
      <c r="C142" s="107" t="s">
        <v>924</v>
      </c>
    </row>
    <row r="143" spans="3:3" x14ac:dyDescent="0.2">
      <c r="C143" s="107" t="s">
        <v>925</v>
      </c>
    </row>
    <row r="144" spans="3:3" x14ac:dyDescent="0.2">
      <c r="C144" s="107" t="s">
        <v>926</v>
      </c>
    </row>
    <row r="145" spans="3:3" x14ac:dyDescent="0.2">
      <c r="C145" s="107" t="s">
        <v>927</v>
      </c>
    </row>
    <row r="146" spans="3:3" x14ac:dyDescent="0.2">
      <c r="C146" s="107" t="s">
        <v>928</v>
      </c>
    </row>
    <row r="147" spans="3:3" x14ac:dyDescent="0.2">
      <c r="C147" s="107" t="s">
        <v>929</v>
      </c>
    </row>
    <row r="149" spans="3:3" x14ac:dyDescent="0.2">
      <c r="C149" s="336" t="s">
        <v>440</v>
      </c>
    </row>
    <row r="150" spans="3:3" x14ac:dyDescent="0.2">
      <c r="C150" s="107" t="s">
        <v>825</v>
      </c>
    </row>
    <row r="151" spans="3:3" x14ac:dyDescent="0.2">
      <c r="C151" s="107" t="s">
        <v>826</v>
      </c>
    </row>
    <row r="152" spans="3:3" x14ac:dyDescent="0.2">
      <c r="C152" s="107" t="s">
        <v>827</v>
      </c>
    </row>
    <row r="154" spans="3:3" x14ac:dyDescent="0.2">
      <c r="C154" s="107" t="s">
        <v>828</v>
      </c>
    </row>
    <row r="155" spans="3:3" x14ac:dyDescent="0.2">
      <c r="C155" s="107" t="s">
        <v>1007</v>
      </c>
    </row>
    <row r="156" spans="3:3" x14ac:dyDescent="0.2">
      <c r="C156" s="107" t="s">
        <v>991</v>
      </c>
    </row>
    <row r="158" spans="3:3" x14ac:dyDescent="0.2">
      <c r="C158" s="330" t="s">
        <v>794</v>
      </c>
    </row>
    <row r="159" spans="3:3" x14ac:dyDescent="0.2">
      <c r="C159" s="107" t="s">
        <v>795</v>
      </c>
    </row>
    <row r="160" spans="3:3" x14ac:dyDescent="0.2">
      <c r="C160" s="107" t="s">
        <v>796</v>
      </c>
    </row>
    <row r="162" spans="3:3" x14ac:dyDescent="0.2">
      <c r="C162" s="107" t="s">
        <v>166</v>
      </c>
    </row>
    <row r="163" spans="3:3" x14ac:dyDescent="0.2">
      <c r="C163" s="107" t="s">
        <v>167</v>
      </c>
    </row>
    <row r="165" spans="3:3" x14ac:dyDescent="0.2">
      <c r="C165" s="336" t="s">
        <v>848</v>
      </c>
    </row>
    <row r="166" spans="3:3" x14ac:dyDescent="0.2">
      <c r="C166" s="107" t="s">
        <v>441</v>
      </c>
    </row>
    <row r="167" spans="3:3" x14ac:dyDescent="0.2">
      <c r="C167" s="107" t="s">
        <v>121</v>
      </c>
    </row>
    <row r="168" spans="3:3" x14ac:dyDescent="0.2">
      <c r="C168" s="107" t="s">
        <v>430</v>
      </c>
    </row>
    <row r="169" spans="3:3" x14ac:dyDescent="0.2">
      <c r="C169" s="107" t="s">
        <v>431</v>
      </c>
    </row>
    <row r="171" spans="3:3" x14ac:dyDescent="0.2">
      <c r="C171" s="336" t="s">
        <v>849</v>
      </c>
    </row>
    <row r="172" spans="3:3" x14ac:dyDescent="0.2">
      <c r="C172" s="107" t="s">
        <v>839</v>
      </c>
    </row>
    <row r="173" spans="3:3" x14ac:dyDescent="0.2">
      <c r="C173" s="107" t="s">
        <v>1008</v>
      </c>
    </row>
    <row r="174" spans="3:3" x14ac:dyDescent="0.2">
      <c r="C174" s="107" t="s">
        <v>1023</v>
      </c>
    </row>
    <row r="175" spans="3:3" x14ac:dyDescent="0.2">
      <c r="C175" s="107" t="s">
        <v>1024</v>
      </c>
    </row>
    <row r="176" spans="3:3" x14ac:dyDescent="0.2">
      <c r="C176" s="107" t="s">
        <v>1009</v>
      </c>
    </row>
    <row r="177" spans="3:3" x14ac:dyDescent="0.2">
      <c r="C177" s="107" t="s">
        <v>992</v>
      </c>
    </row>
    <row r="178" spans="3:3" x14ac:dyDescent="0.2">
      <c r="C178" s="107" t="s">
        <v>941</v>
      </c>
    </row>
    <row r="179" spans="3:3" x14ac:dyDescent="0.2">
      <c r="C179" s="107" t="s">
        <v>1011</v>
      </c>
    </row>
    <row r="180" spans="3:3" x14ac:dyDescent="0.2">
      <c r="C180" s="107" t="s">
        <v>1010</v>
      </c>
    </row>
    <row r="181" spans="3:3" x14ac:dyDescent="0.2">
      <c r="C181" s="107" t="s">
        <v>840</v>
      </c>
    </row>
    <row r="182" spans="3:3" x14ac:dyDescent="0.2">
      <c r="C182" s="107" t="s">
        <v>841</v>
      </c>
    </row>
    <row r="184" spans="3:3" x14ac:dyDescent="0.2">
      <c r="C184" s="107" t="s">
        <v>859</v>
      </c>
    </row>
    <row r="185" spans="3:3" x14ac:dyDescent="0.2">
      <c r="C185" s="107" t="s">
        <v>858</v>
      </c>
    </row>
    <row r="186" spans="3:3" x14ac:dyDescent="0.2">
      <c r="C186" s="107" t="s">
        <v>860</v>
      </c>
    </row>
    <row r="187" spans="3:3" x14ac:dyDescent="0.2">
      <c r="C187" s="107" t="s">
        <v>861</v>
      </c>
    </row>
    <row r="189" spans="3:3" x14ac:dyDescent="0.2">
      <c r="C189" s="331" t="s">
        <v>68</v>
      </c>
    </row>
    <row r="190" spans="3:3" x14ac:dyDescent="0.2">
      <c r="C190" s="107" t="s">
        <v>434</v>
      </c>
    </row>
    <row r="191" spans="3:3" x14ac:dyDescent="0.2">
      <c r="C191" s="107" t="s">
        <v>863</v>
      </c>
    </row>
    <row r="192" spans="3:3" x14ac:dyDescent="0.2">
      <c r="C192" s="107" t="s">
        <v>864</v>
      </c>
    </row>
    <row r="193" spans="3:17" x14ac:dyDescent="0.2">
      <c r="C193" s="107" t="s">
        <v>245</v>
      </c>
    </row>
    <row r="194" spans="3:17" x14ac:dyDescent="0.2">
      <c r="C194" s="107" t="s">
        <v>933</v>
      </c>
    </row>
    <row r="196" spans="3:17" x14ac:dyDescent="0.2">
      <c r="C196" s="336" t="s">
        <v>896</v>
      </c>
    </row>
    <row r="197" spans="3:17" x14ac:dyDescent="0.2">
      <c r="C197" s="107" t="s">
        <v>897</v>
      </c>
    </row>
    <row r="198" spans="3:17" x14ac:dyDescent="0.2">
      <c r="C198" s="107" t="s">
        <v>898</v>
      </c>
      <c r="Q198" s="3"/>
    </row>
    <row r="199" spans="3:17" s="3" customFormat="1" x14ac:dyDescent="0.2">
      <c r="C199" s="107" t="s">
        <v>298</v>
      </c>
      <c r="Q199" s="107"/>
    </row>
    <row r="200" spans="3:17" x14ac:dyDescent="0.2">
      <c r="C200" s="5" t="s">
        <v>899</v>
      </c>
    </row>
    <row r="201" spans="3:17" x14ac:dyDescent="0.2">
      <c r="C201" s="107" t="s">
        <v>900</v>
      </c>
    </row>
    <row r="202" spans="3:17" x14ac:dyDescent="0.2">
      <c r="C202" s="107" t="s">
        <v>535</v>
      </c>
    </row>
    <row r="203" spans="3:17" x14ac:dyDescent="0.2">
      <c r="C203" s="107" t="s">
        <v>421</v>
      </c>
    </row>
    <row r="204" spans="3:17" x14ac:dyDescent="0.2">
      <c r="C204" s="107" t="s">
        <v>934</v>
      </c>
    </row>
    <row r="205" spans="3:17" x14ac:dyDescent="0.2">
      <c r="C205" s="107" t="s">
        <v>935</v>
      </c>
    </row>
    <row r="207" spans="3:17" x14ac:dyDescent="0.2">
      <c r="C207" s="331" t="s">
        <v>69</v>
      </c>
    </row>
    <row r="208" spans="3:17" x14ac:dyDescent="0.2">
      <c r="C208" s="107" t="s">
        <v>70</v>
      </c>
    </row>
    <row r="209" spans="3:3" x14ac:dyDescent="0.2">
      <c r="C209" s="107" t="s">
        <v>245</v>
      </c>
    </row>
    <row r="210" spans="3:3" x14ac:dyDescent="0.2">
      <c r="C210" s="107" t="s">
        <v>936</v>
      </c>
    </row>
    <row r="212" spans="3:3" x14ac:dyDescent="0.2">
      <c r="C212" s="107" t="s">
        <v>395</v>
      </c>
    </row>
    <row r="214" spans="3:3" x14ac:dyDescent="0.2">
      <c r="C214" s="336" t="s">
        <v>676</v>
      </c>
    </row>
    <row r="215" spans="3:3" x14ac:dyDescent="0.2">
      <c r="C215" s="107" t="s">
        <v>767</v>
      </c>
    </row>
    <row r="216" spans="3:3" x14ac:dyDescent="0.2">
      <c r="C216" s="107" t="s">
        <v>677</v>
      </c>
    </row>
    <row r="217" spans="3:3" x14ac:dyDescent="0.2">
      <c r="C217" s="107" t="s">
        <v>901</v>
      </c>
    </row>
    <row r="219" spans="3:3" x14ac:dyDescent="0.2">
      <c r="C219" s="331" t="s">
        <v>71</v>
      </c>
    </row>
    <row r="220" spans="3:3" x14ac:dyDescent="0.2">
      <c r="C220" s="107" t="s">
        <v>422</v>
      </c>
    </row>
    <row r="221" spans="3:3" x14ac:dyDescent="0.2">
      <c r="C221" s="107" t="s">
        <v>90</v>
      </c>
    </row>
    <row r="222" spans="3:3" x14ac:dyDescent="0.2">
      <c r="C222" s="107" t="s">
        <v>81</v>
      </c>
    </row>
    <row r="223" spans="3:3" x14ac:dyDescent="0.2">
      <c r="C223" s="107" t="s">
        <v>164</v>
      </c>
    </row>
    <row r="224" spans="3:3" x14ac:dyDescent="0.2">
      <c r="C224" s="107" t="s">
        <v>993</v>
      </c>
    </row>
    <row r="226" spans="3:3" x14ac:dyDescent="0.2">
      <c r="C226" s="331" t="s">
        <v>72</v>
      </c>
    </row>
    <row r="227" spans="3:3" x14ac:dyDescent="0.2">
      <c r="C227" s="107" t="s">
        <v>315</v>
      </c>
    </row>
    <row r="228" spans="3:3" x14ac:dyDescent="0.2">
      <c r="C228" s="107" t="s">
        <v>73</v>
      </c>
    </row>
    <row r="230" spans="3:3" x14ac:dyDescent="0.2">
      <c r="C230" s="331" t="s">
        <v>74</v>
      </c>
    </row>
    <row r="231" spans="3:3" x14ac:dyDescent="0.2">
      <c r="C231" s="107" t="s">
        <v>75</v>
      </c>
    </row>
    <row r="232" spans="3:3" x14ac:dyDescent="0.2">
      <c r="C232" s="107" t="s">
        <v>86</v>
      </c>
    </row>
    <row r="233" spans="3:3" x14ac:dyDescent="0.2">
      <c r="C233" s="107" t="s">
        <v>1038</v>
      </c>
    </row>
    <row r="234" spans="3:3" x14ac:dyDescent="0.2">
      <c r="C234" s="107" t="s">
        <v>1039</v>
      </c>
    </row>
    <row r="236" spans="3:3" x14ac:dyDescent="0.2">
      <c r="C236" s="331" t="s">
        <v>87</v>
      </c>
    </row>
    <row r="237" spans="3:3" x14ac:dyDescent="0.2">
      <c r="C237" s="107" t="s">
        <v>1040</v>
      </c>
    </row>
    <row r="238" spans="3:3" x14ac:dyDescent="0.2">
      <c r="C238" s="107" t="s">
        <v>168</v>
      </c>
    </row>
    <row r="239" spans="3:3" x14ac:dyDescent="0.2">
      <c r="C239" s="107" t="s">
        <v>442</v>
      </c>
    </row>
    <row r="241" spans="3:3" x14ac:dyDescent="0.2">
      <c r="C241" s="331" t="s">
        <v>88</v>
      </c>
    </row>
    <row r="242" spans="3:3" x14ac:dyDescent="0.2">
      <c r="C242" s="107" t="s">
        <v>423</v>
      </c>
    </row>
    <row r="243" spans="3:3" x14ac:dyDescent="0.2">
      <c r="C243" s="107" t="s">
        <v>89</v>
      </c>
    </row>
    <row r="245" spans="3:3" x14ac:dyDescent="0.2">
      <c r="C245" s="336" t="s">
        <v>762</v>
      </c>
    </row>
    <row r="246" spans="3:3" x14ac:dyDescent="0.2">
      <c r="C246" s="107" t="s">
        <v>763</v>
      </c>
    </row>
    <row r="247" spans="3:3" x14ac:dyDescent="0.2">
      <c r="C247" s="516" t="s">
        <v>764</v>
      </c>
    </row>
    <row r="249" spans="3:3" x14ac:dyDescent="0.2">
      <c r="C249" s="336" t="s">
        <v>765</v>
      </c>
    </row>
    <row r="250" spans="3:3" x14ac:dyDescent="0.2">
      <c r="C250" s="107" t="s">
        <v>766</v>
      </c>
    </row>
    <row r="251" spans="3:3" x14ac:dyDescent="0.2">
      <c r="C251" s="107" t="s">
        <v>768</v>
      </c>
    </row>
    <row r="253" spans="3:3" x14ac:dyDescent="0.2">
      <c r="C253" s="331" t="s">
        <v>300</v>
      </c>
    </row>
    <row r="254" spans="3:3" x14ac:dyDescent="0.2">
      <c r="C254" s="109" t="s">
        <v>483</v>
      </c>
    </row>
    <row r="255" spans="3:3" x14ac:dyDescent="0.2">
      <c r="C255" s="5" t="s">
        <v>1027</v>
      </c>
    </row>
    <row r="256" spans="3:3" x14ac:dyDescent="0.2">
      <c r="C256" s="5" t="s">
        <v>1001</v>
      </c>
    </row>
    <row r="257" spans="3:3" x14ac:dyDescent="0.2">
      <c r="C257" s="5" t="s">
        <v>1041</v>
      </c>
    </row>
    <row r="258" spans="3:3" x14ac:dyDescent="0.2">
      <c r="C258" s="5" t="s">
        <v>1025</v>
      </c>
    </row>
    <row r="259" spans="3:3" x14ac:dyDescent="0.2">
      <c r="C259" s="5" t="s">
        <v>862</v>
      </c>
    </row>
    <row r="260" spans="3:3" x14ac:dyDescent="0.2">
      <c r="C260" s="5" t="s">
        <v>912</v>
      </c>
    </row>
    <row r="262" spans="3:3" x14ac:dyDescent="0.2">
      <c r="C262" s="331" t="s">
        <v>30</v>
      </c>
    </row>
    <row r="263" spans="3:3" x14ac:dyDescent="0.2">
      <c r="C263" s="107" t="s">
        <v>183</v>
      </c>
    </row>
    <row r="264" spans="3:3" x14ac:dyDescent="0.2">
      <c r="C264" s="107" t="s">
        <v>33</v>
      </c>
    </row>
    <row r="265" spans="3:3" x14ac:dyDescent="0.2">
      <c r="C265" s="107" t="s">
        <v>31</v>
      </c>
    </row>
    <row r="266" spans="3:3" x14ac:dyDescent="0.2">
      <c r="C266" s="107" t="s">
        <v>184</v>
      </c>
    </row>
    <row r="267" spans="3:3" x14ac:dyDescent="0.2">
      <c r="C267" s="107" t="s">
        <v>163</v>
      </c>
    </row>
    <row r="269" spans="3:3" x14ac:dyDescent="0.2">
      <c r="C269" s="331" t="s">
        <v>32</v>
      </c>
    </row>
    <row r="270" spans="3:3" x14ac:dyDescent="0.2">
      <c r="C270" s="107" t="s">
        <v>46</v>
      </c>
    </row>
    <row r="271" spans="3:3" x14ac:dyDescent="0.2">
      <c r="C271" s="107" t="s">
        <v>34</v>
      </c>
    </row>
    <row r="272" spans="3:3" x14ac:dyDescent="0.2">
      <c r="C272" s="107" t="s">
        <v>31</v>
      </c>
    </row>
    <row r="273" spans="3:3" x14ac:dyDescent="0.2">
      <c r="C273" s="107" t="s">
        <v>91</v>
      </c>
    </row>
    <row r="274" spans="3:3" x14ac:dyDescent="0.2">
      <c r="C274" s="107" t="s">
        <v>109</v>
      </c>
    </row>
    <row r="275" spans="3:3" x14ac:dyDescent="0.2">
      <c r="C275" s="107" t="s">
        <v>1042</v>
      </c>
    </row>
    <row r="277" spans="3:3" x14ac:dyDescent="0.2">
      <c r="C277" s="331" t="s">
        <v>82</v>
      </c>
    </row>
    <row r="278" spans="3:3" x14ac:dyDescent="0.2">
      <c r="C278" s="107" t="s">
        <v>902</v>
      </c>
    </row>
    <row r="279" spans="3:3" x14ac:dyDescent="0.2">
      <c r="C279" s="107" t="s">
        <v>26</v>
      </c>
    </row>
    <row r="280" spans="3:3" x14ac:dyDescent="0.2">
      <c r="C280" s="107" t="s">
        <v>110</v>
      </c>
    </row>
    <row r="281" spans="3:3" x14ac:dyDescent="0.2">
      <c r="C281" s="107" t="s">
        <v>159</v>
      </c>
    </row>
    <row r="282" spans="3:3" x14ac:dyDescent="0.2">
      <c r="C282" s="107" t="s">
        <v>239</v>
      </c>
    </row>
    <row r="283" spans="3:3" x14ac:dyDescent="0.2">
      <c r="C283" s="107" t="s">
        <v>160</v>
      </c>
    </row>
    <row r="284" spans="3:3" x14ac:dyDescent="0.2">
      <c r="C284" s="107" t="s">
        <v>240</v>
      </c>
    </row>
    <row r="285" spans="3:3" x14ac:dyDescent="0.2">
      <c r="C285" s="107" t="s">
        <v>241</v>
      </c>
    </row>
    <row r="286" spans="3:3" x14ac:dyDescent="0.2">
      <c r="C286" s="107" t="s">
        <v>299</v>
      </c>
    </row>
    <row r="288" spans="3:3" x14ac:dyDescent="0.2">
      <c r="C288" s="107" t="s">
        <v>242</v>
      </c>
    </row>
    <row r="289" spans="3:3" x14ac:dyDescent="0.2">
      <c r="C289" s="107" t="s">
        <v>797</v>
      </c>
    </row>
    <row r="290" spans="3:3" x14ac:dyDescent="0.2">
      <c r="C290" s="2" t="s">
        <v>84</v>
      </c>
    </row>
    <row r="291" spans="3:3" x14ac:dyDescent="0.2">
      <c r="C291" s="335" t="s">
        <v>83</v>
      </c>
    </row>
    <row r="293" spans="3:3" x14ac:dyDescent="0.2">
      <c r="C293" s="107" t="s">
        <v>244</v>
      </c>
    </row>
    <row r="294" spans="3:3" x14ac:dyDescent="0.2">
      <c r="C294" s="107" t="s">
        <v>243</v>
      </c>
    </row>
    <row r="295" spans="3:3" x14ac:dyDescent="0.2">
      <c r="C295" s="107" t="s">
        <v>161</v>
      </c>
    </row>
    <row r="296" spans="3:3" x14ac:dyDescent="0.2">
      <c r="C296" s="107" t="s">
        <v>162</v>
      </c>
    </row>
    <row r="298" spans="3:3" x14ac:dyDescent="0.2">
      <c r="C298" s="336" t="s">
        <v>798</v>
      </c>
    </row>
    <row r="299" spans="3:3" x14ac:dyDescent="0.2">
      <c r="C299" s="107" t="s">
        <v>799</v>
      </c>
    </row>
    <row r="300" spans="3:3" x14ac:dyDescent="0.2">
      <c r="C300" s="107" t="s">
        <v>800</v>
      </c>
    </row>
    <row r="301" spans="3:3" x14ac:dyDescent="0.2">
      <c r="C301" s="107" t="s">
        <v>801</v>
      </c>
    </row>
    <row r="302" spans="3:3" x14ac:dyDescent="0.2">
      <c r="C302" s="107" t="s">
        <v>802</v>
      </c>
    </row>
    <row r="303" spans="3:3" hidden="1" x14ac:dyDescent="0.2"/>
    <row r="304" spans="3:3" hidden="1" x14ac:dyDescent="0.2">
      <c r="C304" s="336" t="s">
        <v>803</v>
      </c>
    </row>
    <row r="305" spans="3:8" hidden="1" x14ac:dyDescent="0.2">
      <c r="C305" s="107" t="s">
        <v>804</v>
      </c>
    </row>
    <row r="306" spans="3:8" hidden="1" x14ac:dyDescent="0.2">
      <c r="C306" s="107" t="s">
        <v>805</v>
      </c>
    </row>
    <row r="307" spans="3:8" hidden="1" x14ac:dyDescent="0.2">
      <c r="C307" s="107" t="s">
        <v>806</v>
      </c>
    </row>
    <row r="308" spans="3:8" hidden="1" x14ac:dyDescent="0.2">
      <c r="C308" s="107" t="s">
        <v>807</v>
      </c>
    </row>
    <row r="309" spans="3:8" hidden="1" x14ac:dyDescent="0.2"/>
    <row r="310" spans="3:8" hidden="1" x14ac:dyDescent="0.2"/>
    <row r="311" spans="3:8" hidden="1" x14ac:dyDescent="0.2"/>
    <row r="312" spans="3:8" hidden="1" x14ac:dyDescent="0.2"/>
    <row r="314" spans="3:8" x14ac:dyDescent="0.2">
      <c r="C314" s="331" t="s">
        <v>165</v>
      </c>
    </row>
    <row r="315" spans="3:8" x14ac:dyDescent="0.2">
      <c r="C315" s="107" t="s">
        <v>185</v>
      </c>
    </row>
    <row r="317" spans="3:8" x14ac:dyDescent="0.2">
      <c r="C317" s="331" t="s">
        <v>246</v>
      </c>
    </row>
    <row r="318" spans="3:8" x14ac:dyDescent="0.2">
      <c r="C318" s="107" t="s">
        <v>247</v>
      </c>
    </row>
    <row r="319" spans="3:8" x14ac:dyDescent="0.2">
      <c r="C319" s="107" t="s">
        <v>248</v>
      </c>
    </row>
    <row r="320" spans="3:8" x14ac:dyDescent="0.2">
      <c r="C320" s="107" t="s">
        <v>536</v>
      </c>
      <c r="H320" s="4" t="s">
        <v>537</v>
      </c>
    </row>
    <row r="321" spans="3:8" x14ac:dyDescent="0.2">
      <c r="C321" s="107" t="s">
        <v>462</v>
      </c>
      <c r="H321" s="4" t="s">
        <v>463</v>
      </c>
    </row>
    <row r="369" ht="11.25" customHeight="1" x14ac:dyDescent="0.2"/>
  </sheetData>
  <phoneticPr fontId="0" type="noConversion"/>
  <hyperlinks>
    <hyperlink ref="H321" r:id="rId1"/>
    <hyperlink ref="H320" r:id="rId2"/>
    <hyperlink ref="L84" r:id="rId3"/>
    <hyperlink ref="G85" r:id="rId4"/>
  </hyperlinks>
  <pageMargins left="0.75" right="0.75" top="1" bottom="1" header="0.5" footer="0.5"/>
  <pageSetup paperSize="9" scale="62" orientation="portrait" r:id="rId5"/>
  <headerFooter alignWithMargins="0">
    <oddHeader>&amp;L&amp;"Arial,Vet"&amp;9&amp;F&amp;R&amp;"Arial,Vet"&amp;9&amp;A</oddHeader>
    <oddFooter>&amp;L&amp;"Arial,Vet"&amp;9keizer / goedhart&amp;C&amp;"Arial,Vet"&amp;9pagina &amp;P&amp;R&amp;"Arial,Vet"&amp;9&amp;D</oddFooter>
  </headerFooter>
  <rowBreaks count="3" manualBreakCount="3">
    <brk id="89" min="1" max="14" man="1"/>
    <brk id="170" min="1" max="14" man="1"/>
    <brk id="252" min="1" max="14"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260"/>
  <sheetViews>
    <sheetView showGridLines="0" zoomScale="85" zoomScaleNormal="85" zoomScaleSheetLayoutView="85" workbookViewId="0">
      <pane ySplit="9" topLeftCell="A127" activePane="bottomLeft" state="frozen"/>
      <selection activeCell="D8" sqref="D8"/>
      <selection pane="bottomLeft" activeCell="K147" sqref="K147"/>
    </sheetView>
  </sheetViews>
  <sheetFormatPr defaultColWidth="9.140625" defaultRowHeight="13.15" customHeight="1" x14ac:dyDescent="0.2"/>
  <cols>
    <col min="1" max="1" width="3.7109375" style="601" customWidth="1"/>
    <col min="2" max="3" width="2.7109375" style="214" customWidth="1"/>
    <col min="4" max="4" width="45.7109375" style="214" customWidth="1"/>
    <col min="5" max="5" width="0.85546875" style="214" customWidth="1"/>
    <col min="6" max="6" width="8.7109375" style="217" customWidth="1"/>
    <col min="7" max="7" width="2.7109375" style="214" customWidth="1"/>
    <col min="8" max="8" width="12.85546875" style="214" hidden="1" customWidth="1"/>
    <col min="9" max="15" width="12.85546875" style="217" customWidth="1"/>
    <col min="16" max="17" width="2.7109375" style="214" customWidth="1"/>
    <col min="18" max="48" width="9.140625" style="601"/>
    <col min="49" max="16384" width="9.140625" style="214"/>
  </cols>
  <sheetData>
    <row r="1" spans="1:48" s="601" customFormat="1" ht="13.15" customHeight="1" x14ac:dyDescent="0.2">
      <c r="F1" s="665"/>
      <c r="I1" s="665"/>
      <c r="J1" s="665"/>
      <c r="K1" s="665"/>
      <c r="L1" s="665"/>
      <c r="M1" s="665"/>
      <c r="N1" s="665"/>
      <c r="O1" s="665"/>
    </row>
    <row r="2" spans="1:48" ht="13.15" customHeight="1" x14ac:dyDescent="0.2">
      <c r="B2" s="82"/>
      <c r="C2" s="83"/>
      <c r="D2" s="83"/>
      <c r="E2" s="83"/>
      <c r="F2" s="84"/>
      <c r="G2" s="83"/>
      <c r="H2" s="83"/>
      <c r="I2" s="84"/>
      <c r="J2" s="84"/>
      <c r="K2" s="84"/>
      <c r="L2" s="84"/>
      <c r="M2" s="84"/>
      <c r="N2" s="460"/>
      <c r="O2" s="460"/>
      <c r="P2" s="83"/>
      <c r="Q2" s="85"/>
      <c r="R2" s="666"/>
    </row>
    <row r="3" spans="1:48" ht="13.15" customHeight="1" x14ac:dyDescent="0.2">
      <c r="B3" s="86"/>
      <c r="C3" s="87"/>
      <c r="D3" s="67"/>
      <c r="E3" s="87"/>
      <c r="F3" s="80"/>
      <c r="G3" s="87"/>
      <c r="H3" s="87"/>
      <c r="I3" s="80"/>
      <c r="J3" s="80"/>
      <c r="K3" s="80"/>
      <c r="L3" s="80"/>
      <c r="M3" s="80"/>
      <c r="N3" s="80"/>
      <c r="O3" s="80"/>
      <c r="P3" s="87"/>
      <c r="Q3" s="88"/>
    </row>
    <row r="4" spans="1:48" s="198" customFormat="1" ht="18" customHeight="1" x14ac:dyDescent="0.3">
      <c r="A4" s="655"/>
      <c r="B4" s="203"/>
      <c r="C4" s="204" t="s">
        <v>113</v>
      </c>
      <c r="D4" s="204"/>
      <c r="E4" s="204"/>
      <c r="F4" s="205"/>
      <c r="G4" s="204"/>
      <c r="H4" s="204"/>
      <c r="I4" s="205"/>
      <c r="J4" s="205"/>
      <c r="K4" s="205"/>
      <c r="L4" s="205"/>
      <c r="M4" s="205"/>
      <c r="N4" s="205"/>
      <c r="O4" s="205"/>
      <c r="P4" s="204"/>
      <c r="Q4" s="206"/>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row>
    <row r="5" spans="1:48" s="743" customFormat="1" ht="16.899999999999999" customHeight="1" x14ac:dyDescent="0.25">
      <c r="A5" s="761"/>
      <c r="B5" s="258"/>
      <c r="C5" s="741" t="str">
        <f>'geg LO'!G8</f>
        <v>SWV PO Passend Onderwijs</v>
      </c>
      <c r="D5" s="111"/>
      <c r="E5" s="259"/>
      <c r="F5" s="742"/>
      <c r="G5" s="259"/>
      <c r="H5" s="259"/>
      <c r="I5" s="742"/>
      <c r="J5" s="742"/>
      <c r="K5" s="742"/>
      <c r="L5" s="742"/>
      <c r="M5" s="742"/>
      <c r="N5" s="742"/>
      <c r="O5" s="742"/>
      <c r="P5" s="259"/>
      <c r="Q5" s="269"/>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row>
    <row r="6" spans="1:48" ht="13.15" customHeight="1" x14ac:dyDescent="0.2">
      <c r="B6" s="86"/>
      <c r="C6" s="87"/>
      <c r="D6" s="67"/>
      <c r="E6" s="87"/>
      <c r="F6" s="80"/>
      <c r="G6" s="87"/>
      <c r="H6" s="87"/>
      <c r="I6" s="80"/>
      <c r="J6" s="80"/>
      <c r="K6" s="80"/>
      <c r="L6" s="80"/>
      <c r="M6" s="80"/>
      <c r="N6" s="80"/>
      <c r="O6" s="80"/>
      <c r="P6" s="87"/>
      <c r="Q6" s="88"/>
    </row>
    <row r="7" spans="1:48" ht="13.15" customHeight="1" x14ac:dyDescent="0.2">
      <c r="B7" s="86"/>
      <c r="C7" s="87"/>
      <c r="D7" s="67"/>
      <c r="E7" s="87"/>
      <c r="F7" s="702"/>
      <c r="G7" s="659"/>
      <c r="H7" s="806" t="s">
        <v>232</v>
      </c>
      <c r="I7" s="702"/>
      <c r="J7" s="913"/>
      <c r="K7" s="702"/>
      <c r="L7" s="702"/>
      <c r="M7" s="702"/>
      <c r="N7" s="702"/>
      <c r="O7" s="702"/>
      <c r="P7" s="87"/>
      <c r="Q7" s="88"/>
    </row>
    <row r="8" spans="1:48" s="225" customFormat="1" ht="13.15" customHeight="1" x14ac:dyDescent="0.2">
      <c r="A8" s="607"/>
      <c r="B8" s="226"/>
      <c r="C8" s="227"/>
      <c r="D8" s="227"/>
      <c r="E8" s="227"/>
      <c r="F8" s="658" t="s">
        <v>273</v>
      </c>
      <c r="G8" s="659"/>
      <c r="H8" s="806" t="e">
        <f>tab!#REF!</f>
        <v>#REF!</v>
      </c>
      <c r="I8" s="806">
        <f>tab!C4</f>
        <v>2015</v>
      </c>
      <c r="J8" s="806">
        <f>tab!D4</f>
        <v>2016</v>
      </c>
      <c r="K8" s="806">
        <f>tab!E4</f>
        <v>2017</v>
      </c>
      <c r="L8" s="806">
        <f>tab!F4</f>
        <v>2018</v>
      </c>
      <c r="M8" s="806">
        <f>tab!G4</f>
        <v>2019</v>
      </c>
      <c r="N8" s="806">
        <f>tab!H4</f>
        <v>2020</v>
      </c>
      <c r="O8" s="806">
        <f>tab!I4</f>
        <v>2021</v>
      </c>
      <c r="P8" s="227"/>
      <c r="Q8" s="228"/>
      <c r="R8" s="703"/>
      <c r="S8" s="703"/>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row>
    <row r="9" spans="1:48" ht="13.15" customHeight="1" x14ac:dyDescent="0.2">
      <c r="B9" s="86"/>
      <c r="C9" s="87"/>
      <c r="D9" s="87"/>
      <c r="E9" s="87"/>
      <c r="F9" s="394"/>
      <c r="G9" s="341"/>
      <c r="H9" s="341"/>
      <c r="I9" s="394"/>
      <c r="J9" s="394"/>
      <c r="K9" s="394"/>
      <c r="L9" s="394"/>
      <c r="M9" s="394"/>
      <c r="N9" s="394"/>
      <c r="O9" s="394"/>
      <c r="P9" s="87"/>
      <c r="Q9" s="88"/>
      <c r="R9" s="476"/>
      <c r="S9" s="476"/>
    </row>
    <row r="10" spans="1:48" ht="13.15" customHeight="1" x14ac:dyDescent="0.2">
      <c r="B10" s="86"/>
      <c r="C10" s="1037"/>
      <c r="D10" s="1038"/>
      <c r="E10" s="1037"/>
      <c r="F10" s="1039"/>
      <c r="G10" s="1037"/>
      <c r="H10" s="1037"/>
      <c r="I10" s="1039"/>
      <c r="J10" s="1039"/>
      <c r="K10" s="1039"/>
      <c r="L10" s="1039"/>
      <c r="M10" s="1039"/>
      <c r="N10" s="1039"/>
      <c r="O10" s="1039"/>
      <c r="P10" s="1037"/>
      <c r="Q10" s="517"/>
      <c r="R10" s="476"/>
      <c r="S10" s="476"/>
    </row>
    <row r="11" spans="1:48" ht="13.15" customHeight="1" x14ac:dyDescent="0.2">
      <c r="B11" s="86"/>
      <c r="C11" s="1037"/>
      <c r="D11" s="1049" t="s">
        <v>52</v>
      </c>
      <c r="E11" s="1037"/>
      <c r="F11" s="1039"/>
      <c r="G11" s="1037"/>
      <c r="H11" s="1037"/>
      <c r="I11" s="1039"/>
      <c r="J11" s="1039"/>
      <c r="K11" s="1039"/>
      <c r="L11" s="1039"/>
      <c r="M11" s="1039"/>
      <c r="N11" s="1039"/>
      <c r="O11" s="1039"/>
      <c r="P11" s="1037"/>
      <c r="Q11" s="517"/>
      <c r="R11" s="476"/>
      <c r="S11" s="476"/>
    </row>
    <row r="12" spans="1:48" ht="13.15" customHeight="1" x14ac:dyDescent="0.2">
      <c r="B12" s="86"/>
      <c r="C12" s="1037"/>
      <c r="D12" s="1038"/>
      <c r="E12" s="1037"/>
      <c r="F12" s="1039"/>
      <c r="G12" s="1037"/>
      <c r="H12" s="1037"/>
      <c r="I12" s="1039"/>
      <c r="J12" s="1039"/>
      <c r="K12" s="1039"/>
      <c r="L12" s="1039"/>
      <c r="M12" s="1039"/>
      <c r="N12" s="1039"/>
      <c r="O12" s="1039"/>
      <c r="P12" s="1037"/>
      <c r="Q12" s="517"/>
      <c r="R12" s="476"/>
      <c r="S12" s="476"/>
    </row>
    <row r="13" spans="1:48" ht="13.15" customHeight="1" x14ac:dyDescent="0.2">
      <c r="B13" s="86"/>
      <c r="C13" s="1037"/>
      <c r="D13" s="1075" t="s">
        <v>106</v>
      </c>
      <c r="E13" s="1037"/>
      <c r="F13" s="1039"/>
      <c r="G13" s="1037"/>
      <c r="H13" s="1037"/>
      <c r="I13" s="1039"/>
      <c r="J13" s="1039"/>
      <c r="K13" s="1039"/>
      <c r="L13" s="1039"/>
      <c r="M13" s="1039"/>
      <c r="N13" s="1039"/>
      <c r="O13" s="1039"/>
      <c r="P13" s="1037"/>
      <c r="Q13" s="517"/>
      <c r="R13" s="476"/>
      <c r="S13" s="476"/>
    </row>
    <row r="14" spans="1:48" ht="13.15" customHeight="1" x14ac:dyDescent="0.2">
      <c r="B14" s="86"/>
      <c r="C14" s="1037"/>
      <c r="D14" s="1037" t="s">
        <v>37</v>
      </c>
      <c r="E14" s="1037"/>
      <c r="F14" s="1039"/>
      <c r="G14" s="1037"/>
      <c r="H14" s="1249" t="e">
        <f>ROUND('geg LO'!F17*tab!#REF!,0)*5/12</f>
        <v>#REF!</v>
      </c>
      <c r="I14" s="1249">
        <f>ROUND('geg LO'!G17*tab!$C$57,0)</f>
        <v>0</v>
      </c>
      <c r="J14" s="1249">
        <f>ROUND('geg LO'!H17*tab!$D$57,0)</f>
        <v>0</v>
      </c>
      <c r="K14" s="1249">
        <f>ROUND('geg LO'!I17*tab!$D$57,0)</f>
        <v>0</v>
      </c>
      <c r="L14" s="1249">
        <f>ROUND('geg LO'!J17*tab!$D$57,0)</f>
        <v>0</v>
      </c>
      <c r="M14" s="1249">
        <f>ROUND('geg LO'!K17*tab!$D$57,0)</f>
        <v>0</v>
      </c>
      <c r="N14" s="1249">
        <f>ROUND('geg LO'!L17*tab!$D$57,0)</f>
        <v>0</v>
      </c>
      <c r="O14" s="1249">
        <f>ROUND('geg LO'!M17*tab!$D$57,0)</f>
        <v>0</v>
      </c>
      <c r="P14" s="1037"/>
      <c r="Q14" s="517"/>
      <c r="R14" s="476"/>
      <c r="S14" s="476"/>
    </row>
    <row r="15" spans="1:48" ht="13.15" customHeight="1" x14ac:dyDescent="0.2">
      <c r="B15" s="86"/>
      <c r="C15" s="1037"/>
      <c r="D15" s="1037"/>
      <c r="E15" s="1037"/>
      <c r="F15" s="1039"/>
      <c r="G15" s="1037"/>
      <c r="H15" s="1250"/>
      <c r="I15" s="1039"/>
      <c r="J15" s="1039"/>
      <c r="K15" s="1039"/>
      <c r="L15" s="1039"/>
      <c r="M15" s="1039"/>
      <c r="N15" s="1039"/>
      <c r="O15" s="1039"/>
      <c r="P15" s="1037"/>
      <c r="Q15" s="517"/>
      <c r="R15" s="476"/>
      <c r="S15" s="476"/>
    </row>
    <row r="16" spans="1:48" ht="13.15" customHeight="1" x14ac:dyDescent="0.2">
      <c r="B16" s="86"/>
      <c r="C16" s="1037"/>
      <c r="D16" s="1056" t="s">
        <v>995</v>
      </c>
      <c r="E16" s="1037"/>
      <c r="F16" s="1039"/>
      <c r="G16" s="1037"/>
      <c r="H16" s="1251"/>
      <c r="I16" s="1039"/>
      <c r="J16" s="1039"/>
      <c r="K16" s="1039"/>
      <c r="L16" s="1039"/>
      <c r="M16" s="1039"/>
      <c r="N16" s="1039"/>
      <c r="O16" s="1039"/>
      <c r="P16" s="1037"/>
      <c r="Q16" s="517"/>
      <c r="R16" s="476"/>
      <c r="S16" s="476"/>
    </row>
    <row r="17" spans="2:19" ht="13.15" customHeight="1" x14ac:dyDescent="0.2">
      <c r="B17" s="86"/>
      <c r="C17" s="1037"/>
      <c r="D17" s="1252"/>
      <c r="E17" s="1037"/>
      <c r="F17" s="1039"/>
      <c r="G17" s="1037"/>
      <c r="H17" s="1253">
        <v>0</v>
      </c>
      <c r="I17" s="1253">
        <f t="shared" ref="I17:J20" si="0">H17</f>
        <v>0</v>
      </c>
      <c r="J17" s="1253">
        <f t="shared" si="0"/>
        <v>0</v>
      </c>
      <c r="K17" s="1253">
        <f t="shared" ref="K17:L19" si="1">J17</f>
        <v>0</v>
      </c>
      <c r="L17" s="1253">
        <f t="shared" si="1"/>
        <v>0</v>
      </c>
      <c r="M17" s="1253">
        <f t="shared" ref="M17:O20" si="2">L17</f>
        <v>0</v>
      </c>
      <c r="N17" s="1253">
        <f t="shared" si="2"/>
        <v>0</v>
      </c>
      <c r="O17" s="1253">
        <f t="shared" si="2"/>
        <v>0</v>
      </c>
      <c r="P17" s="1248"/>
      <c r="Q17" s="517"/>
      <c r="R17" s="476"/>
      <c r="S17" s="476"/>
    </row>
    <row r="18" spans="2:19" ht="13.15" customHeight="1" x14ac:dyDescent="0.2">
      <c r="B18" s="86"/>
      <c r="C18" s="1037"/>
      <c r="D18" s="1252"/>
      <c r="E18" s="1037"/>
      <c r="F18" s="1039"/>
      <c r="G18" s="1037"/>
      <c r="H18" s="1253">
        <v>0</v>
      </c>
      <c r="I18" s="1253">
        <f t="shared" si="0"/>
        <v>0</v>
      </c>
      <c r="J18" s="1253">
        <f t="shared" si="0"/>
        <v>0</v>
      </c>
      <c r="K18" s="1253">
        <f t="shared" si="1"/>
        <v>0</v>
      </c>
      <c r="L18" s="1253">
        <f t="shared" si="1"/>
        <v>0</v>
      </c>
      <c r="M18" s="1253">
        <f t="shared" si="2"/>
        <v>0</v>
      </c>
      <c r="N18" s="1253">
        <f t="shared" si="2"/>
        <v>0</v>
      </c>
      <c r="O18" s="1253">
        <f t="shared" si="2"/>
        <v>0</v>
      </c>
      <c r="P18" s="1248"/>
      <c r="Q18" s="517"/>
      <c r="R18" s="476"/>
      <c r="S18" s="476"/>
    </row>
    <row r="19" spans="2:19" ht="13.15" customHeight="1" x14ac:dyDescent="0.2">
      <c r="B19" s="86"/>
      <c r="C19" s="1037"/>
      <c r="D19" s="1252"/>
      <c r="E19" s="1037"/>
      <c r="F19" s="1039"/>
      <c r="G19" s="1037"/>
      <c r="H19" s="1253">
        <v>0</v>
      </c>
      <c r="I19" s="1253">
        <f t="shared" si="0"/>
        <v>0</v>
      </c>
      <c r="J19" s="1253">
        <f t="shared" si="0"/>
        <v>0</v>
      </c>
      <c r="K19" s="1253">
        <f>J19</f>
        <v>0</v>
      </c>
      <c r="L19" s="1253">
        <f t="shared" si="1"/>
        <v>0</v>
      </c>
      <c r="M19" s="1253">
        <f t="shared" si="2"/>
        <v>0</v>
      </c>
      <c r="N19" s="1253">
        <f t="shared" si="2"/>
        <v>0</v>
      </c>
      <c r="O19" s="1253">
        <f t="shared" si="2"/>
        <v>0</v>
      </c>
      <c r="P19" s="1248"/>
      <c r="Q19" s="517"/>
      <c r="R19" s="476"/>
      <c r="S19" s="476"/>
    </row>
    <row r="20" spans="2:19" ht="13.15" customHeight="1" x14ac:dyDescent="0.2">
      <c r="B20" s="86"/>
      <c r="C20" s="1037"/>
      <c r="D20" s="1254"/>
      <c r="E20" s="1037"/>
      <c r="F20" s="1039"/>
      <c r="G20" s="1037"/>
      <c r="H20" s="1253">
        <v>0</v>
      </c>
      <c r="I20" s="1253">
        <f t="shared" si="0"/>
        <v>0</v>
      </c>
      <c r="J20" s="1253">
        <f t="shared" si="0"/>
        <v>0</v>
      </c>
      <c r="K20" s="1253">
        <f>J20</f>
        <v>0</v>
      </c>
      <c r="L20" s="1253">
        <f>K20</f>
        <v>0</v>
      </c>
      <c r="M20" s="1253">
        <f t="shared" si="2"/>
        <v>0</v>
      </c>
      <c r="N20" s="1253">
        <f t="shared" si="2"/>
        <v>0</v>
      </c>
      <c r="O20" s="1253">
        <f t="shared" si="2"/>
        <v>0</v>
      </c>
      <c r="P20" s="1246"/>
      <c r="Q20" s="517"/>
      <c r="R20" s="476"/>
      <c r="S20" s="476"/>
    </row>
    <row r="21" spans="2:19" ht="13.15" customHeight="1" x14ac:dyDescent="0.2">
      <c r="B21" s="86"/>
      <c r="C21" s="1037"/>
      <c r="D21" s="1038"/>
      <c r="E21" s="1037"/>
      <c r="F21" s="1039"/>
      <c r="G21" s="1037"/>
      <c r="H21" s="1255" t="e">
        <f t="shared" ref="H21:N21" si="3">SUM(H14:H20)</f>
        <v>#REF!</v>
      </c>
      <c r="I21" s="1255">
        <f t="shared" si="3"/>
        <v>0</v>
      </c>
      <c r="J21" s="1255">
        <f t="shared" si="3"/>
        <v>0</v>
      </c>
      <c r="K21" s="1255">
        <f t="shared" si="3"/>
        <v>0</v>
      </c>
      <c r="L21" s="1255">
        <f t="shared" si="3"/>
        <v>0</v>
      </c>
      <c r="M21" s="1255">
        <f t="shared" si="3"/>
        <v>0</v>
      </c>
      <c r="N21" s="1255">
        <f t="shared" si="3"/>
        <v>0</v>
      </c>
      <c r="O21" s="1255">
        <f t="shared" ref="O21" si="4">SUM(O14:O20)</f>
        <v>0</v>
      </c>
      <c r="P21" s="1244"/>
      <c r="Q21" s="517"/>
      <c r="R21" s="476"/>
      <c r="S21" s="476"/>
    </row>
    <row r="22" spans="2:19" ht="13.15" customHeight="1" x14ac:dyDescent="0.2">
      <c r="B22" s="86"/>
      <c r="C22" s="1037"/>
      <c r="D22" s="1038"/>
      <c r="E22" s="1037"/>
      <c r="F22" s="1039"/>
      <c r="G22" s="1037"/>
      <c r="H22" s="1250"/>
      <c r="I22" s="1039"/>
      <c r="J22" s="1039"/>
      <c r="K22" s="1039"/>
      <c r="L22" s="1039"/>
      <c r="M22" s="1039"/>
      <c r="N22" s="1039"/>
      <c r="O22" s="1039"/>
      <c r="P22" s="1244"/>
      <c r="Q22" s="517"/>
      <c r="R22" s="476"/>
      <c r="S22" s="476"/>
    </row>
    <row r="23" spans="2:19" ht="13.15" customHeight="1" x14ac:dyDescent="0.2">
      <c r="B23" s="86"/>
      <c r="C23" s="1037"/>
      <c r="D23" s="1075"/>
      <c r="E23" s="1000"/>
      <c r="F23" s="1076"/>
      <c r="G23" s="1000"/>
      <c r="H23" s="1256"/>
      <c r="I23" s="1076"/>
      <c r="J23" s="1076"/>
      <c r="K23" s="1076"/>
      <c r="L23" s="1076"/>
      <c r="M23" s="1076"/>
      <c r="N23" s="1076"/>
      <c r="O23" s="1076"/>
      <c r="P23" s="1038"/>
      <c r="Q23" s="517"/>
      <c r="R23" s="476"/>
      <c r="S23" s="476"/>
    </row>
    <row r="24" spans="2:19" ht="13.15" customHeight="1" x14ac:dyDescent="0.2">
      <c r="B24" s="86"/>
      <c r="C24" s="1000"/>
      <c r="D24" s="1075" t="s">
        <v>107</v>
      </c>
      <c r="E24" s="1000"/>
      <c r="F24" s="1076"/>
      <c r="G24" s="1000"/>
      <c r="H24" s="1257"/>
      <c r="I24" s="1076"/>
      <c r="J24" s="1076"/>
      <c r="K24" s="1076"/>
      <c r="L24" s="1076"/>
      <c r="M24" s="1076"/>
      <c r="N24" s="1076"/>
      <c r="O24" s="1076"/>
      <c r="P24" s="1000"/>
      <c r="Q24" s="517"/>
      <c r="R24" s="476"/>
      <c r="S24" s="476"/>
    </row>
    <row r="25" spans="2:19" ht="13.15" customHeight="1" x14ac:dyDescent="0.2">
      <c r="B25" s="86"/>
      <c r="C25" s="1000"/>
      <c r="D25" s="1000" t="s">
        <v>852</v>
      </c>
      <c r="E25" s="1000"/>
      <c r="F25" s="1076"/>
      <c r="G25" s="1000"/>
      <c r="H25" s="1257"/>
      <c r="I25" s="1249">
        <f>ROUND('geg ZO'!I24*tab!C69,0)</f>
        <v>0</v>
      </c>
      <c r="J25" s="1249">
        <f>ROUND('geg ZO'!J24*tab!$D69,0)</f>
        <v>0</v>
      </c>
      <c r="K25" s="1249">
        <f>ROUND('geg ZO'!K24*tab!$D69,0)</f>
        <v>0</v>
      </c>
      <c r="L25" s="1249">
        <f>ROUND('geg ZO'!L24*tab!$D69,0)</f>
        <v>0</v>
      </c>
      <c r="M25" s="1249">
        <f>ROUND('geg ZO'!M24*tab!$D69,0)</f>
        <v>0</v>
      </c>
      <c r="N25" s="1249">
        <f>ROUND('geg ZO'!N24*tab!$D69,0)</f>
        <v>0</v>
      </c>
      <c r="O25" s="1249">
        <f>ROUND('geg ZO'!O24*tab!$D69,0)</f>
        <v>0</v>
      </c>
      <c r="P25" s="1000"/>
      <c r="Q25" s="517"/>
      <c r="R25" s="476"/>
      <c r="S25" s="476"/>
    </row>
    <row r="26" spans="2:19" ht="13.15" customHeight="1" x14ac:dyDescent="0.2">
      <c r="B26" s="86"/>
      <c r="C26" s="1000"/>
      <c r="D26" s="1000" t="s">
        <v>850</v>
      </c>
      <c r="E26" s="1000"/>
      <c r="F26" s="1076"/>
      <c r="G26" s="1000"/>
      <c r="H26" s="1257"/>
      <c r="I26" s="1249">
        <f>+'overdr SO'!J22</f>
        <v>0</v>
      </c>
      <c r="J26" s="1249">
        <f>+'overdr SO'!K22</f>
        <v>0</v>
      </c>
      <c r="K26" s="1249">
        <f>+'overdr SO'!L22</f>
        <v>0</v>
      </c>
      <c r="L26" s="1249">
        <f>+'overdr SO'!M22</f>
        <v>0</v>
      </c>
      <c r="M26" s="1249">
        <f>+'overdr SO'!N22</f>
        <v>0</v>
      </c>
      <c r="N26" s="1249">
        <f>+'overdr SO'!O22</f>
        <v>0</v>
      </c>
      <c r="O26" s="1249">
        <f>+'overdr SO'!P22</f>
        <v>0</v>
      </c>
      <c r="P26" s="1000"/>
      <c r="Q26" s="517"/>
      <c r="R26" s="476"/>
      <c r="S26" s="476"/>
    </row>
    <row r="27" spans="2:19" ht="13.15" customHeight="1" x14ac:dyDescent="0.2">
      <c r="B27" s="86"/>
      <c r="C27" s="1000"/>
      <c r="D27" s="1000" t="s">
        <v>851</v>
      </c>
      <c r="E27" s="1000"/>
      <c r="F27" s="1076"/>
      <c r="G27" s="1000"/>
      <c r="H27" s="1257"/>
      <c r="I27" s="1249">
        <f>+'peild SO'!H28-'overdr SO'!J22</f>
        <v>0</v>
      </c>
      <c r="J27" s="1249">
        <f>+'peild SO'!I28-'overdr SO'!K22</f>
        <v>0</v>
      </c>
      <c r="K27" s="1249">
        <f>+'peild SO'!J28-'overdr SO'!L22</f>
        <v>0</v>
      </c>
      <c r="L27" s="1249">
        <f>+'peild SO'!K28-'overdr SO'!M22</f>
        <v>0</v>
      </c>
      <c r="M27" s="1249">
        <f>+'peild SO'!L28-'overdr SO'!N22</f>
        <v>0</v>
      </c>
      <c r="N27" s="1249">
        <f>+'peild SO'!M28-'overdr SO'!O22</f>
        <v>0</v>
      </c>
      <c r="O27" s="1249">
        <f>+'peild SO'!N28-'overdr SO'!P22</f>
        <v>0</v>
      </c>
      <c r="P27" s="1000"/>
      <c r="Q27" s="517"/>
      <c r="R27" s="476"/>
      <c r="S27" s="476"/>
    </row>
    <row r="28" spans="2:19" ht="13.15" customHeight="1" x14ac:dyDescent="0.2">
      <c r="B28" s="86"/>
      <c r="C28" s="1000"/>
      <c r="D28" s="1000"/>
      <c r="E28" s="1000"/>
      <c r="F28" s="1076"/>
      <c r="G28" s="1000"/>
      <c r="H28" s="1258"/>
      <c r="I28" s="1245"/>
      <c r="J28" s="1245"/>
      <c r="K28" s="1245"/>
      <c r="L28" s="1245"/>
      <c r="M28" s="1245"/>
      <c r="N28" s="1245"/>
      <c r="O28" s="1245"/>
      <c r="P28" s="1000"/>
      <c r="Q28" s="517"/>
      <c r="R28" s="476"/>
      <c r="S28" s="476"/>
    </row>
    <row r="29" spans="2:19" ht="13.15" customHeight="1" x14ac:dyDescent="0.2">
      <c r="B29" s="86"/>
      <c r="C29" s="1000"/>
      <c r="D29" s="1056" t="s">
        <v>995</v>
      </c>
      <c r="E29" s="1000"/>
      <c r="F29" s="1076"/>
      <c r="G29" s="1000"/>
      <c r="H29" s="1258"/>
      <c r="I29" s="1076"/>
      <c r="J29" s="1076"/>
      <c r="K29" s="1076"/>
      <c r="L29" s="1076"/>
      <c r="M29" s="1076"/>
      <c r="N29" s="1076"/>
      <c r="O29" s="1076"/>
      <c r="P29" s="1000"/>
      <c r="Q29" s="517"/>
      <c r="R29" s="476"/>
      <c r="S29" s="476"/>
    </row>
    <row r="30" spans="2:19" ht="13.15" customHeight="1" x14ac:dyDescent="0.2">
      <c r="B30" s="86"/>
      <c r="C30" s="1000"/>
      <c r="D30" s="1000" t="s">
        <v>24</v>
      </c>
      <c r="E30" s="1000"/>
      <c r="F30" s="1076"/>
      <c r="G30" s="1000"/>
      <c r="H30" s="1259">
        <v>0</v>
      </c>
      <c r="I30" s="1259">
        <f>+tab!C85</f>
        <v>0</v>
      </c>
      <c r="J30" s="1259">
        <f>+tab!D85</f>
        <v>0</v>
      </c>
      <c r="K30" s="1259">
        <f>+tab!E85</f>
        <v>0</v>
      </c>
      <c r="L30" s="1259">
        <f>+tab!F85</f>
        <v>0</v>
      </c>
      <c r="M30" s="1259">
        <f>+tab!G85</f>
        <v>0</v>
      </c>
      <c r="N30" s="1259">
        <f>+tab!H85</f>
        <v>0</v>
      </c>
      <c r="O30" s="1259">
        <v>0</v>
      </c>
      <c r="P30" s="1245"/>
      <c r="Q30" s="517"/>
      <c r="R30" s="476"/>
      <c r="S30" s="476"/>
    </row>
    <row r="31" spans="2:19" ht="13.15" customHeight="1" x14ac:dyDescent="0.2">
      <c r="B31" s="86"/>
      <c r="C31" s="1000"/>
      <c r="D31" s="1260"/>
      <c r="E31" s="1000"/>
      <c r="F31" s="1076"/>
      <c r="G31" s="1000"/>
      <c r="H31" s="1253">
        <v>0</v>
      </c>
      <c r="I31" s="1253">
        <f t="shared" ref="I31" si="5">H31</f>
        <v>0</v>
      </c>
      <c r="J31" s="1253">
        <f t="shared" ref="J31" si="6">I31</f>
        <v>0</v>
      </c>
      <c r="K31" s="1253">
        <f t="shared" ref="K31" si="7">J31</f>
        <v>0</v>
      </c>
      <c r="L31" s="1253">
        <f t="shared" ref="L31" si="8">K31</f>
        <v>0</v>
      </c>
      <c r="M31" s="1253">
        <f t="shared" ref="M31" si="9">L31</f>
        <v>0</v>
      </c>
      <c r="N31" s="1253">
        <f t="shared" ref="N31" si="10">M31</f>
        <v>0</v>
      </c>
      <c r="O31" s="1253">
        <f t="shared" ref="O31" si="11">N31</f>
        <v>0</v>
      </c>
      <c r="P31" s="1245"/>
      <c r="Q31" s="517"/>
      <c r="R31" s="476"/>
      <c r="S31" s="476"/>
    </row>
    <row r="32" spans="2:19" ht="13.15" customHeight="1" x14ac:dyDescent="0.2">
      <c r="B32" s="86"/>
      <c r="C32" s="1000"/>
      <c r="D32" s="1260"/>
      <c r="E32" s="1000"/>
      <c r="F32" s="1076"/>
      <c r="G32" s="1000"/>
      <c r="H32" s="1253">
        <v>0</v>
      </c>
      <c r="I32" s="1253">
        <f t="shared" ref="I32:L34" si="12">H32</f>
        <v>0</v>
      </c>
      <c r="J32" s="1253">
        <f t="shared" si="12"/>
        <v>0</v>
      </c>
      <c r="K32" s="1253">
        <f t="shared" si="12"/>
        <v>0</v>
      </c>
      <c r="L32" s="1253">
        <f t="shared" si="12"/>
        <v>0</v>
      </c>
      <c r="M32" s="1253">
        <f t="shared" ref="M32:O34" si="13">L32</f>
        <v>0</v>
      </c>
      <c r="N32" s="1253">
        <f t="shared" si="13"/>
        <v>0</v>
      </c>
      <c r="O32" s="1253">
        <f t="shared" si="13"/>
        <v>0</v>
      </c>
      <c r="P32" s="1245"/>
      <c r="Q32" s="517"/>
      <c r="R32" s="476"/>
      <c r="S32" s="476"/>
    </row>
    <row r="33" spans="1:48" s="215" customFormat="1" ht="13.15" customHeight="1" x14ac:dyDescent="0.2">
      <c r="A33" s="532"/>
      <c r="B33" s="90"/>
      <c r="C33" s="1000"/>
      <c r="D33" s="1260"/>
      <c r="E33" s="1000"/>
      <c r="F33" s="1076"/>
      <c r="G33" s="1000"/>
      <c r="H33" s="1253">
        <v>0</v>
      </c>
      <c r="I33" s="1253">
        <f t="shared" si="12"/>
        <v>0</v>
      </c>
      <c r="J33" s="1253">
        <f t="shared" si="12"/>
        <v>0</v>
      </c>
      <c r="K33" s="1253">
        <f t="shared" si="12"/>
        <v>0</v>
      </c>
      <c r="L33" s="1253">
        <f t="shared" si="12"/>
        <v>0</v>
      </c>
      <c r="M33" s="1253">
        <f t="shared" si="13"/>
        <v>0</v>
      </c>
      <c r="N33" s="1253">
        <f t="shared" si="13"/>
        <v>0</v>
      </c>
      <c r="O33" s="1253">
        <f t="shared" si="13"/>
        <v>0</v>
      </c>
      <c r="P33" s="1245"/>
      <c r="Q33" s="1176"/>
      <c r="R33" s="540"/>
      <c r="S33" s="540"/>
      <c r="T33" s="532"/>
      <c r="U33" s="532"/>
      <c r="V33" s="532"/>
      <c r="W33" s="532"/>
      <c r="X33" s="532"/>
      <c r="Y33" s="532"/>
      <c r="Z33" s="532"/>
      <c r="AA33" s="532"/>
      <c r="AB33" s="532"/>
      <c r="AC33" s="532"/>
      <c r="AD33" s="532"/>
      <c r="AE33" s="532"/>
      <c r="AF33" s="532"/>
      <c r="AG33" s="532"/>
      <c r="AH33" s="532"/>
      <c r="AI33" s="532"/>
      <c r="AJ33" s="532"/>
      <c r="AK33" s="532"/>
      <c r="AL33" s="532"/>
      <c r="AM33" s="532"/>
      <c r="AN33" s="532"/>
      <c r="AO33" s="532"/>
      <c r="AP33" s="532"/>
      <c r="AQ33" s="532"/>
      <c r="AR33" s="532"/>
      <c r="AS33" s="532"/>
      <c r="AT33" s="532"/>
      <c r="AU33" s="532"/>
      <c r="AV33" s="532"/>
    </row>
    <row r="34" spans="1:48" ht="13.15" customHeight="1" x14ac:dyDescent="0.2">
      <c r="B34" s="86"/>
      <c r="C34" s="1000"/>
      <c r="D34" s="1261"/>
      <c r="E34" s="1000"/>
      <c r="F34" s="1076"/>
      <c r="G34" s="1000"/>
      <c r="H34" s="1253">
        <v>0</v>
      </c>
      <c r="I34" s="1253">
        <f t="shared" si="12"/>
        <v>0</v>
      </c>
      <c r="J34" s="1253">
        <f t="shared" si="12"/>
        <v>0</v>
      </c>
      <c r="K34" s="1253">
        <f t="shared" si="12"/>
        <v>0</v>
      </c>
      <c r="L34" s="1253">
        <f>K34</f>
        <v>0</v>
      </c>
      <c r="M34" s="1253">
        <f t="shared" si="13"/>
        <v>0</v>
      </c>
      <c r="N34" s="1253">
        <f t="shared" si="13"/>
        <v>0</v>
      </c>
      <c r="O34" s="1253">
        <f t="shared" si="13"/>
        <v>0</v>
      </c>
      <c r="P34" s="1246"/>
      <c r="Q34" s="517"/>
      <c r="R34" s="476"/>
      <c r="S34" s="476"/>
    </row>
    <row r="35" spans="1:48" ht="13.15" customHeight="1" x14ac:dyDescent="0.2">
      <c r="B35" s="86"/>
      <c r="C35" s="1000"/>
      <c r="D35" s="1075"/>
      <c r="E35" s="1000"/>
      <c r="F35" s="1076"/>
      <c r="G35" s="1000"/>
      <c r="H35" s="1255">
        <f>SUM(H30:H34)</f>
        <v>0</v>
      </c>
      <c r="I35" s="1255">
        <f>SUM(I30:I34)</f>
        <v>0</v>
      </c>
      <c r="J35" s="1255">
        <f t="shared" ref="J35:N35" si="14">SUM(J30:J34)</f>
        <v>0</v>
      </c>
      <c r="K35" s="1255">
        <f t="shared" si="14"/>
        <v>0</v>
      </c>
      <c r="L35" s="1255">
        <f t="shared" si="14"/>
        <v>0</v>
      </c>
      <c r="M35" s="1255">
        <f t="shared" si="14"/>
        <v>0</v>
      </c>
      <c r="N35" s="1255">
        <f t="shared" si="14"/>
        <v>0</v>
      </c>
      <c r="O35" s="1255">
        <f t="shared" ref="O35" si="15">SUM(O30:O34)</f>
        <v>0</v>
      </c>
      <c r="P35" s="1247"/>
      <c r="Q35" s="517"/>
      <c r="R35" s="476"/>
      <c r="S35" s="476"/>
    </row>
    <row r="36" spans="1:48" s="215" customFormat="1" ht="13.15" customHeight="1" x14ac:dyDescent="0.2">
      <c r="A36" s="532"/>
      <c r="B36" s="90"/>
      <c r="C36" s="1000"/>
      <c r="D36" s="1038"/>
      <c r="E36" s="1037"/>
      <c r="F36" s="1039"/>
      <c r="G36" s="1037"/>
      <c r="H36" s="1250"/>
      <c r="I36" s="1039"/>
      <c r="J36" s="1039"/>
      <c r="K36" s="1039"/>
      <c r="L36" s="1039"/>
      <c r="M36" s="1039"/>
      <c r="N36" s="1039"/>
      <c r="O36" s="1039"/>
      <c r="P36" s="1075"/>
      <c r="Q36" s="1176"/>
      <c r="R36" s="540"/>
      <c r="S36" s="540"/>
      <c r="T36" s="532"/>
      <c r="U36" s="532"/>
      <c r="V36" s="532"/>
      <c r="W36" s="532"/>
      <c r="X36" s="532"/>
      <c r="Y36" s="532"/>
      <c r="Z36" s="532"/>
      <c r="AA36" s="532"/>
      <c r="AB36" s="532"/>
      <c r="AC36" s="532"/>
      <c r="AD36" s="532"/>
      <c r="AE36" s="532"/>
      <c r="AF36" s="532"/>
      <c r="AG36" s="532"/>
      <c r="AH36" s="532"/>
      <c r="AI36" s="532"/>
      <c r="AJ36" s="532"/>
      <c r="AK36" s="532"/>
      <c r="AL36" s="532"/>
      <c r="AM36" s="532"/>
      <c r="AN36" s="532"/>
      <c r="AO36" s="532"/>
      <c r="AP36" s="532"/>
      <c r="AQ36" s="532"/>
      <c r="AR36" s="532"/>
      <c r="AS36" s="532"/>
      <c r="AT36" s="532"/>
      <c r="AU36" s="532"/>
      <c r="AV36" s="532"/>
    </row>
    <row r="37" spans="1:48" s="215" customFormat="1" ht="13.15" customHeight="1" x14ac:dyDescent="0.2">
      <c r="A37" s="532"/>
      <c r="B37" s="90"/>
      <c r="C37" s="1000"/>
      <c r="D37" s="1075"/>
      <c r="E37" s="1000"/>
      <c r="F37" s="1076"/>
      <c r="G37" s="1000"/>
      <c r="H37" s="1256"/>
      <c r="I37" s="1076"/>
      <c r="J37" s="1076"/>
      <c r="K37" s="1076"/>
      <c r="L37" s="1076"/>
      <c r="M37" s="1076"/>
      <c r="N37" s="1076"/>
      <c r="O37" s="1076"/>
      <c r="P37" s="1075"/>
      <c r="Q37" s="1176"/>
      <c r="R37" s="540"/>
      <c r="S37" s="540"/>
      <c r="T37" s="532"/>
      <c r="U37" s="532"/>
      <c r="V37" s="532"/>
      <c r="W37" s="532"/>
      <c r="X37" s="532"/>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row>
    <row r="38" spans="1:48" s="215" customFormat="1" ht="13.15" customHeight="1" x14ac:dyDescent="0.2">
      <c r="A38" s="532"/>
      <c r="B38" s="90"/>
      <c r="C38" s="1000"/>
      <c r="D38" s="1038" t="s">
        <v>268</v>
      </c>
      <c r="E38" s="1037"/>
      <c r="F38" s="1039"/>
      <c r="G38" s="1037"/>
      <c r="H38" s="1255" t="e">
        <f>H21+#REF!+H35</f>
        <v>#REF!</v>
      </c>
      <c r="I38" s="1255">
        <f t="shared" ref="I38:O38" si="16">I21+I25+I26+I27+I35</f>
        <v>0</v>
      </c>
      <c r="J38" s="1255">
        <f t="shared" si="16"/>
        <v>0</v>
      </c>
      <c r="K38" s="1255">
        <f t="shared" si="16"/>
        <v>0</v>
      </c>
      <c r="L38" s="1255">
        <f t="shared" si="16"/>
        <v>0</v>
      </c>
      <c r="M38" s="1255">
        <f t="shared" si="16"/>
        <v>0</v>
      </c>
      <c r="N38" s="1255">
        <f t="shared" si="16"/>
        <v>0</v>
      </c>
      <c r="O38" s="1255">
        <f t="shared" si="16"/>
        <v>0</v>
      </c>
      <c r="P38" s="1075"/>
      <c r="Q38" s="1176"/>
      <c r="R38" s="540"/>
      <c r="S38" s="540"/>
      <c r="T38" s="532"/>
      <c r="U38" s="532"/>
      <c r="V38" s="532"/>
      <c r="W38" s="532"/>
      <c r="X38" s="532"/>
      <c r="Y38" s="532"/>
      <c r="Z38" s="532"/>
      <c r="AA38" s="532"/>
      <c r="AB38" s="532"/>
      <c r="AC38" s="532"/>
      <c r="AD38" s="532"/>
      <c r="AE38" s="532"/>
      <c r="AF38" s="532"/>
      <c r="AG38" s="532"/>
      <c r="AH38" s="532"/>
      <c r="AI38" s="532"/>
      <c r="AJ38" s="532"/>
      <c r="AK38" s="532"/>
      <c r="AL38" s="532"/>
      <c r="AM38" s="532"/>
      <c r="AN38" s="532"/>
      <c r="AO38" s="532"/>
      <c r="AP38" s="532"/>
      <c r="AQ38" s="532"/>
      <c r="AR38" s="532"/>
      <c r="AS38" s="532"/>
      <c r="AT38" s="532"/>
      <c r="AU38" s="532"/>
      <c r="AV38" s="532"/>
    </row>
    <row r="39" spans="1:48" s="215" customFormat="1" ht="13.15" customHeight="1" x14ac:dyDescent="0.2">
      <c r="A39" s="532"/>
      <c r="B39" s="90"/>
      <c r="C39" s="1000"/>
      <c r="D39" s="1075"/>
      <c r="E39" s="1000"/>
      <c r="F39" s="1076"/>
      <c r="G39" s="1000"/>
      <c r="H39" s="1257"/>
      <c r="I39" s="1075"/>
      <c r="J39" s="1075"/>
      <c r="K39" s="1075"/>
      <c r="L39" s="1075"/>
      <c r="M39" s="1075"/>
      <c r="N39" s="1075"/>
      <c r="O39" s="1075"/>
      <c r="P39" s="1075"/>
      <c r="Q39" s="1176"/>
      <c r="R39" s="540"/>
      <c r="S39" s="540"/>
      <c r="T39" s="532"/>
      <c r="U39" s="532"/>
      <c r="V39" s="532"/>
      <c r="W39" s="532"/>
      <c r="X39" s="532"/>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532"/>
      <c r="AU39" s="532"/>
      <c r="AV39" s="532"/>
    </row>
    <row r="40" spans="1:48" ht="13.15" customHeight="1" x14ac:dyDescent="0.2">
      <c r="B40" s="86"/>
      <c r="C40" s="87"/>
      <c r="D40" s="87"/>
      <c r="E40" s="87"/>
      <c r="F40" s="80"/>
      <c r="G40" s="87"/>
      <c r="H40" s="87"/>
      <c r="I40" s="80"/>
      <c r="J40" s="80"/>
      <c r="K40" s="80"/>
      <c r="L40" s="80"/>
      <c r="M40" s="80"/>
      <c r="N40" s="80"/>
      <c r="O40" s="80"/>
      <c r="P40" s="87"/>
      <c r="Q40" s="88"/>
      <c r="R40" s="476"/>
      <c r="S40" s="476"/>
    </row>
    <row r="41" spans="1:48" ht="13.15" customHeight="1" x14ac:dyDescent="0.2">
      <c r="B41" s="86"/>
      <c r="C41" s="1000"/>
      <c r="D41" s="1075"/>
      <c r="E41" s="1000"/>
      <c r="F41" s="1076"/>
      <c r="G41" s="1000"/>
      <c r="H41" s="1000"/>
      <c r="I41" s="1076"/>
      <c r="J41" s="1076"/>
      <c r="K41" s="1076"/>
      <c r="L41" s="1076"/>
      <c r="M41" s="1076"/>
      <c r="N41" s="1076"/>
      <c r="O41" s="1076"/>
      <c r="P41" s="1000"/>
      <c r="Q41" s="88"/>
      <c r="R41" s="476"/>
      <c r="S41" s="476"/>
    </row>
    <row r="42" spans="1:48" ht="13.15" customHeight="1" x14ac:dyDescent="0.2">
      <c r="B42" s="86"/>
      <c r="C42" s="1000"/>
      <c r="D42" s="1049" t="s">
        <v>324</v>
      </c>
      <c r="E42" s="1000"/>
      <c r="F42" s="1076"/>
      <c r="G42" s="1000"/>
      <c r="H42" s="1000"/>
      <c r="I42" s="1076"/>
      <c r="J42" s="1076"/>
      <c r="K42" s="1076"/>
      <c r="L42" s="1076"/>
      <c r="M42" s="1076"/>
      <c r="N42" s="1076"/>
      <c r="O42" s="1076"/>
      <c r="P42" s="1000"/>
      <c r="Q42" s="88"/>
      <c r="R42" s="476"/>
      <c r="S42" s="476"/>
    </row>
    <row r="43" spans="1:48" ht="13.15" customHeight="1" x14ac:dyDescent="0.2">
      <c r="B43" s="86"/>
      <c r="C43" s="1000"/>
      <c r="D43" s="1075"/>
      <c r="E43" s="1000"/>
      <c r="F43" s="1076"/>
      <c r="G43" s="1000"/>
      <c r="H43" s="1000"/>
      <c r="I43" s="1076"/>
      <c r="J43" s="1076"/>
      <c r="K43" s="1076"/>
      <c r="L43" s="1076"/>
      <c r="M43" s="1076"/>
      <c r="N43" s="1076"/>
      <c r="O43" s="1076"/>
      <c r="P43" s="1000"/>
      <c r="Q43" s="88"/>
      <c r="R43" s="476"/>
      <c r="S43" s="476"/>
    </row>
    <row r="44" spans="1:48" ht="13.15" customHeight="1" x14ac:dyDescent="0.2">
      <c r="B44" s="86"/>
      <c r="C44" s="1000"/>
      <c r="D44" s="1075" t="s">
        <v>106</v>
      </c>
      <c r="E44" s="1000"/>
      <c r="F44" s="1076"/>
      <c r="G44" s="1000"/>
      <c r="H44" s="1000"/>
      <c r="I44" s="1076"/>
      <c r="J44" s="1076"/>
      <c r="K44" s="1076"/>
      <c r="L44" s="1076"/>
      <c r="M44" s="1076"/>
      <c r="N44" s="1076"/>
      <c r="O44" s="1076"/>
      <c r="P44" s="1000"/>
      <c r="Q44" s="88"/>
      <c r="R44" s="476"/>
      <c r="S44" s="476"/>
    </row>
    <row r="45" spans="1:48" ht="13.15" customHeight="1" x14ac:dyDescent="0.2">
      <c r="B45" s="86"/>
      <c r="C45" s="1000"/>
      <c r="D45" s="1260" t="s">
        <v>237</v>
      </c>
      <c r="E45" s="1000"/>
      <c r="F45" s="1076"/>
      <c r="G45" s="1000"/>
      <c r="H45" s="1262">
        <v>0</v>
      </c>
      <c r="I45" s="1253">
        <f t="shared" ref="I45:L47" si="17">H45</f>
        <v>0</v>
      </c>
      <c r="J45" s="1253">
        <f t="shared" si="17"/>
        <v>0</v>
      </c>
      <c r="K45" s="1253">
        <f t="shared" si="17"/>
        <v>0</v>
      </c>
      <c r="L45" s="1253">
        <f t="shared" si="17"/>
        <v>0</v>
      </c>
      <c r="M45" s="1253">
        <f t="shared" ref="M45:O47" si="18">L45</f>
        <v>0</v>
      </c>
      <c r="N45" s="1253">
        <f t="shared" si="18"/>
        <v>0</v>
      </c>
      <c r="O45" s="1253">
        <f t="shared" si="18"/>
        <v>0</v>
      </c>
      <c r="P45" s="1245"/>
      <c r="Q45" s="88"/>
      <c r="R45" s="476"/>
      <c r="S45" s="476"/>
    </row>
    <row r="46" spans="1:48" s="215" customFormat="1" ht="13.15" customHeight="1" x14ac:dyDescent="0.2">
      <c r="A46" s="532"/>
      <c r="B46" s="90"/>
      <c r="C46" s="1000"/>
      <c r="D46" s="1260"/>
      <c r="E46" s="1000"/>
      <c r="F46" s="1076"/>
      <c r="G46" s="1000"/>
      <c r="H46" s="1262">
        <v>0</v>
      </c>
      <c r="I46" s="1253">
        <f t="shared" si="17"/>
        <v>0</v>
      </c>
      <c r="J46" s="1253">
        <f t="shared" si="17"/>
        <v>0</v>
      </c>
      <c r="K46" s="1253">
        <f t="shared" si="17"/>
        <v>0</v>
      </c>
      <c r="L46" s="1253">
        <f t="shared" si="17"/>
        <v>0</v>
      </c>
      <c r="M46" s="1253">
        <f t="shared" si="18"/>
        <v>0</v>
      </c>
      <c r="N46" s="1253">
        <f t="shared" si="18"/>
        <v>0</v>
      </c>
      <c r="O46" s="1253">
        <f t="shared" si="18"/>
        <v>0</v>
      </c>
      <c r="P46" s="1245"/>
      <c r="Q46" s="101"/>
      <c r="R46" s="540"/>
      <c r="S46" s="540"/>
      <c r="T46" s="532"/>
      <c r="U46" s="532"/>
      <c r="V46" s="532"/>
      <c r="W46" s="532"/>
      <c r="X46" s="532"/>
      <c r="Y46" s="532"/>
      <c r="Z46" s="532"/>
      <c r="AA46" s="532"/>
      <c r="AB46" s="532"/>
      <c r="AC46" s="532"/>
      <c r="AD46" s="532"/>
      <c r="AE46" s="532"/>
      <c r="AF46" s="532"/>
      <c r="AG46" s="532"/>
      <c r="AH46" s="532"/>
      <c r="AI46" s="532"/>
      <c r="AJ46" s="532"/>
      <c r="AK46" s="532"/>
      <c r="AL46" s="532"/>
      <c r="AM46" s="532"/>
      <c r="AN46" s="532"/>
      <c r="AO46" s="532"/>
      <c r="AP46" s="532"/>
      <c r="AQ46" s="532"/>
      <c r="AR46" s="532"/>
      <c r="AS46" s="532"/>
      <c r="AT46" s="532"/>
      <c r="AU46" s="532"/>
      <c r="AV46" s="532"/>
    </row>
    <row r="47" spans="1:48" ht="13.15" customHeight="1" x14ac:dyDescent="0.2">
      <c r="B47" s="86"/>
      <c r="C47" s="1000"/>
      <c r="D47" s="1260"/>
      <c r="E47" s="1000"/>
      <c r="F47" s="1076"/>
      <c r="G47" s="1000"/>
      <c r="H47" s="1262">
        <v>0</v>
      </c>
      <c r="I47" s="1253">
        <f t="shared" si="17"/>
        <v>0</v>
      </c>
      <c r="J47" s="1253">
        <f t="shared" si="17"/>
        <v>0</v>
      </c>
      <c r="K47" s="1253">
        <f t="shared" si="17"/>
        <v>0</v>
      </c>
      <c r="L47" s="1253">
        <f t="shared" si="17"/>
        <v>0</v>
      </c>
      <c r="M47" s="1253">
        <f t="shared" si="18"/>
        <v>0</v>
      </c>
      <c r="N47" s="1253">
        <f t="shared" si="18"/>
        <v>0</v>
      </c>
      <c r="O47" s="1253">
        <f t="shared" si="18"/>
        <v>0</v>
      </c>
      <c r="P47" s="1245"/>
      <c r="Q47" s="88"/>
      <c r="R47" s="476"/>
      <c r="S47" s="476"/>
    </row>
    <row r="48" spans="1:48" ht="13.15" customHeight="1" x14ac:dyDescent="0.2">
      <c r="B48" s="86"/>
      <c r="C48" s="1000"/>
      <c r="D48" s="1075"/>
      <c r="E48" s="1000"/>
      <c r="F48" s="1076"/>
      <c r="G48" s="1000"/>
      <c r="H48" s="1255">
        <f t="shared" ref="H48:N48" si="19">SUM(H45:H47)</f>
        <v>0</v>
      </c>
      <c r="I48" s="1255">
        <f t="shared" si="19"/>
        <v>0</v>
      </c>
      <c r="J48" s="1255">
        <f t="shared" si="19"/>
        <v>0</v>
      </c>
      <c r="K48" s="1255">
        <f t="shared" si="19"/>
        <v>0</v>
      </c>
      <c r="L48" s="1255">
        <f t="shared" si="19"/>
        <v>0</v>
      </c>
      <c r="M48" s="1255">
        <f t="shared" si="19"/>
        <v>0</v>
      </c>
      <c r="N48" s="1255">
        <f t="shared" si="19"/>
        <v>0</v>
      </c>
      <c r="O48" s="1255">
        <f t="shared" ref="O48" si="20">SUM(O45:O47)</f>
        <v>0</v>
      </c>
      <c r="P48" s="1245"/>
      <c r="Q48" s="88"/>
      <c r="R48" s="476"/>
      <c r="S48" s="476"/>
    </row>
    <row r="49" spans="2:19" ht="13.15" customHeight="1" x14ac:dyDescent="0.2">
      <c r="B49" s="86"/>
      <c r="C49" s="1000"/>
      <c r="D49" s="1038"/>
      <c r="E49" s="1037"/>
      <c r="F49" s="1039"/>
      <c r="G49" s="1037"/>
      <c r="H49" s="1250"/>
      <c r="I49" s="1039"/>
      <c r="J49" s="1039"/>
      <c r="K49" s="1039"/>
      <c r="L49" s="1039"/>
      <c r="M49" s="1039"/>
      <c r="N49" s="1039"/>
      <c r="O49" s="1039"/>
      <c r="P49" s="1076"/>
      <c r="Q49" s="88"/>
      <c r="R49" s="476"/>
      <c r="S49" s="476"/>
    </row>
    <row r="50" spans="2:19" ht="13.15" customHeight="1" x14ac:dyDescent="0.2">
      <c r="B50" s="86"/>
      <c r="C50" s="1000"/>
      <c r="D50" s="1075"/>
      <c r="E50" s="1000"/>
      <c r="F50" s="1076"/>
      <c r="G50" s="1000"/>
      <c r="H50" s="1256"/>
      <c r="I50" s="1076"/>
      <c r="J50" s="1076"/>
      <c r="K50" s="1076"/>
      <c r="L50" s="1076"/>
      <c r="M50" s="1076"/>
      <c r="N50" s="1076"/>
      <c r="O50" s="1076"/>
      <c r="P50" s="1076"/>
      <c r="Q50" s="88"/>
      <c r="R50" s="476"/>
      <c r="S50" s="476"/>
    </row>
    <row r="51" spans="2:19" ht="13.15" customHeight="1" x14ac:dyDescent="0.2">
      <c r="B51" s="86"/>
      <c r="C51" s="1000"/>
      <c r="D51" s="1075" t="s">
        <v>107</v>
      </c>
      <c r="E51" s="1037"/>
      <c r="F51" s="1039"/>
      <c r="G51" s="1037"/>
      <c r="H51" s="1250"/>
      <c r="I51" s="1039"/>
      <c r="J51" s="1039"/>
      <c r="K51" s="1039"/>
      <c r="L51" s="1039"/>
      <c r="M51" s="1039"/>
      <c r="N51" s="1039"/>
      <c r="O51" s="1039"/>
      <c r="P51" s="1076"/>
      <c r="Q51" s="88"/>
      <c r="R51" s="476"/>
      <c r="S51" s="476"/>
    </row>
    <row r="52" spans="2:19" ht="13.15" customHeight="1" x14ac:dyDescent="0.2">
      <c r="B52" s="86"/>
      <c r="C52" s="1000"/>
      <c r="D52" s="1260" t="s">
        <v>237</v>
      </c>
      <c r="E52" s="1000"/>
      <c r="F52" s="1076"/>
      <c r="G52" s="1000"/>
      <c r="H52" s="1262">
        <v>0</v>
      </c>
      <c r="I52" s="1253">
        <f t="shared" ref="I52:L54" si="21">H52</f>
        <v>0</v>
      </c>
      <c r="J52" s="1253">
        <f t="shared" si="21"/>
        <v>0</v>
      </c>
      <c r="K52" s="1253">
        <f t="shared" si="21"/>
        <v>0</v>
      </c>
      <c r="L52" s="1253">
        <f t="shared" si="21"/>
        <v>0</v>
      </c>
      <c r="M52" s="1253">
        <f t="shared" ref="M52:O54" si="22">L52</f>
        <v>0</v>
      </c>
      <c r="N52" s="1253">
        <f t="shared" si="22"/>
        <v>0</v>
      </c>
      <c r="O52" s="1253">
        <f t="shared" si="22"/>
        <v>0</v>
      </c>
      <c r="P52" s="1076"/>
      <c r="Q52" s="88"/>
      <c r="R52" s="476"/>
      <c r="S52" s="476"/>
    </row>
    <row r="53" spans="2:19" ht="13.15" customHeight="1" x14ac:dyDescent="0.2">
      <c r="B53" s="86"/>
      <c r="C53" s="1000"/>
      <c r="D53" s="1260"/>
      <c r="E53" s="1000"/>
      <c r="F53" s="1076"/>
      <c r="G53" s="1000"/>
      <c r="H53" s="1262">
        <v>0</v>
      </c>
      <c r="I53" s="1253">
        <f t="shared" si="21"/>
        <v>0</v>
      </c>
      <c r="J53" s="1253">
        <f t="shared" si="21"/>
        <v>0</v>
      </c>
      <c r="K53" s="1253">
        <f t="shared" si="21"/>
        <v>0</v>
      </c>
      <c r="L53" s="1253">
        <f t="shared" si="21"/>
        <v>0</v>
      </c>
      <c r="M53" s="1253">
        <f t="shared" si="22"/>
        <v>0</v>
      </c>
      <c r="N53" s="1253">
        <f t="shared" si="22"/>
        <v>0</v>
      </c>
      <c r="O53" s="1253">
        <f t="shared" si="22"/>
        <v>0</v>
      </c>
      <c r="P53" s="1076"/>
      <c r="Q53" s="88"/>
      <c r="R53" s="476"/>
      <c r="S53" s="476"/>
    </row>
    <row r="54" spans="2:19" ht="13.15" customHeight="1" x14ac:dyDescent="0.2">
      <c r="B54" s="86"/>
      <c r="C54" s="1000"/>
      <c r="D54" s="1260"/>
      <c r="E54" s="1000"/>
      <c r="F54" s="1076"/>
      <c r="G54" s="1000"/>
      <c r="H54" s="1262">
        <v>0</v>
      </c>
      <c r="I54" s="1253">
        <f t="shared" si="21"/>
        <v>0</v>
      </c>
      <c r="J54" s="1253">
        <f t="shared" si="21"/>
        <v>0</v>
      </c>
      <c r="K54" s="1253">
        <f t="shared" si="21"/>
        <v>0</v>
      </c>
      <c r="L54" s="1253">
        <f t="shared" si="21"/>
        <v>0</v>
      </c>
      <c r="M54" s="1253">
        <f t="shared" si="22"/>
        <v>0</v>
      </c>
      <c r="N54" s="1253">
        <f t="shared" si="22"/>
        <v>0</v>
      </c>
      <c r="O54" s="1253">
        <f t="shared" si="22"/>
        <v>0</v>
      </c>
      <c r="P54" s="1076"/>
      <c r="Q54" s="88"/>
      <c r="R54" s="476"/>
      <c r="S54" s="476"/>
    </row>
    <row r="55" spans="2:19" ht="13.15" customHeight="1" x14ac:dyDescent="0.2">
      <c r="B55" s="86"/>
      <c r="C55" s="1000"/>
      <c r="D55" s="1075"/>
      <c r="E55" s="1000"/>
      <c r="F55" s="1076"/>
      <c r="G55" s="1000"/>
      <c r="H55" s="1255">
        <f t="shared" ref="H55:N55" si="23">SUM(H52:H54)</f>
        <v>0</v>
      </c>
      <c r="I55" s="1255">
        <f t="shared" si="23"/>
        <v>0</v>
      </c>
      <c r="J55" s="1255">
        <f t="shared" si="23"/>
        <v>0</v>
      </c>
      <c r="K55" s="1255">
        <f t="shared" si="23"/>
        <v>0</v>
      </c>
      <c r="L55" s="1255">
        <f t="shared" si="23"/>
        <v>0</v>
      </c>
      <c r="M55" s="1255">
        <f t="shared" si="23"/>
        <v>0</v>
      </c>
      <c r="N55" s="1255">
        <f t="shared" si="23"/>
        <v>0</v>
      </c>
      <c r="O55" s="1255">
        <f t="shared" ref="O55" si="24">SUM(O52:O54)</f>
        <v>0</v>
      </c>
      <c r="P55" s="1076"/>
      <c r="Q55" s="88"/>
      <c r="R55" s="476"/>
      <c r="S55" s="476"/>
    </row>
    <row r="56" spans="2:19" ht="13.15" customHeight="1" x14ac:dyDescent="0.2">
      <c r="B56" s="86"/>
      <c r="C56" s="1000"/>
      <c r="D56" s="1038"/>
      <c r="E56" s="1037"/>
      <c r="F56" s="1039"/>
      <c r="G56" s="1037"/>
      <c r="H56" s="1250"/>
      <c r="I56" s="1039"/>
      <c r="J56" s="1039"/>
      <c r="K56" s="1039"/>
      <c r="L56" s="1039"/>
      <c r="M56" s="1039"/>
      <c r="N56" s="1039"/>
      <c r="O56" s="1039"/>
      <c r="P56" s="1076"/>
      <c r="Q56" s="88"/>
      <c r="R56" s="476"/>
      <c r="S56" s="476"/>
    </row>
    <row r="57" spans="2:19" ht="13.15" customHeight="1" x14ac:dyDescent="0.2">
      <c r="B57" s="86"/>
      <c r="C57" s="1000"/>
      <c r="D57" s="1075"/>
      <c r="E57" s="1000"/>
      <c r="F57" s="1076"/>
      <c r="G57" s="1000"/>
      <c r="H57" s="1256"/>
      <c r="I57" s="1076"/>
      <c r="J57" s="1076"/>
      <c r="K57" s="1076"/>
      <c r="L57" s="1076"/>
      <c r="M57" s="1076"/>
      <c r="N57" s="1076"/>
      <c r="O57" s="1076"/>
      <c r="P57" s="1076"/>
      <c r="Q57" s="88"/>
      <c r="R57" s="476"/>
      <c r="S57" s="476"/>
    </row>
    <row r="58" spans="2:19" ht="13.15" customHeight="1" x14ac:dyDescent="0.2">
      <c r="B58" s="86"/>
      <c r="C58" s="1000"/>
      <c r="D58" s="1075" t="s">
        <v>268</v>
      </c>
      <c r="E58" s="1000"/>
      <c r="F58" s="1076"/>
      <c r="G58" s="1000"/>
      <c r="H58" s="1255">
        <f t="shared" ref="H58:N58" si="25">H48+H55</f>
        <v>0</v>
      </c>
      <c r="I58" s="1255">
        <f t="shared" si="25"/>
        <v>0</v>
      </c>
      <c r="J58" s="1255">
        <f t="shared" si="25"/>
        <v>0</v>
      </c>
      <c r="K58" s="1255">
        <f t="shared" si="25"/>
        <v>0</v>
      </c>
      <c r="L58" s="1255">
        <f t="shared" si="25"/>
        <v>0</v>
      </c>
      <c r="M58" s="1255">
        <f t="shared" si="25"/>
        <v>0</v>
      </c>
      <c r="N58" s="1255">
        <f t="shared" si="25"/>
        <v>0</v>
      </c>
      <c r="O58" s="1255">
        <f t="shared" ref="O58" si="26">O48+O55</f>
        <v>0</v>
      </c>
      <c r="P58" s="1247"/>
      <c r="Q58" s="88"/>
      <c r="R58" s="476"/>
      <c r="S58" s="476"/>
    </row>
    <row r="59" spans="2:19" ht="13.15" customHeight="1" x14ac:dyDescent="0.2">
      <c r="B59" s="86"/>
      <c r="C59" s="1000"/>
      <c r="D59" s="1075"/>
      <c r="E59" s="1000"/>
      <c r="F59" s="1076"/>
      <c r="G59" s="1000"/>
      <c r="H59" s="1257"/>
      <c r="I59" s="1076"/>
      <c r="J59" s="1076"/>
      <c r="K59" s="1076"/>
      <c r="L59" s="1076"/>
      <c r="M59" s="1076"/>
      <c r="N59" s="1076"/>
      <c r="O59" s="1076"/>
      <c r="P59" s="1000"/>
      <c r="Q59" s="88"/>
      <c r="R59" s="476"/>
      <c r="S59" s="476"/>
    </row>
    <row r="60" spans="2:19" ht="13.15" customHeight="1" x14ac:dyDescent="0.2">
      <c r="B60" s="86"/>
      <c r="C60" s="87"/>
      <c r="D60" s="87"/>
      <c r="E60" s="87"/>
      <c r="F60" s="80"/>
      <c r="G60" s="87"/>
      <c r="H60" s="87"/>
      <c r="I60" s="80"/>
      <c r="J60" s="80"/>
      <c r="K60" s="80"/>
      <c r="L60" s="80"/>
      <c r="M60" s="80"/>
      <c r="N60" s="80"/>
      <c r="O60" s="80"/>
      <c r="P60" s="87"/>
      <c r="Q60" s="88"/>
      <c r="R60" s="476"/>
      <c r="S60" s="476"/>
    </row>
    <row r="61" spans="2:19" ht="13.15" customHeight="1" x14ac:dyDescent="0.2">
      <c r="B61" s="86"/>
      <c r="C61" s="1000"/>
      <c r="D61" s="1075"/>
      <c r="E61" s="1000"/>
      <c r="F61" s="1076"/>
      <c r="G61" s="1000"/>
      <c r="H61" s="1000"/>
      <c r="I61" s="1076"/>
      <c r="J61" s="1076"/>
      <c r="K61" s="1076"/>
      <c r="L61" s="1076"/>
      <c r="M61" s="1076"/>
      <c r="N61" s="1076"/>
      <c r="O61" s="1076"/>
      <c r="P61" s="1000"/>
      <c r="Q61" s="88"/>
      <c r="R61" s="476"/>
      <c r="S61" s="476"/>
    </row>
    <row r="62" spans="2:19" ht="13.15" customHeight="1" x14ac:dyDescent="0.2">
      <c r="B62" s="86"/>
      <c r="C62" s="1000"/>
      <c r="D62" s="1049" t="s">
        <v>325</v>
      </c>
      <c r="E62" s="1000"/>
      <c r="F62" s="1076"/>
      <c r="G62" s="1000"/>
      <c r="H62" s="1000"/>
      <c r="I62" s="1076"/>
      <c r="J62" s="1076"/>
      <c r="K62" s="1076"/>
      <c r="L62" s="1076"/>
      <c r="M62" s="1076"/>
      <c r="N62" s="1076"/>
      <c r="O62" s="1076"/>
      <c r="P62" s="1000"/>
      <c r="Q62" s="88"/>
      <c r="R62" s="476"/>
      <c r="S62" s="476"/>
    </row>
    <row r="63" spans="2:19" ht="13.15" customHeight="1" x14ac:dyDescent="0.2">
      <c r="B63" s="86"/>
      <c r="C63" s="1000"/>
      <c r="D63" s="1075"/>
      <c r="E63" s="1000"/>
      <c r="F63" s="1076"/>
      <c r="G63" s="1000"/>
      <c r="H63" s="1000"/>
      <c r="I63" s="1076"/>
      <c r="J63" s="1076"/>
      <c r="K63" s="1076"/>
      <c r="L63" s="1076"/>
      <c r="M63" s="1076"/>
      <c r="N63" s="1076"/>
      <c r="O63" s="1076"/>
      <c r="P63" s="1000"/>
      <c r="Q63" s="88"/>
      <c r="R63" s="476"/>
      <c r="S63" s="476"/>
    </row>
    <row r="64" spans="2:19" ht="13.15" customHeight="1" x14ac:dyDescent="0.2">
      <c r="B64" s="86"/>
      <c r="C64" s="1000"/>
      <c r="D64" s="1075" t="s">
        <v>106</v>
      </c>
      <c r="E64" s="1000"/>
      <c r="F64" s="1000"/>
      <c r="G64" s="1000"/>
      <c r="H64" s="1000"/>
      <c r="I64" s="1000"/>
      <c r="J64" s="1000"/>
      <c r="K64" s="1000"/>
      <c r="L64" s="1000"/>
      <c r="M64" s="1000"/>
      <c r="N64" s="1000"/>
      <c r="O64" s="1000"/>
      <c r="P64" s="1245"/>
      <c r="Q64" s="88"/>
      <c r="R64" s="476"/>
      <c r="S64" s="476"/>
    </row>
    <row r="65" spans="2:19" ht="13.15" customHeight="1" x14ac:dyDescent="0.2">
      <c r="B65" s="86"/>
      <c r="C65" s="1000"/>
      <c r="D65" s="1000" t="s">
        <v>433</v>
      </c>
      <c r="E65" s="1037"/>
      <c r="F65" s="1039"/>
      <c r="G65" s="1037"/>
      <c r="H65" s="1259">
        <f>ROUND(+'geg LO'!F100*(tab!$C$55+tab!$C$56)+'geg LO'!F101*tab!$C$56,0)*5/12</f>
        <v>0</v>
      </c>
      <c r="I65" s="1259">
        <f>ROUND(+'geg LO'!G100*(tab!$D$55+tab!$D$56)+'geg LO'!G101*tab!$D$56,0)</f>
        <v>0</v>
      </c>
      <c r="J65" s="1259">
        <f>ROUND(+'geg LO'!H100*(tab!$D$55+tab!$D$56)+'geg LO'!H101*tab!$D$56,0)</f>
        <v>0</v>
      </c>
      <c r="K65" s="1259">
        <f>ROUND(+'geg LO'!I100*(tab!$D$55+tab!$D$56)+'geg LO'!I101*tab!$D$56,0)</f>
        <v>0</v>
      </c>
      <c r="L65" s="1259">
        <f>ROUND(+'geg LO'!J100*(tab!$D$55+tab!$D$56)+'geg LO'!J101*tab!$D$56,0)</f>
        <v>0</v>
      </c>
      <c r="M65" s="1259">
        <f>ROUND(+'geg LO'!K100*(tab!$D$55+tab!$D$56)+'geg LO'!K101*tab!$D$56,0)</f>
        <v>0</v>
      </c>
      <c r="N65" s="1259">
        <f>ROUND(+'geg LO'!L100*(tab!$D$55+tab!$D$56)+'geg LO'!L101*tab!$D$56,0)</f>
        <v>0</v>
      </c>
      <c r="O65" s="1259">
        <f>ROUND(+'geg LO'!M100*(tab!$D$55+tab!$D$56)+'geg LO'!M101*tab!$D$56,0)</f>
        <v>0</v>
      </c>
      <c r="P65" s="1245"/>
      <c r="Q65" s="88"/>
      <c r="R65" s="476"/>
      <c r="S65" s="476"/>
    </row>
    <row r="66" spans="2:19" ht="13.15" customHeight="1" x14ac:dyDescent="0.2">
      <c r="B66" s="86"/>
      <c r="C66" s="1000"/>
      <c r="D66" s="1000" t="s">
        <v>326</v>
      </c>
      <c r="E66" s="1000"/>
      <c r="F66" s="1076"/>
      <c r="G66" s="1000"/>
      <c r="H66" s="1262">
        <v>0</v>
      </c>
      <c r="I66" s="1262">
        <f>H66</f>
        <v>0</v>
      </c>
      <c r="J66" s="1262">
        <f>I66</f>
        <v>0</v>
      </c>
      <c r="K66" s="1262">
        <f>J66</f>
        <v>0</v>
      </c>
      <c r="L66" s="1262">
        <f>K66</f>
        <v>0</v>
      </c>
      <c r="M66" s="1262">
        <f t="shared" ref="M66:O71" si="27">L66</f>
        <v>0</v>
      </c>
      <c r="N66" s="1262">
        <f t="shared" si="27"/>
        <v>0</v>
      </c>
      <c r="O66" s="1262">
        <f t="shared" si="27"/>
        <v>0</v>
      </c>
      <c r="P66" s="1245"/>
      <c r="Q66" s="88"/>
      <c r="R66" s="476"/>
      <c r="S66" s="476"/>
    </row>
    <row r="67" spans="2:19" ht="13.15" customHeight="1" x14ac:dyDescent="0.2">
      <c r="B67" s="86"/>
      <c r="C67" s="1000"/>
      <c r="D67" s="1260" t="s">
        <v>327</v>
      </c>
      <c r="E67" s="1000"/>
      <c r="F67" s="1076"/>
      <c r="G67" s="1000"/>
      <c r="H67" s="1262">
        <v>0</v>
      </c>
      <c r="I67" s="1262">
        <f t="shared" ref="I67:L71" si="28">H67</f>
        <v>0</v>
      </c>
      <c r="J67" s="1262">
        <f t="shared" si="28"/>
        <v>0</v>
      </c>
      <c r="K67" s="1262">
        <f t="shared" si="28"/>
        <v>0</v>
      </c>
      <c r="L67" s="1262">
        <f t="shared" si="28"/>
        <v>0</v>
      </c>
      <c r="M67" s="1262">
        <f t="shared" si="27"/>
        <v>0</v>
      </c>
      <c r="N67" s="1262">
        <f t="shared" si="27"/>
        <v>0</v>
      </c>
      <c r="O67" s="1262">
        <f t="shared" si="27"/>
        <v>0</v>
      </c>
      <c r="P67" s="1245"/>
      <c r="Q67" s="88"/>
      <c r="R67" s="476"/>
      <c r="S67" s="476"/>
    </row>
    <row r="68" spans="2:19" ht="13.15" customHeight="1" x14ac:dyDescent="0.2">
      <c r="B68" s="86"/>
      <c r="C68" s="1000"/>
      <c r="D68" s="1260"/>
      <c r="E68" s="1000"/>
      <c r="F68" s="1076"/>
      <c r="G68" s="1000"/>
      <c r="H68" s="1262">
        <v>0</v>
      </c>
      <c r="I68" s="1262">
        <f t="shared" si="28"/>
        <v>0</v>
      </c>
      <c r="J68" s="1262">
        <f t="shared" si="28"/>
        <v>0</v>
      </c>
      <c r="K68" s="1262">
        <f t="shared" si="28"/>
        <v>0</v>
      </c>
      <c r="L68" s="1262">
        <f t="shared" si="28"/>
        <v>0</v>
      </c>
      <c r="M68" s="1262">
        <f t="shared" si="27"/>
        <v>0</v>
      </c>
      <c r="N68" s="1262">
        <f t="shared" si="27"/>
        <v>0</v>
      </c>
      <c r="O68" s="1262">
        <f t="shared" si="27"/>
        <v>0</v>
      </c>
      <c r="P68" s="1245"/>
      <c r="Q68" s="88"/>
      <c r="R68" s="476"/>
      <c r="S68" s="476"/>
    </row>
    <row r="69" spans="2:19" ht="13.15" customHeight="1" x14ac:dyDescent="0.2">
      <c r="B69" s="86"/>
      <c r="C69" s="1000"/>
      <c r="D69" s="1260"/>
      <c r="E69" s="1000"/>
      <c r="F69" s="1076"/>
      <c r="G69" s="1000"/>
      <c r="H69" s="1262">
        <v>0</v>
      </c>
      <c r="I69" s="1262">
        <f t="shared" si="28"/>
        <v>0</v>
      </c>
      <c r="J69" s="1262">
        <f t="shared" si="28"/>
        <v>0</v>
      </c>
      <c r="K69" s="1262">
        <f t="shared" si="28"/>
        <v>0</v>
      </c>
      <c r="L69" s="1262">
        <f t="shared" si="28"/>
        <v>0</v>
      </c>
      <c r="M69" s="1262">
        <f t="shared" si="27"/>
        <v>0</v>
      </c>
      <c r="N69" s="1262">
        <f t="shared" si="27"/>
        <v>0</v>
      </c>
      <c r="O69" s="1262">
        <f t="shared" si="27"/>
        <v>0</v>
      </c>
      <c r="P69" s="1245"/>
      <c r="Q69" s="88"/>
      <c r="R69" s="476"/>
      <c r="S69" s="476"/>
    </row>
    <row r="70" spans="2:19" ht="13.15" customHeight="1" x14ac:dyDescent="0.2">
      <c r="B70" s="86"/>
      <c r="C70" s="1000"/>
      <c r="D70" s="1260"/>
      <c r="E70" s="1000"/>
      <c r="F70" s="1076"/>
      <c r="G70" s="1000"/>
      <c r="H70" s="1262">
        <v>0</v>
      </c>
      <c r="I70" s="1262">
        <f t="shared" si="28"/>
        <v>0</v>
      </c>
      <c r="J70" s="1262">
        <f t="shared" si="28"/>
        <v>0</v>
      </c>
      <c r="K70" s="1262">
        <f t="shared" si="28"/>
        <v>0</v>
      </c>
      <c r="L70" s="1262">
        <f t="shared" si="28"/>
        <v>0</v>
      </c>
      <c r="M70" s="1262">
        <f t="shared" si="27"/>
        <v>0</v>
      </c>
      <c r="N70" s="1262">
        <f t="shared" si="27"/>
        <v>0</v>
      </c>
      <c r="O70" s="1262">
        <f t="shared" si="27"/>
        <v>0</v>
      </c>
      <c r="P70" s="1245"/>
      <c r="Q70" s="88"/>
      <c r="R70" s="476"/>
      <c r="S70" s="476"/>
    </row>
    <row r="71" spans="2:19" ht="13.15" customHeight="1" x14ac:dyDescent="0.2">
      <c r="B71" s="86"/>
      <c r="C71" s="1000"/>
      <c r="D71" s="1260"/>
      <c r="E71" s="1000"/>
      <c r="F71" s="1076"/>
      <c r="G71" s="1000"/>
      <c r="H71" s="1262">
        <v>0</v>
      </c>
      <c r="I71" s="1262">
        <f t="shared" si="28"/>
        <v>0</v>
      </c>
      <c r="J71" s="1262">
        <f t="shared" si="28"/>
        <v>0</v>
      </c>
      <c r="K71" s="1262">
        <f t="shared" si="28"/>
        <v>0</v>
      </c>
      <c r="L71" s="1262">
        <f t="shared" si="28"/>
        <v>0</v>
      </c>
      <c r="M71" s="1262">
        <f t="shared" si="27"/>
        <v>0</v>
      </c>
      <c r="N71" s="1262">
        <f t="shared" si="27"/>
        <v>0</v>
      </c>
      <c r="O71" s="1262">
        <f t="shared" si="27"/>
        <v>0</v>
      </c>
      <c r="P71" s="1245"/>
      <c r="Q71" s="88"/>
      <c r="R71" s="476"/>
      <c r="S71" s="476"/>
    </row>
    <row r="72" spans="2:19" ht="13.15" customHeight="1" x14ac:dyDescent="0.2">
      <c r="B72" s="86"/>
      <c r="C72" s="1000"/>
      <c r="D72" s="1075"/>
      <c r="E72" s="1000"/>
      <c r="F72" s="1076"/>
      <c r="G72" s="1000"/>
      <c r="H72" s="1255">
        <f t="shared" ref="H72:N72" si="29">SUM(H65:H71)</f>
        <v>0</v>
      </c>
      <c r="I72" s="1255">
        <f t="shared" si="29"/>
        <v>0</v>
      </c>
      <c r="J72" s="1255">
        <f t="shared" si="29"/>
        <v>0</v>
      </c>
      <c r="K72" s="1255">
        <f t="shared" si="29"/>
        <v>0</v>
      </c>
      <c r="L72" s="1255">
        <f t="shared" si="29"/>
        <v>0</v>
      </c>
      <c r="M72" s="1255">
        <f t="shared" si="29"/>
        <v>0</v>
      </c>
      <c r="N72" s="1255">
        <f t="shared" si="29"/>
        <v>0</v>
      </c>
      <c r="O72" s="1255">
        <f t="shared" ref="O72" si="30">SUM(O65:O71)</f>
        <v>0</v>
      </c>
      <c r="P72" s="1000"/>
      <c r="Q72" s="88"/>
      <c r="R72" s="476"/>
      <c r="S72" s="476"/>
    </row>
    <row r="73" spans="2:19" ht="13.15" customHeight="1" x14ac:dyDescent="0.2">
      <c r="B73" s="86"/>
      <c r="C73" s="1000"/>
      <c r="D73" s="1038"/>
      <c r="E73" s="1037"/>
      <c r="F73" s="1039"/>
      <c r="G73" s="1037"/>
      <c r="H73" s="1250"/>
      <c r="I73" s="1039"/>
      <c r="J73" s="1039"/>
      <c r="K73" s="1039"/>
      <c r="L73" s="1039"/>
      <c r="M73" s="1039"/>
      <c r="N73" s="1039"/>
      <c r="O73" s="1039"/>
      <c r="P73" s="1000"/>
      <c r="Q73" s="88"/>
      <c r="R73" s="476"/>
      <c r="S73" s="476"/>
    </row>
    <row r="74" spans="2:19" ht="13.15" customHeight="1" x14ac:dyDescent="0.2">
      <c r="B74" s="86"/>
      <c r="C74" s="1000"/>
      <c r="D74" s="1075"/>
      <c r="E74" s="1000"/>
      <c r="F74" s="1076"/>
      <c r="G74" s="1000"/>
      <c r="H74" s="1256"/>
      <c r="I74" s="1076"/>
      <c r="J74" s="1076"/>
      <c r="K74" s="1076"/>
      <c r="L74" s="1076"/>
      <c r="M74" s="1076"/>
      <c r="N74" s="1076"/>
      <c r="O74" s="1076"/>
      <c r="P74" s="1000"/>
      <c r="Q74" s="88"/>
      <c r="R74" s="476"/>
      <c r="S74" s="476"/>
    </row>
    <row r="75" spans="2:19" ht="13.15" customHeight="1" x14ac:dyDescent="0.2">
      <c r="B75" s="86"/>
      <c r="C75" s="1000"/>
      <c r="D75" s="1075" t="s">
        <v>107</v>
      </c>
      <c r="E75" s="1000"/>
      <c r="F75" s="1076"/>
      <c r="G75" s="1000"/>
      <c r="H75" s="1263"/>
      <c r="I75" s="1264"/>
      <c r="J75" s="1264"/>
      <c r="K75" s="1264"/>
      <c r="L75" s="1264"/>
      <c r="M75" s="1264"/>
      <c r="N75" s="1264"/>
      <c r="O75" s="1264"/>
      <c r="P75" s="1000"/>
      <c r="Q75" s="88"/>
      <c r="R75" s="476"/>
      <c r="S75" s="476"/>
    </row>
    <row r="76" spans="2:19" ht="13.15" customHeight="1" x14ac:dyDescent="0.2">
      <c r="B76" s="86"/>
      <c r="C76" s="1000"/>
      <c r="D76" s="1037" t="s">
        <v>326</v>
      </c>
      <c r="E76" s="1000"/>
      <c r="F76" s="1076"/>
      <c r="G76" s="1000"/>
      <c r="H76" s="1262">
        <v>0</v>
      </c>
      <c r="I76" s="1262">
        <f t="shared" ref="I76:O76" si="31">+H76</f>
        <v>0</v>
      </c>
      <c r="J76" s="1262">
        <f t="shared" si="31"/>
        <v>0</v>
      </c>
      <c r="K76" s="1262">
        <f t="shared" si="31"/>
        <v>0</v>
      </c>
      <c r="L76" s="1262">
        <f t="shared" si="31"/>
        <v>0</v>
      </c>
      <c r="M76" s="1262">
        <f t="shared" si="31"/>
        <v>0</v>
      </c>
      <c r="N76" s="1262">
        <f t="shared" si="31"/>
        <v>0</v>
      </c>
      <c r="O76" s="1262">
        <f t="shared" si="31"/>
        <v>0</v>
      </c>
      <c r="P76" s="1000"/>
      <c r="Q76" s="88"/>
      <c r="R76" s="476"/>
      <c r="S76" s="476"/>
    </row>
    <row r="77" spans="2:19" ht="13.15" customHeight="1" x14ac:dyDescent="0.2">
      <c r="B77" s="86"/>
      <c r="C77" s="1000"/>
      <c r="D77" s="1260" t="s">
        <v>327</v>
      </c>
      <c r="E77" s="1000"/>
      <c r="F77" s="1076"/>
      <c r="G77" s="1000"/>
      <c r="H77" s="1262">
        <v>0</v>
      </c>
      <c r="I77" s="1262">
        <f t="shared" ref="I77:J81" si="32">H77</f>
        <v>0</v>
      </c>
      <c r="J77" s="1262">
        <f t="shared" si="32"/>
        <v>0</v>
      </c>
      <c r="K77" s="1262">
        <f t="shared" ref="K77:L81" si="33">J77</f>
        <v>0</v>
      </c>
      <c r="L77" s="1262">
        <f t="shared" si="33"/>
        <v>0</v>
      </c>
      <c r="M77" s="1262">
        <f t="shared" ref="M77:O81" si="34">L77</f>
        <v>0</v>
      </c>
      <c r="N77" s="1262">
        <f t="shared" si="34"/>
        <v>0</v>
      </c>
      <c r="O77" s="1262">
        <f t="shared" si="34"/>
        <v>0</v>
      </c>
      <c r="P77" s="1000"/>
      <c r="Q77" s="88"/>
      <c r="R77" s="476"/>
      <c r="S77" s="476"/>
    </row>
    <row r="78" spans="2:19" ht="13.15" customHeight="1" x14ac:dyDescent="0.2">
      <c r="B78" s="86"/>
      <c r="C78" s="1000"/>
      <c r="D78" s="1260"/>
      <c r="E78" s="1000"/>
      <c r="F78" s="1076"/>
      <c r="G78" s="1000"/>
      <c r="H78" s="1262">
        <v>0</v>
      </c>
      <c r="I78" s="1262">
        <f t="shared" si="32"/>
        <v>0</v>
      </c>
      <c r="J78" s="1262">
        <f t="shared" si="32"/>
        <v>0</v>
      </c>
      <c r="K78" s="1262">
        <f t="shared" si="33"/>
        <v>0</v>
      </c>
      <c r="L78" s="1262">
        <f t="shared" si="33"/>
        <v>0</v>
      </c>
      <c r="M78" s="1262">
        <f t="shared" si="34"/>
        <v>0</v>
      </c>
      <c r="N78" s="1262">
        <f t="shared" si="34"/>
        <v>0</v>
      </c>
      <c r="O78" s="1262">
        <f t="shared" si="34"/>
        <v>0</v>
      </c>
      <c r="P78" s="1000"/>
      <c r="Q78" s="88"/>
      <c r="R78" s="476"/>
      <c r="S78" s="476"/>
    </row>
    <row r="79" spans="2:19" ht="13.15" customHeight="1" x14ac:dyDescent="0.2">
      <c r="B79" s="86"/>
      <c r="C79" s="1000"/>
      <c r="D79" s="1260"/>
      <c r="E79" s="1000"/>
      <c r="F79" s="1076"/>
      <c r="G79" s="1000"/>
      <c r="H79" s="1262">
        <v>0</v>
      </c>
      <c r="I79" s="1262">
        <f t="shared" si="32"/>
        <v>0</v>
      </c>
      <c r="J79" s="1262">
        <f t="shared" si="32"/>
        <v>0</v>
      </c>
      <c r="K79" s="1262">
        <f t="shared" si="33"/>
        <v>0</v>
      </c>
      <c r="L79" s="1262">
        <f t="shared" si="33"/>
        <v>0</v>
      </c>
      <c r="M79" s="1262">
        <f t="shared" si="34"/>
        <v>0</v>
      </c>
      <c r="N79" s="1262">
        <f t="shared" si="34"/>
        <v>0</v>
      </c>
      <c r="O79" s="1262">
        <f t="shared" si="34"/>
        <v>0</v>
      </c>
      <c r="P79" s="1000"/>
      <c r="Q79" s="88"/>
      <c r="R79" s="476"/>
      <c r="S79" s="476"/>
    </row>
    <row r="80" spans="2:19" ht="13.15" customHeight="1" x14ac:dyDescent="0.2">
      <c r="B80" s="86"/>
      <c r="C80" s="1000"/>
      <c r="D80" s="1260"/>
      <c r="E80" s="1000"/>
      <c r="F80" s="1076"/>
      <c r="G80" s="1000"/>
      <c r="H80" s="1262">
        <v>0</v>
      </c>
      <c r="I80" s="1262">
        <f t="shared" si="32"/>
        <v>0</v>
      </c>
      <c r="J80" s="1262">
        <f t="shared" si="32"/>
        <v>0</v>
      </c>
      <c r="K80" s="1262">
        <f t="shared" si="33"/>
        <v>0</v>
      </c>
      <c r="L80" s="1262">
        <f t="shared" si="33"/>
        <v>0</v>
      </c>
      <c r="M80" s="1262">
        <f t="shared" si="34"/>
        <v>0</v>
      </c>
      <c r="N80" s="1262">
        <f t="shared" si="34"/>
        <v>0</v>
      </c>
      <c r="O80" s="1262">
        <f t="shared" si="34"/>
        <v>0</v>
      </c>
      <c r="P80" s="1000"/>
      <c r="Q80" s="88"/>
      <c r="R80" s="476"/>
      <c r="S80" s="476"/>
    </row>
    <row r="81" spans="2:19" ht="13.15" customHeight="1" x14ac:dyDescent="0.2">
      <c r="B81" s="86"/>
      <c r="C81" s="1000"/>
      <c r="D81" s="1260"/>
      <c r="E81" s="1000"/>
      <c r="F81" s="1076"/>
      <c r="G81" s="1000"/>
      <c r="H81" s="1262">
        <v>0</v>
      </c>
      <c r="I81" s="1262">
        <f t="shared" si="32"/>
        <v>0</v>
      </c>
      <c r="J81" s="1262">
        <f t="shared" si="32"/>
        <v>0</v>
      </c>
      <c r="K81" s="1262">
        <f t="shared" si="33"/>
        <v>0</v>
      </c>
      <c r="L81" s="1262">
        <f t="shared" si="33"/>
        <v>0</v>
      </c>
      <c r="M81" s="1262">
        <f t="shared" si="34"/>
        <v>0</v>
      </c>
      <c r="N81" s="1262">
        <f t="shared" si="34"/>
        <v>0</v>
      </c>
      <c r="O81" s="1262">
        <f t="shared" si="34"/>
        <v>0</v>
      </c>
      <c r="P81" s="1000"/>
      <c r="Q81" s="88"/>
      <c r="R81" s="476"/>
      <c r="S81" s="476"/>
    </row>
    <row r="82" spans="2:19" ht="13.15" customHeight="1" x14ac:dyDescent="0.2">
      <c r="B82" s="86"/>
      <c r="C82" s="1000"/>
      <c r="D82" s="1075" t="s">
        <v>268</v>
      </c>
      <c r="E82" s="1000"/>
      <c r="F82" s="1076"/>
      <c r="G82" s="1000"/>
      <c r="H82" s="1255">
        <f t="shared" ref="H82:N82" si="35">SUM(H76:H81)</f>
        <v>0</v>
      </c>
      <c r="I82" s="1255">
        <f t="shared" si="35"/>
        <v>0</v>
      </c>
      <c r="J82" s="1255">
        <f t="shared" si="35"/>
        <v>0</v>
      </c>
      <c r="K82" s="1255">
        <f t="shared" si="35"/>
        <v>0</v>
      </c>
      <c r="L82" s="1255">
        <f t="shared" si="35"/>
        <v>0</v>
      </c>
      <c r="M82" s="1255">
        <f t="shared" si="35"/>
        <v>0</v>
      </c>
      <c r="N82" s="1255">
        <f t="shared" si="35"/>
        <v>0</v>
      </c>
      <c r="O82" s="1255">
        <f t="shared" ref="O82" si="36">SUM(O76:O81)</f>
        <v>0</v>
      </c>
      <c r="P82" s="1000"/>
      <c r="Q82" s="88"/>
      <c r="R82" s="476"/>
      <c r="S82" s="476"/>
    </row>
    <row r="83" spans="2:19" ht="13.15" customHeight="1" x14ac:dyDescent="0.2">
      <c r="B83" s="86"/>
      <c r="C83" s="1000"/>
      <c r="D83" s="1038"/>
      <c r="E83" s="1037"/>
      <c r="F83" s="1039"/>
      <c r="G83" s="1037"/>
      <c r="H83" s="1250"/>
      <c r="I83" s="1039"/>
      <c r="J83" s="1039"/>
      <c r="K83" s="1039"/>
      <c r="L83" s="1039"/>
      <c r="M83" s="1039"/>
      <c r="N83" s="1039"/>
      <c r="O83" s="1039"/>
      <c r="P83" s="1000"/>
      <c r="Q83" s="88"/>
      <c r="R83" s="476"/>
      <c r="S83" s="476"/>
    </row>
    <row r="84" spans="2:19" ht="13.15" customHeight="1" x14ac:dyDescent="0.2">
      <c r="B84" s="86"/>
      <c r="C84" s="1000"/>
      <c r="D84" s="1075"/>
      <c r="E84" s="1000"/>
      <c r="F84" s="1076"/>
      <c r="G84" s="1000"/>
      <c r="H84" s="1256"/>
      <c r="I84" s="1076"/>
      <c r="J84" s="1076"/>
      <c r="K84" s="1076"/>
      <c r="L84" s="1076"/>
      <c r="M84" s="1076"/>
      <c r="N84" s="1076"/>
      <c r="O84" s="1076"/>
      <c r="P84" s="1000"/>
      <c r="Q84" s="88"/>
      <c r="R84" s="476"/>
      <c r="S84" s="476"/>
    </row>
    <row r="85" spans="2:19" ht="13.15" customHeight="1" x14ac:dyDescent="0.2">
      <c r="B85" s="86"/>
      <c r="C85" s="1000"/>
      <c r="D85" s="1075" t="s">
        <v>268</v>
      </c>
      <c r="E85" s="1000"/>
      <c r="F85" s="1076"/>
      <c r="G85" s="1000"/>
      <c r="H85" s="1255">
        <f t="shared" ref="H85:N85" si="37">H72+H82</f>
        <v>0</v>
      </c>
      <c r="I85" s="1255">
        <f t="shared" si="37"/>
        <v>0</v>
      </c>
      <c r="J85" s="1255">
        <f t="shared" si="37"/>
        <v>0</v>
      </c>
      <c r="K85" s="1255">
        <f t="shared" si="37"/>
        <v>0</v>
      </c>
      <c r="L85" s="1255">
        <f t="shared" si="37"/>
        <v>0</v>
      </c>
      <c r="M85" s="1255">
        <f t="shared" si="37"/>
        <v>0</v>
      </c>
      <c r="N85" s="1255">
        <f t="shared" si="37"/>
        <v>0</v>
      </c>
      <c r="O85" s="1255">
        <f t="shared" ref="O85" si="38">O72+O82</f>
        <v>0</v>
      </c>
      <c r="P85" s="1000"/>
      <c r="Q85" s="88"/>
      <c r="R85" s="476"/>
      <c r="S85" s="476"/>
    </row>
    <row r="86" spans="2:19" ht="13.15" customHeight="1" x14ac:dyDescent="0.2">
      <c r="B86" s="86"/>
      <c r="C86" s="1000"/>
      <c r="D86" s="1075"/>
      <c r="E86" s="1000"/>
      <c r="F86" s="1076"/>
      <c r="G86" s="1000"/>
      <c r="H86" s="1257"/>
      <c r="I86" s="1076"/>
      <c r="J86" s="1076"/>
      <c r="K86" s="1076"/>
      <c r="L86" s="1076"/>
      <c r="M86" s="1076"/>
      <c r="N86" s="1076"/>
      <c r="O86" s="1076"/>
      <c r="P86" s="1000"/>
      <c r="Q86" s="88"/>
      <c r="R86" s="476"/>
      <c r="S86" s="476"/>
    </row>
    <row r="87" spans="2:19" ht="13.15" customHeight="1" x14ac:dyDescent="0.2">
      <c r="B87" s="86"/>
      <c r="C87" s="1265"/>
      <c r="D87" s="1265"/>
      <c r="E87" s="1265"/>
      <c r="F87" s="1266"/>
      <c r="G87" s="1265"/>
      <c r="H87" s="1265"/>
      <c r="I87" s="1266"/>
      <c r="J87" s="1266"/>
      <c r="K87" s="1266"/>
      <c r="L87" s="1266"/>
      <c r="M87" s="1266"/>
      <c r="N87" s="1266"/>
      <c r="O87" s="1266"/>
      <c r="P87" s="1265"/>
      <c r="Q87" s="88"/>
      <c r="R87" s="476"/>
      <c r="S87" s="476"/>
    </row>
    <row r="88" spans="2:19" ht="13.15" customHeight="1" x14ac:dyDescent="0.2">
      <c r="B88" s="86"/>
      <c r="C88" s="1000"/>
      <c r="D88" s="1075"/>
      <c r="E88" s="1000"/>
      <c r="F88" s="1076"/>
      <c r="G88" s="1000"/>
      <c r="H88" s="1257"/>
      <c r="I88" s="1076"/>
      <c r="J88" s="1076"/>
      <c r="K88" s="1076"/>
      <c r="L88" s="1076"/>
      <c r="M88" s="1076"/>
      <c r="N88" s="1076"/>
      <c r="O88" s="1076"/>
      <c r="P88" s="1000"/>
      <c r="Q88" s="88"/>
      <c r="R88" s="476"/>
      <c r="S88" s="476"/>
    </row>
    <row r="89" spans="2:19" ht="13.15" customHeight="1" x14ac:dyDescent="0.2">
      <c r="B89" s="86"/>
      <c r="C89" s="1000"/>
      <c r="D89" s="1075" t="s">
        <v>337</v>
      </c>
      <c r="E89" s="1000"/>
      <c r="F89" s="1076"/>
      <c r="G89" s="1000"/>
      <c r="H89" s="1255" t="e">
        <f t="shared" ref="H89:N89" si="39">H38+H58+H85</f>
        <v>#REF!</v>
      </c>
      <c r="I89" s="1255">
        <f t="shared" si="39"/>
        <v>0</v>
      </c>
      <c r="J89" s="1255">
        <f t="shared" si="39"/>
        <v>0</v>
      </c>
      <c r="K89" s="1255">
        <f t="shared" si="39"/>
        <v>0</v>
      </c>
      <c r="L89" s="1255">
        <f t="shared" si="39"/>
        <v>0</v>
      </c>
      <c r="M89" s="1255">
        <f t="shared" si="39"/>
        <v>0</v>
      </c>
      <c r="N89" s="1255">
        <f t="shared" si="39"/>
        <v>0</v>
      </c>
      <c r="O89" s="1255">
        <f t="shared" ref="O89" si="40">O38+O58+O85</f>
        <v>0</v>
      </c>
      <c r="P89" s="1000"/>
      <c r="Q89" s="88"/>
      <c r="R89" s="476"/>
      <c r="S89" s="476"/>
    </row>
    <row r="90" spans="2:19" ht="13.15" customHeight="1" x14ac:dyDescent="0.2">
      <c r="B90" s="86"/>
      <c r="C90" s="1000"/>
      <c r="D90" s="1075"/>
      <c r="E90" s="1000"/>
      <c r="F90" s="1076"/>
      <c r="G90" s="1000"/>
      <c r="H90" s="1257"/>
      <c r="I90" s="1076"/>
      <c r="J90" s="1076"/>
      <c r="K90" s="1076"/>
      <c r="L90" s="1076"/>
      <c r="M90" s="1076"/>
      <c r="N90" s="1076"/>
      <c r="O90" s="1076"/>
      <c r="P90" s="1000"/>
      <c r="Q90" s="88"/>
      <c r="R90" s="476"/>
      <c r="S90" s="476"/>
    </row>
    <row r="91" spans="2:19" ht="13.15" customHeight="1" x14ac:dyDescent="0.2">
      <c r="B91" s="86"/>
      <c r="C91" s="87"/>
      <c r="D91" s="87"/>
      <c r="E91" s="87"/>
      <c r="F91" s="80"/>
      <c r="G91" s="87"/>
      <c r="H91" s="87"/>
      <c r="I91" s="80"/>
      <c r="J91" s="80"/>
      <c r="K91" s="80"/>
      <c r="L91" s="80"/>
      <c r="M91" s="80"/>
      <c r="N91" s="80"/>
      <c r="O91" s="80"/>
      <c r="P91" s="87"/>
      <c r="Q91" s="88"/>
      <c r="R91" s="476"/>
      <c r="S91" s="476"/>
    </row>
    <row r="92" spans="2:19" ht="13.15" customHeight="1" x14ac:dyDescent="0.2">
      <c r="B92" s="96"/>
      <c r="C92" s="93"/>
      <c r="D92" s="93"/>
      <c r="E92" s="93"/>
      <c r="F92" s="94"/>
      <c r="G92" s="93"/>
      <c r="H92" s="93"/>
      <c r="I92" s="94"/>
      <c r="J92" s="94"/>
      <c r="K92" s="94"/>
      <c r="L92" s="94"/>
      <c r="M92" s="94"/>
      <c r="N92" s="94"/>
      <c r="O92" s="94"/>
      <c r="P92" s="93"/>
      <c r="Q92" s="95"/>
      <c r="R92" s="476"/>
      <c r="S92" s="476"/>
    </row>
    <row r="93" spans="2:19" ht="13.15" customHeight="1" x14ac:dyDescent="0.2">
      <c r="B93" s="82"/>
      <c r="C93" s="83"/>
      <c r="D93" s="83"/>
      <c r="E93" s="83"/>
      <c r="F93" s="84"/>
      <c r="G93" s="83"/>
      <c r="H93" s="83"/>
      <c r="I93" s="84"/>
      <c r="J93" s="84"/>
      <c r="K93" s="84"/>
      <c r="L93" s="84"/>
      <c r="M93" s="84"/>
      <c r="N93" s="84"/>
      <c r="O93" s="84"/>
      <c r="P93" s="83"/>
      <c r="Q93" s="85"/>
      <c r="R93" s="476"/>
      <c r="S93" s="476"/>
    </row>
    <row r="94" spans="2:19" ht="13.15" customHeight="1" x14ac:dyDescent="0.2">
      <c r="B94" s="86"/>
      <c r="C94" s="87"/>
      <c r="D94" s="87"/>
      <c r="E94" s="87"/>
      <c r="F94" s="80"/>
      <c r="G94" s="87"/>
      <c r="H94" s="87"/>
      <c r="I94" s="80"/>
      <c r="J94" s="80"/>
      <c r="K94" s="80"/>
      <c r="L94" s="80"/>
      <c r="M94" s="80"/>
      <c r="N94" s="80"/>
      <c r="O94" s="80"/>
      <c r="P94" s="87"/>
      <c r="Q94" s="88"/>
      <c r="R94" s="476"/>
      <c r="S94" s="476"/>
    </row>
    <row r="95" spans="2:19" ht="13.15" customHeight="1" x14ac:dyDescent="0.2">
      <c r="B95" s="86"/>
      <c r="C95" s="87"/>
      <c r="D95" s="87"/>
      <c r="E95" s="87"/>
      <c r="F95" s="80"/>
      <c r="G95" s="87"/>
      <c r="H95" s="806" t="e">
        <f t="shared" ref="H95:O95" si="41">H8</f>
        <v>#REF!</v>
      </c>
      <c r="I95" s="806">
        <f t="shared" si="41"/>
        <v>2015</v>
      </c>
      <c r="J95" s="806">
        <f t="shared" si="41"/>
        <v>2016</v>
      </c>
      <c r="K95" s="806">
        <f t="shared" si="41"/>
        <v>2017</v>
      </c>
      <c r="L95" s="806">
        <f t="shared" si="41"/>
        <v>2018</v>
      </c>
      <c r="M95" s="806">
        <f t="shared" si="41"/>
        <v>2019</v>
      </c>
      <c r="N95" s="806">
        <f t="shared" si="41"/>
        <v>2020</v>
      </c>
      <c r="O95" s="806">
        <f t="shared" si="41"/>
        <v>2021</v>
      </c>
      <c r="P95" s="87"/>
      <c r="Q95" s="88"/>
      <c r="R95" s="476"/>
      <c r="S95" s="476"/>
    </row>
    <row r="96" spans="2:19" ht="13.15" customHeight="1" x14ac:dyDescent="0.2">
      <c r="B96" s="86"/>
      <c r="C96" s="87"/>
      <c r="D96" s="87"/>
      <c r="E96" s="87"/>
      <c r="F96" s="80"/>
      <c r="G96" s="87"/>
      <c r="H96" s="87"/>
      <c r="I96" s="80"/>
      <c r="J96" s="80"/>
      <c r="K96" s="80"/>
      <c r="L96" s="80"/>
      <c r="M96" s="80"/>
      <c r="N96" s="80"/>
      <c r="O96" s="80"/>
      <c r="P96" s="87"/>
      <c r="Q96" s="88"/>
      <c r="R96" s="476"/>
      <c r="S96" s="476"/>
    </row>
    <row r="97" spans="2:19" ht="13.15" customHeight="1" x14ac:dyDescent="0.2">
      <c r="B97" s="86"/>
      <c r="C97" s="1000"/>
      <c r="D97" s="1000"/>
      <c r="E97" s="1000"/>
      <c r="F97" s="1076"/>
      <c r="G97" s="1000"/>
      <c r="H97" s="1000"/>
      <c r="I97" s="1076"/>
      <c r="J97" s="1076"/>
      <c r="K97" s="1076"/>
      <c r="L97" s="1076"/>
      <c r="M97" s="1076"/>
      <c r="N97" s="1076"/>
      <c r="O97" s="1076"/>
      <c r="P97" s="1000"/>
      <c r="Q97" s="88"/>
      <c r="R97" s="476"/>
      <c r="S97" s="476"/>
    </row>
    <row r="98" spans="2:19" ht="13.15" customHeight="1" x14ac:dyDescent="0.2">
      <c r="B98" s="86"/>
      <c r="C98" s="1000"/>
      <c r="D98" s="1049" t="s">
        <v>223</v>
      </c>
      <c r="E98" s="1000"/>
      <c r="F98" s="1087" t="s">
        <v>376</v>
      </c>
      <c r="G98" s="1000"/>
      <c r="H98" s="1000"/>
      <c r="I98" s="1076"/>
      <c r="J98" s="1076"/>
      <c r="K98" s="1076"/>
      <c r="L98" s="1076"/>
      <c r="M98" s="1076"/>
      <c r="N98" s="1076"/>
      <c r="O98" s="1076"/>
      <c r="P98" s="1000"/>
      <c r="Q98" s="88"/>
      <c r="R98" s="476"/>
      <c r="S98" s="476"/>
    </row>
    <row r="99" spans="2:19" ht="13.15" customHeight="1" x14ac:dyDescent="0.2">
      <c r="B99" s="86"/>
      <c r="C99" s="1000"/>
      <c r="D99" s="1000"/>
      <c r="E99" s="1000"/>
      <c r="F99" s="1076"/>
      <c r="G99" s="1000"/>
      <c r="H99" s="1000"/>
      <c r="I99" s="1076"/>
      <c r="J99" s="1076"/>
      <c r="K99" s="1076"/>
      <c r="L99" s="1076"/>
      <c r="M99" s="1076"/>
      <c r="N99" s="1076"/>
      <c r="O99" s="1076"/>
      <c r="P99" s="1000"/>
      <c r="Q99" s="88"/>
      <c r="R99" s="476"/>
      <c r="S99" s="476"/>
    </row>
    <row r="100" spans="2:19" ht="13.15" customHeight="1" x14ac:dyDescent="0.2">
      <c r="B100" s="86"/>
      <c r="C100" s="1000"/>
      <c r="D100" s="1079" t="s">
        <v>228</v>
      </c>
      <c r="E100" s="1000"/>
      <c r="F100" s="1267"/>
      <c r="G100" s="1000"/>
      <c r="H100" s="1249">
        <f>act!F30</f>
        <v>0</v>
      </c>
      <c r="I100" s="1249">
        <f>act!G30</f>
        <v>0</v>
      </c>
      <c r="J100" s="1249">
        <f>act!H30</f>
        <v>0</v>
      </c>
      <c r="K100" s="1249">
        <f>act!I30</f>
        <v>0</v>
      </c>
      <c r="L100" s="1249">
        <f>act!J30</f>
        <v>0</v>
      </c>
      <c r="M100" s="1249">
        <f>act!K30</f>
        <v>0</v>
      </c>
      <c r="N100" s="1249">
        <f>act!L30</f>
        <v>0</v>
      </c>
      <c r="O100" s="1249">
        <f>act!M30</f>
        <v>0</v>
      </c>
      <c r="P100" s="1000"/>
      <c r="Q100" s="88"/>
      <c r="R100" s="476"/>
      <c r="S100" s="476"/>
    </row>
    <row r="101" spans="2:19" ht="13.15" customHeight="1" x14ac:dyDescent="0.2">
      <c r="B101" s="86"/>
      <c r="C101" s="1000"/>
      <c r="D101" s="1079" t="s">
        <v>233</v>
      </c>
      <c r="E101" s="1000"/>
      <c r="F101" s="1267"/>
      <c r="G101" s="1000"/>
      <c r="H101" s="1249">
        <f>act!F31</f>
        <v>0</v>
      </c>
      <c r="I101" s="1249">
        <f>act!G31</f>
        <v>0</v>
      </c>
      <c r="J101" s="1249">
        <f>act!H31</f>
        <v>0</v>
      </c>
      <c r="K101" s="1249">
        <f>act!I31</f>
        <v>0</v>
      </c>
      <c r="L101" s="1249">
        <f>act!J31</f>
        <v>0</v>
      </c>
      <c r="M101" s="1249">
        <f>act!K31</f>
        <v>0</v>
      </c>
      <c r="N101" s="1249">
        <f>act!L31</f>
        <v>0</v>
      </c>
      <c r="O101" s="1249">
        <f>act!M31</f>
        <v>0</v>
      </c>
      <c r="P101" s="1000"/>
      <c r="Q101" s="88"/>
      <c r="R101" s="476"/>
      <c r="S101" s="476"/>
    </row>
    <row r="102" spans="2:19" ht="13.15" customHeight="1" x14ac:dyDescent="0.2">
      <c r="B102" s="86"/>
      <c r="C102" s="1000"/>
      <c r="D102" s="1079" t="s">
        <v>234</v>
      </c>
      <c r="E102" s="1000"/>
      <c r="F102" s="1267"/>
      <c r="G102" s="1000"/>
      <c r="H102" s="1249">
        <f>act!F32</f>
        <v>0</v>
      </c>
      <c r="I102" s="1249">
        <f>act!G32</f>
        <v>0</v>
      </c>
      <c r="J102" s="1249">
        <f>act!H32</f>
        <v>0</v>
      </c>
      <c r="K102" s="1249">
        <f>act!I32</f>
        <v>0</v>
      </c>
      <c r="L102" s="1249">
        <f>act!J32</f>
        <v>0</v>
      </c>
      <c r="M102" s="1249">
        <f>act!K32</f>
        <v>0</v>
      </c>
      <c r="N102" s="1249">
        <f>act!L32</f>
        <v>0</v>
      </c>
      <c r="O102" s="1249">
        <f>act!M32</f>
        <v>0</v>
      </c>
      <c r="P102" s="1000"/>
      <c r="Q102" s="88"/>
      <c r="R102" s="476"/>
      <c r="S102" s="476"/>
    </row>
    <row r="103" spans="2:19" ht="13.15" customHeight="1" x14ac:dyDescent="0.2">
      <c r="B103" s="86"/>
      <c r="C103" s="1000"/>
      <c r="D103" s="1079" t="s">
        <v>235</v>
      </c>
      <c r="E103" s="1000"/>
      <c r="F103" s="1267"/>
      <c r="G103" s="1000"/>
      <c r="H103" s="1249">
        <f>act!F33</f>
        <v>0</v>
      </c>
      <c r="I103" s="1249">
        <f>act!G33</f>
        <v>0</v>
      </c>
      <c r="J103" s="1249">
        <f>act!H33</f>
        <v>0</v>
      </c>
      <c r="K103" s="1249">
        <f>act!I33</f>
        <v>0</v>
      </c>
      <c r="L103" s="1249">
        <f>act!J33</f>
        <v>0</v>
      </c>
      <c r="M103" s="1249">
        <f>act!K33</f>
        <v>0</v>
      </c>
      <c r="N103" s="1249">
        <f>act!L33</f>
        <v>0</v>
      </c>
      <c r="O103" s="1249">
        <f>act!M33</f>
        <v>0</v>
      </c>
      <c r="P103" s="1000"/>
      <c r="Q103" s="88"/>
      <c r="R103" s="476"/>
      <c r="S103" s="476"/>
    </row>
    <row r="104" spans="2:19" ht="13.15" customHeight="1" x14ac:dyDescent="0.2">
      <c r="B104" s="86"/>
      <c r="C104" s="1000"/>
      <c r="D104" s="1000"/>
      <c r="E104" s="1000"/>
      <c r="F104" s="1076"/>
      <c r="G104" s="1000"/>
      <c r="H104" s="1256"/>
      <c r="I104" s="1076"/>
      <c r="J104" s="1076"/>
      <c r="K104" s="1076"/>
      <c r="L104" s="1076"/>
      <c r="M104" s="1076"/>
      <c r="N104" s="1076"/>
      <c r="O104" s="1076"/>
      <c r="P104" s="1000"/>
      <c r="Q104" s="88"/>
      <c r="R104" s="476"/>
      <c r="S104" s="476"/>
    </row>
    <row r="105" spans="2:19" ht="13.15" customHeight="1" x14ac:dyDescent="0.2">
      <c r="B105" s="86"/>
      <c r="C105" s="1000"/>
      <c r="D105" s="1075" t="s">
        <v>268</v>
      </c>
      <c r="E105" s="1000"/>
      <c r="F105" s="1076"/>
      <c r="G105" s="1000"/>
      <c r="H105" s="1255">
        <f t="shared" ref="H105:N105" si="42">SUM(H100:H103)</f>
        <v>0</v>
      </c>
      <c r="I105" s="1255">
        <f t="shared" si="42"/>
        <v>0</v>
      </c>
      <c r="J105" s="1255">
        <f t="shared" si="42"/>
        <v>0</v>
      </c>
      <c r="K105" s="1255">
        <f t="shared" si="42"/>
        <v>0</v>
      </c>
      <c r="L105" s="1255">
        <f t="shared" si="42"/>
        <v>0</v>
      </c>
      <c r="M105" s="1255">
        <f t="shared" si="42"/>
        <v>0</v>
      </c>
      <c r="N105" s="1255">
        <f t="shared" si="42"/>
        <v>0</v>
      </c>
      <c r="O105" s="1255">
        <f t="shared" ref="O105" si="43">SUM(O100:O103)</f>
        <v>0</v>
      </c>
      <c r="P105" s="1000"/>
      <c r="Q105" s="88"/>
      <c r="R105" s="476"/>
      <c r="S105" s="476"/>
    </row>
    <row r="106" spans="2:19" ht="13.15" customHeight="1" x14ac:dyDescent="0.2">
      <c r="B106" s="86"/>
      <c r="C106" s="1000"/>
      <c r="D106" s="1000"/>
      <c r="E106" s="1000"/>
      <c r="F106" s="1076"/>
      <c r="G106" s="1000"/>
      <c r="H106" s="1000"/>
      <c r="I106" s="1076"/>
      <c r="J106" s="1076"/>
      <c r="K106" s="1076"/>
      <c r="L106" s="1076"/>
      <c r="M106" s="1076"/>
      <c r="N106" s="1076"/>
      <c r="O106" s="1076"/>
      <c r="P106" s="1000"/>
      <c r="Q106" s="88"/>
      <c r="R106" s="476"/>
      <c r="S106" s="476"/>
    </row>
    <row r="107" spans="2:19" ht="13.15" customHeight="1" x14ac:dyDescent="0.2">
      <c r="B107" s="86"/>
      <c r="C107" s="1265"/>
      <c r="D107" s="1265"/>
      <c r="E107" s="1265"/>
      <c r="F107" s="1266"/>
      <c r="G107" s="1265"/>
      <c r="H107" s="1265"/>
      <c r="I107" s="1266"/>
      <c r="J107" s="1266"/>
      <c r="K107" s="1266"/>
      <c r="L107" s="1266"/>
      <c r="M107" s="1266"/>
      <c r="N107" s="1266"/>
      <c r="O107" s="1266"/>
      <c r="P107" s="1265"/>
      <c r="Q107" s="88"/>
      <c r="R107" s="476"/>
      <c r="S107" s="476"/>
    </row>
    <row r="108" spans="2:19" ht="13.15" customHeight="1" x14ac:dyDescent="0.2">
      <c r="B108" s="86"/>
      <c r="C108" s="1000"/>
      <c r="D108" s="1000"/>
      <c r="E108" s="1000"/>
      <c r="F108" s="1076"/>
      <c r="G108" s="1000"/>
      <c r="H108" s="1000"/>
      <c r="I108" s="1076"/>
      <c r="J108" s="1076"/>
      <c r="K108" s="1076"/>
      <c r="L108" s="1076"/>
      <c r="M108" s="1076"/>
      <c r="N108" s="1076"/>
      <c r="O108" s="1076"/>
      <c r="P108" s="1000"/>
      <c r="Q108" s="88"/>
      <c r="R108" s="476"/>
      <c r="S108" s="476"/>
    </row>
    <row r="109" spans="2:19" ht="13.15" customHeight="1" x14ac:dyDescent="0.2">
      <c r="B109" s="86"/>
      <c r="C109" s="1000"/>
      <c r="D109" s="1049" t="s">
        <v>224</v>
      </c>
      <c r="E109" s="1000"/>
      <c r="F109" s="1076"/>
      <c r="G109" s="1000"/>
      <c r="H109" s="1000"/>
      <c r="I109" s="1076"/>
      <c r="J109" s="1076"/>
      <c r="K109" s="1076"/>
      <c r="L109" s="1076"/>
      <c r="M109" s="1076"/>
      <c r="N109" s="1076"/>
      <c r="O109" s="1076"/>
      <c r="P109" s="1000"/>
      <c r="Q109" s="88"/>
      <c r="R109" s="476"/>
      <c r="S109" s="476"/>
    </row>
    <row r="110" spans="2:19" ht="13.15" customHeight="1" x14ac:dyDescent="0.2">
      <c r="B110" s="86"/>
      <c r="C110" s="1000"/>
      <c r="D110" s="1000"/>
      <c r="E110" s="1000"/>
      <c r="F110" s="1076"/>
      <c r="G110" s="1000"/>
      <c r="H110" s="1000"/>
      <c r="I110" s="1076"/>
      <c r="J110" s="1076"/>
      <c r="K110" s="1076"/>
      <c r="L110" s="1076"/>
      <c r="M110" s="1076"/>
      <c r="N110" s="1076"/>
      <c r="O110" s="1076"/>
      <c r="P110" s="1000"/>
      <c r="Q110" s="88"/>
      <c r="R110" s="476"/>
      <c r="S110" s="476"/>
    </row>
    <row r="111" spans="2:19" ht="13.15" customHeight="1" x14ac:dyDescent="0.2">
      <c r="B111" s="86"/>
      <c r="C111" s="1000"/>
      <c r="D111" s="1075" t="s">
        <v>106</v>
      </c>
      <c r="E111" s="1000"/>
      <c r="F111" s="1076"/>
      <c r="G111" s="1000"/>
      <c r="H111" s="1000"/>
      <c r="I111" s="1076"/>
      <c r="J111" s="1076"/>
      <c r="K111" s="1076"/>
      <c r="L111" s="1076"/>
      <c r="M111" s="1076"/>
      <c r="N111" s="1076"/>
      <c r="O111" s="1076"/>
      <c r="P111" s="1000"/>
      <c r="Q111" s="88"/>
      <c r="R111" s="476"/>
      <c r="S111" s="476"/>
    </row>
    <row r="112" spans="2:19" ht="13.15" customHeight="1" x14ac:dyDescent="0.2">
      <c r="B112" s="86"/>
      <c r="C112" s="1000"/>
      <c r="D112" s="1260"/>
      <c r="E112" s="1000"/>
      <c r="F112" s="1267"/>
      <c r="G112" s="1000"/>
      <c r="H112" s="1262">
        <v>0</v>
      </c>
      <c r="I112" s="1253">
        <f t="shared" ref="I112:L114" si="44">H112</f>
        <v>0</v>
      </c>
      <c r="J112" s="1253">
        <f t="shared" si="44"/>
        <v>0</v>
      </c>
      <c r="K112" s="1253">
        <f t="shared" si="44"/>
        <v>0</v>
      </c>
      <c r="L112" s="1253">
        <f t="shared" si="44"/>
        <v>0</v>
      </c>
      <c r="M112" s="1253">
        <f t="shared" ref="M112:O114" si="45">L112</f>
        <v>0</v>
      </c>
      <c r="N112" s="1253">
        <f t="shared" si="45"/>
        <v>0</v>
      </c>
      <c r="O112" s="1253">
        <f t="shared" si="45"/>
        <v>0</v>
      </c>
      <c r="P112" s="1000"/>
      <c r="Q112" s="88"/>
      <c r="R112" s="476"/>
      <c r="S112" s="476"/>
    </row>
    <row r="113" spans="2:19" ht="13.15" customHeight="1" x14ac:dyDescent="0.2">
      <c r="B113" s="86"/>
      <c r="C113" s="1000"/>
      <c r="D113" s="1260"/>
      <c r="E113" s="1000"/>
      <c r="F113" s="1267"/>
      <c r="G113" s="1000"/>
      <c r="H113" s="1262">
        <v>0</v>
      </c>
      <c r="I113" s="1253">
        <f t="shared" si="44"/>
        <v>0</v>
      </c>
      <c r="J113" s="1253">
        <f t="shared" si="44"/>
        <v>0</v>
      </c>
      <c r="K113" s="1253">
        <f t="shared" si="44"/>
        <v>0</v>
      </c>
      <c r="L113" s="1253">
        <f t="shared" si="44"/>
        <v>0</v>
      </c>
      <c r="M113" s="1253">
        <f t="shared" si="45"/>
        <v>0</v>
      </c>
      <c r="N113" s="1253">
        <f t="shared" si="45"/>
        <v>0</v>
      </c>
      <c r="O113" s="1253">
        <f t="shared" si="45"/>
        <v>0</v>
      </c>
      <c r="P113" s="1000"/>
      <c r="Q113" s="88"/>
      <c r="R113" s="476"/>
      <c r="S113" s="476"/>
    </row>
    <row r="114" spans="2:19" ht="13.15" customHeight="1" x14ac:dyDescent="0.2">
      <c r="B114" s="86"/>
      <c r="C114" s="1000"/>
      <c r="D114" s="1260"/>
      <c r="E114" s="1000"/>
      <c r="F114" s="1267"/>
      <c r="G114" s="1000"/>
      <c r="H114" s="1262">
        <v>0</v>
      </c>
      <c r="I114" s="1253">
        <f t="shared" si="44"/>
        <v>0</v>
      </c>
      <c r="J114" s="1253">
        <f t="shared" si="44"/>
        <v>0</v>
      </c>
      <c r="K114" s="1253">
        <f t="shared" si="44"/>
        <v>0</v>
      </c>
      <c r="L114" s="1253">
        <f t="shared" si="44"/>
        <v>0</v>
      </c>
      <c r="M114" s="1253">
        <f t="shared" si="45"/>
        <v>0</v>
      </c>
      <c r="N114" s="1253">
        <f t="shared" si="45"/>
        <v>0</v>
      </c>
      <c r="O114" s="1253">
        <f t="shared" si="45"/>
        <v>0</v>
      </c>
      <c r="P114" s="1000"/>
      <c r="Q114" s="88"/>
      <c r="R114" s="476"/>
      <c r="S114" s="476"/>
    </row>
    <row r="115" spans="2:19" ht="13.15" customHeight="1" x14ac:dyDescent="0.2">
      <c r="B115" s="86"/>
      <c r="C115" s="1000"/>
      <c r="D115" s="1075"/>
      <c r="E115" s="1000"/>
      <c r="F115" s="1076"/>
      <c r="G115" s="1000"/>
      <c r="H115" s="1268">
        <f t="shared" ref="H115:N115" si="46">SUM(H112:H114)</f>
        <v>0</v>
      </c>
      <c r="I115" s="1268">
        <f t="shared" si="46"/>
        <v>0</v>
      </c>
      <c r="J115" s="1268">
        <f t="shared" si="46"/>
        <v>0</v>
      </c>
      <c r="K115" s="1268">
        <f t="shared" si="46"/>
        <v>0</v>
      </c>
      <c r="L115" s="1268">
        <f t="shared" si="46"/>
        <v>0</v>
      </c>
      <c r="M115" s="1268">
        <f t="shared" si="46"/>
        <v>0</v>
      </c>
      <c r="N115" s="1268">
        <f t="shared" si="46"/>
        <v>0</v>
      </c>
      <c r="O115" s="1268">
        <f t="shared" ref="O115" si="47">SUM(O112:O114)</f>
        <v>0</v>
      </c>
      <c r="P115" s="1000"/>
      <c r="Q115" s="88"/>
      <c r="R115" s="476"/>
      <c r="S115" s="476"/>
    </row>
    <row r="116" spans="2:19" ht="13.15" customHeight="1" x14ac:dyDescent="0.2">
      <c r="B116" s="86"/>
      <c r="C116" s="1000"/>
      <c r="D116" s="1038"/>
      <c r="E116" s="1037"/>
      <c r="F116" s="1039"/>
      <c r="G116" s="1037"/>
      <c r="H116" s="1250"/>
      <c r="I116" s="1039"/>
      <c r="J116" s="1039"/>
      <c r="K116" s="1039"/>
      <c r="L116" s="1039"/>
      <c r="M116" s="1039"/>
      <c r="N116" s="1039"/>
      <c r="O116" s="1039"/>
      <c r="P116" s="1000"/>
      <c r="Q116" s="88"/>
      <c r="R116" s="476"/>
      <c r="S116" s="476"/>
    </row>
    <row r="117" spans="2:19" ht="13.15" customHeight="1" x14ac:dyDescent="0.2">
      <c r="B117" s="86"/>
      <c r="C117" s="1000"/>
      <c r="D117" s="1075"/>
      <c r="E117" s="1000"/>
      <c r="F117" s="1076"/>
      <c r="G117" s="1000"/>
      <c r="H117" s="1256"/>
      <c r="I117" s="1076"/>
      <c r="J117" s="1076"/>
      <c r="K117" s="1076"/>
      <c r="L117" s="1076"/>
      <c r="M117" s="1076"/>
      <c r="N117" s="1076"/>
      <c r="O117" s="1076"/>
      <c r="P117" s="1000"/>
      <c r="Q117" s="88"/>
      <c r="R117" s="476"/>
      <c r="S117" s="476"/>
    </row>
    <row r="118" spans="2:19" ht="13.15" customHeight="1" x14ac:dyDescent="0.2">
      <c r="B118" s="86"/>
      <c r="C118" s="1000"/>
      <c r="D118" s="1075" t="s">
        <v>107</v>
      </c>
      <c r="E118" s="1000"/>
      <c r="F118" s="1076"/>
      <c r="G118" s="1000"/>
      <c r="H118" s="1257"/>
      <c r="I118" s="1076"/>
      <c r="J118" s="1076"/>
      <c r="K118" s="1076"/>
      <c r="L118" s="1076"/>
      <c r="M118" s="1076"/>
      <c r="N118" s="1076"/>
      <c r="O118" s="1076"/>
      <c r="P118" s="1000"/>
      <c r="Q118" s="88"/>
      <c r="R118" s="476"/>
      <c r="S118" s="476"/>
    </row>
    <row r="119" spans="2:19" ht="13.15" customHeight="1" x14ac:dyDescent="0.2">
      <c r="B119" s="86"/>
      <c r="C119" s="1000"/>
      <c r="D119" s="1260"/>
      <c r="E119" s="1000"/>
      <c r="F119" s="1267"/>
      <c r="G119" s="1000"/>
      <c r="H119" s="1262">
        <v>0</v>
      </c>
      <c r="I119" s="1253">
        <f t="shared" ref="I119:L121" si="48">H119</f>
        <v>0</v>
      </c>
      <c r="J119" s="1253">
        <f t="shared" si="48"/>
        <v>0</v>
      </c>
      <c r="K119" s="1253">
        <f t="shared" si="48"/>
        <v>0</v>
      </c>
      <c r="L119" s="1253">
        <f t="shared" si="48"/>
        <v>0</v>
      </c>
      <c r="M119" s="1253">
        <f t="shared" ref="M119:O121" si="49">L119</f>
        <v>0</v>
      </c>
      <c r="N119" s="1253">
        <f t="shared" si="49"/>
        <v>0</v>
      </c>
      <c r="O119" s="1253">
        <f t="shared" si="49"/>
        <v>0</v>
      </c>
      <c r="P119" s="1000"/>
      <c r="Q119" s="88"/>
      <c r="R119" s="476"/>
      <c r="S119" s="476"/>
    </row>
    <row r="120" spans="2:19" ht="13.15" customHeight="1" x14ac:dyDescent="0.2">
      <c r="B120" s="86"/>
      <c r="C120" s="1000"/>
      <c r="D120" s="1260"/>
      <c r="E120" s="1000"/>
      <c r="F120" s="1267"/>
      <c r="G120" s="1000"/>
      <c r="H120" s="1262">
        <v>0</v>
      </c>
      <c r="I120" s="1253">
        <f t="shared" si="48"/>
        <v>0</v>
      </c>
      <c r="J120" s="1253">
        <f t="shared" si="48"/>
        <v>0</v>
      </c>
      <c r="K120" s="1253">
        <f t="shared" si="48"/>
        <v>0</v>
      </c>
      <c r="L120" s="1253">
        <f t="shared" si="48"/>
        <v>0</v>
      </c>
      <c r="M120" s="1253">
        <f t="shared" si="49"/>
        <v>0</v>
      </c>
      <c r="N120" s="1253">
        <f t="shared" si="49"/>
        <v>0</v>
      </c>
      <c r="O120" s="1253">
        <f t="shared" si="49"/>
        <v>0</v>
      </c>
      <c r="P120" s="1000"/>
      <c r="Q120" s="88"/>
      <c r="R120" s="476"/>
      <c r="S120" s="476"/>
    </row>
    <row r="121" spans="2:19" ht="13.15" customHeight="1" x14ac:dyDescent="0.2">
      <c r="B121" s="86"/>
      <c r="C121" s="1000"/>
      <c r="D121" s="1260"/>
      <c r="E121" s="1000"/>
      <c r="F121" s="1267"/>
      <c r="G121" s="1000"/>
      <c r="H121" s="1262">
        <v>0</v>
      </c>
      <c r="I121" s="1253">
        <f t="shared" si="48"/>
        <v>0</v>
      </c>
      <c r="J121" s="1253">
        <f t="shared" si="48"/>
        <v>0</v>
      </c>
      <c r="K121" s="1253">
        <f t="shared" si="48"/>
        <v>0</v>
      </c>
      <c r="L121" s="1253">
        <f t="shared" si="48"/>
        <v>0</v>
      </c>
      <c r="M121" s="1253">
        <f t="shared" si="49"/>
        <v>0</v>
      </c>
      <c r="N121" s="1253">
        <f t="shared" si="49"/>
        <v>0</v>
      </c>
      <c r="O121" s="1253">
        <f t="shared" si="49"/>
        <v>0</v>
      </c>
      <c r="P121" s="1000"/>
      <c r="Q121" s="88"/>
      <c r="R121" s="476"/>
      <c r="S121" s="476"/>
    </row>
    <row r="122" spans="2:19" ht="13.15" customHeight="1" x14ac:dyDescent="0.2">
      <c r="B122" s="86"/>
      <c r="C122" s="1000"/>
      <c r="D122" s="1075"/>
      <c r="E122" s="1000"/>
      <c r="F122" s="1076"/>
      <c r="G122" s="1000"/>
      <c r="H122" s="1268">
        <f t="shared" ref="H122:N122" si="50">SUM(H119:H121)</f>
        <v>0</v>
      </c>
      <c r="I122" s="1268">
        <f t="shared" si="50"/>
        <v>0</v>
      </c>
      <c r="J122" s="1268">
        <f t="shared" si="50"/>
        <v>0</v>
      </c>
      <c r="K122" s="1268">
        <f t="shared" si="50"/>
        <v>0</v>
      </c>
      <c r="L122" s="1268">
        <f t="shared" si="50"/>
        <v>0</v>
      </c>
      <c r="M122" s="1268">
        <f t="shared" si="50"/>
        <v>0</v>
      </c>
      <c r="N122" s="1268">
        <f t="shared" si="50"/>
        <v>0</v>
      </c>
      <c r="O122" s="1268">
        <f t="shared" ref="O122" si="51">SUM(O119:O121)</f>
        <v>0</v>
      </c>
      <c r="P122" s="1000"/>
      <c r="Q122" s="88"/>
      <c r="R122" s="476"/>
      <c r="S122" s="476"/>
    </row>
    <row r="123" spans="2:19" ht="13.15" customHeight="1" x14ac:dyDescent="0.2">
      <c r="B123" s="86"/>
      <c r="C123" s="1000"/>
      <c r="D123" s="1038"/>
      <c r="E123" s="1037"/>
      <c r="F123" s="1039"/>
      <c r="G123" s="1037"/>
      <c r="H123" s="1250"/>
      <c r="I123" s="1039"/>
      <c r="J123" s="1039"/>
      <c r="K123" s="1039"/>
      <c r="L123" s="1039"/>
      <c r="M123" s="1039"/>
      <c r="N123" s="1039"/>
      <c r="O123" s="1039"/>
      <c r="P123" s="1000"/>
      <c r="Q123" s="88"/>
      <c r="R123" s="476"/>
      <c r="S123" s="476"/>
    </row>
    <row r="124" spans="2:19" ht="13.15" customHeight="1" x14ac:dyDescent="0.2">
      <c r="B124" s="86"/>
      <c r="C124" s="1000"/>
      <c r="D124" s="1075"/>
      <c r="E124" s="1000"/>
      <c r="F124" s="1076"/>
      <c r="G124" s="1000"/>
      <c r="H124" s="1256"/>
      <c r="I124" s="1076"/>
      <c r="J124" s="1076"/>
      <c r="K124" s="1076"/>
      <c r="L124" s="1076"/>
      <c r="M124" s="1076"/>
      <c r="N124" s="1076"/>
      <c r="O124" s="1076"/>
      <c r="P124" s="1000"/>
      <c r="Q124" s="88"/>
      <c r="R124" s="476"/>
      <c r="S124" s="476"/>
    </row>
    <row r="125" spans="2:19" ht="13.15" customHeight="1" x14ac:dyDescent="0.2">
      <c r="B125" s="86"/>
      <c r="C125" s="1000"/>
      <c r="D125" s="1075" t="s">
        <v>268</v>
      </c>
      <c r="E125" s="1000"/>
      <c r="F125" s="1076"/>
      <c r="G125" s="1000"/>
      <c r="H125" s="1255">
        <f t="shared" ref="H125:N125" si="52">H115+H122</f>
        <v>0</v>
      </c>
      <c r="I125" s="1255">
        <f t="shared" si="52"/>
        <v>0</v>
      </c>
      <c r="J125" s="1255">
        <f t="shared" si="52"/>
        <v>0</v>
      </c>
      <c r="K125" s="1255">
        <f t="shared" si="52"/>
        <v>0</v>
      </c>
      <c r="L125" s="1255">
        <f t="shared" si="52"/>
        <v>0</v>
      </c>
      <c r="M125" s="1255">
        <f t="shared" si="52"/>
        <v>0</v>
      </c>
      <c r="N125" s="1255">
        <f t="shared" si="52"/>
        <v>0</v>
      </c>
      <c r="O125" s="1255">
        <f t="shared" ref="O125" si="53">O115+O122</f>
        <v>0</v>
      </c>
      <c r="P125" s="1000"/>
      <c r="Q125" s="88"/>
      <c r="R125" s="476"/>
      <c r="S125" s="476"/>
    </row>
    <row r="126" spans="2:19" ht="13.15" customHeight="1" x14ac:dyDescent="0.2">
      <c r="B126" s="86"/>
      <c r="C126" s="1000"/>
      <c r="D126" s="1000"/>
      <c r="E126" s="1000"/>
      <c r="F126" s="1076"/>
      <c r="G126" s="1000"/>
      <c r="H126" s="1257"/>
      <c r="I126" s="1076"/>
      <c r="J126" s="1076"/>
      <c r="K126" s="1076"/>
      <c r="L126" s="1076"/>
      <c r="M126" s="1076"/>
      <c r="N126" s="1076"/>
      <c r="O126" s="1076"/>
      <c r="P126" s="1000"/>
      <c r="Q126" s="88"/>
      <c r="R126" s="476"/>
      <c r="S126" s="476"/>
    </row>
    <row r="127" spans="2:19" ht="13.15" customHeight="1" x14ac:dyDescent="0.2">
      <c r="B127" s="86"/>
      <c r="C127" s="87"/>
      <c r="D127" s="87"/>
      <c r="E127" s="87"/>
      <c r="F127" s="80"/>
      <c r="G127" s="87"/>
      <c r="H127" s="87"/>
      <c r="I127" s="80"/>
      <c r="J127" s="80"/>
      <c r="K127" s="80"/>
      <c r="L127" s="80"/>
      <c r="M127" s="80"/>
      <c r="N127" s="80"/>
      <c r="O127" s="80"/>
      <c r="P127" s="87"/>
      <c r="Q127" s="88"/>
      <c r="R127" s="476"/>
      <c r="S127" s="476"/>
    </row>
    <row r="128" spans="2:19" ht="13.15" customHeight="1" x14ac:dyDescent="0.2">
      <c r="B128" s="86"/>
      <c r="C128" s="1000"/>
      <c r="D128" s="1000"/>
      <c r="E128" s="1000"/>
      <c r="F128" s="1076"/>
      <c r="G128" s="1000"/>
      <c r="H128" s="1000"/>
      <c r="I128" s="1076"/>
      <c r="J128" s="1076"/>
      <c r="K128" s="1076"/>
      <c r="L128" s="1076"/>
      <c r="M128" s="1076"/>
      <c r="N128" s="1076"/>
      <c r="O128" s="1076"/>
      <c r="P128" s="1000"/>
      <c r="Q128" s="88"/>
      <c r="R128" s="476"/>
      <c r="S128" s="476"/>
    </row>
    <row r="129" spans="2:19" ht="13.15" customHeight="1" x14ac:dyDescent="0.2">
      <c r="B129" s="86"/>
      <c r="C129" s="1000"/>
      <c r="D129" s="1049" t="s">
        <v>334</v>
      </c>
      <c r="E129" s="1000"/>
      <c r="F129" s="1076"/>
      <c r="G129" s="1000"/>
      <c r="H129" s="1000"/>
      <c r="I129" s="1076"/>
      <c r="J129" s="1076"/>
      <c r="K129" s="1076"/>
      <c r="L129" s="1076"/>
      <c r="M129" s="1076"/>
      <c r="N129" s="1076"/>
      <c r="O129" s="1076"/>
      <c r="P129" s="1000"/>
      <c r="Q129" s="88"/>
      <c r="R129" s="476"/>
      <c r="S129" s="476"/>
    </row>
    <row r="130" spans="2:19" ht="13.15" customHeight="1" x14ac:dyDescent="0.2">
      <c r="B130" s="86"/>
      <c r="C130" s="1000"/>
      <c r="D130" s="1000"/>
      <c r="E130" s="1000"/>
      <c r="F130" s="1076"/>
      <c r="G130" s="1000"/>
      <c r="H130" s="1000"/>
      <c r="I130" s="1076"/>
      <c r="J130" s="1076"/>
      <c r="K130" s="1076"/>
      <c r="L130" s="1076"/>
      <c r="M130" s="1076"/>
      <c r="N130" s="1076"/>
      <c r="O130" s="1076"/>
      <c r="P130" s="1000"/>
      <c r="Q130" s="88"/>
      <c r="R130" s="476"/>
      <c r="S130" s="476"/>
    </row>
    <row r="131" spans="2:19" ht="13.15" customHeight="1" x14ac:dyDescent="0.2">
      <c r="B131" s="86"/>
      <c r="C131" s="1000"/>
      <c r="D131" s="1075" t="s">
        <v>106</v>
      </c>
      <c r="E131" s="1000"/>
      <c r="F131" s="1076"/>
      <c r="G131" s="1000"/>
      <c r="H131" s="1000"/>
      <c r="I131" s="1076"/>
      <c r="J131" s="1076"/>
      <c r="K131" s="1076"/>
      <c r="L131" s="1076"/>
      <c r="M131" s="1076"/>
      <c r="N131" s="1076"/>
      <c r="O131" s="1076"/>
      <c r="P131" s="1000"/>
      <c r="Q131" s="88"/>
      <c r="R131" s="476"/>
      <c r="S131" s="476"/>
    </row>
    <row r="132" spans="2:19" ht="13.15" customHeight="1" x14ac:dyDescent="0.2">
      <c r="B132" s="86"/>
      <c r="C132" s="1000"/>
      <c r="D132" s="1037" t="s">
        <v>295</v>
      </c>
      <c r="E132" s="1037"/>
      <c r="F132" s="1269"/>
      <c r="G132" s="1037"/>
      <c r="H132" s="1249">
        <f>+'peild SBO'!F201</f>
        <v>5876.2333333333336</v>
      </c>
      <c r="I132" s="1249">
        <f>+'peild SBO'!G201</f>
        <v>0</v>
      </c>
      <c r="J132" s="1249">
        <f>+'peild SBO'!H201</f>
        <v>0</v>
      </c>
      <c r="K132" s="1249">
        <f>+'peild SBO'!I201</f>
        <v>0</v>
      </c>
      <c r="L132" s="1249">
        <f>+'peild SBO'!J201</f>
        <v>0</v>
      </c>
      <c r="M132" s="1249">
        <f>+'peild SBO'!K201</f>
        <v>0</v>
      </c>
      <c r="N132" s="1259">
        <f>+'peild SBO'!L201</f>
        <v>0</v>
      </c>
      <c r="O132" s="1259">
        <f>+'peild SBO'!M201</f>
        <v>0</v>
      </c>
      <c r="P132" s="1000"/>
      <c r="Q132" s="88"/>
      <c r="R132" s="476"/>
      <c r="S132" s="476"/>
    </row>
    <row r="133" spans="2:19" ht="13.15" customHeight="1" x14ac:dyDescent="0.2">
      <c r="B133" s="86"/>
      <c r="C133" s="1000"/>
      <c r="D133" s="1000" t="s">
        <v>432</v>
      </c>
      <c r="E133" s="1037"/>
      <c r="F133" s="1269"/>
      <c r="G133" s="1037"/>
      <c r="H133" s="1249" t="e">
        <f>5/12*ROUND(+'geg LO'!F103*(tab!#REF!+tab!#REF!)+'geg LO'!F104*tab!#REF!,0)</f>
        <v>#REF!</v>
      </c>
      <c r="I133" s="1249">
        <f>ROUND(+'geg LO'!G103*(tab!$C$55+tab!$C$56)+'geg LO'!G104*tab!$C$56,0)</f>
        <v>0</v>
      </c>
      <c r="J133" s="1249">
        <f>ROUND(+'geg LO'!H103*(tab!$D$55+tab!$D$56)+'geg LO'!H104*tab!$D$56,0)</f>
        <v>0</v>
      </c>
      <c r="K133" s="1249">
        <f>ROUND(+'geg LO'!I103*(tab!$D$55+tab!$D$56)+'geg LO'!I104*tab!$D$56,0)</f>
        <v>0</v>
      </c>
      <c r="L133" s="1249">
        <f>ROUND(+'geg LO'!J103*(tab!$D$55+tab!$D$56)+'geg LO'!J104*tab!$D$56,0)</f>
        <v>0</v>
      </c>
      <c r="M133" s="1249">
        <f>ROUND(+'geg LO'!K103*(tab!$D$55+tab!$D$56)+'geg LO'!K104*tab!$D$56,0)</f>
        <v>0</v>
      </c>
      <c r="N133" s="1259">
        <f>ROUND(+'geg LO'!L103*(tab!$D$55+tab!$D$56)+'geg LO'!L104*tab!$D$56,0)</f>
        <v>0</v>
      </c>
      <c r="O133" s="1259">
        <f>ROUND(+'geg LO'!M103*(tab!$D$55+tab!$D$56)+'geg LO'!M104*tab!$D$56,0)</f>
        <v>0</v>
      </c>
      <c r="P133" s="1000"/>
      <c r="Q133" s="88"/>
      <c r="R133" s="476"/>
      <c r="S133" s="476"/>
    </row>
    <row r="134" spans="2:19" ht="13.15" customHeight="1" x14ac:dyDescent="0.2">
      <c r="B134" s="86"/>
      <c r="C134" s="1000"/>
      <c r="D134" s="1093" t="s">
        <v>272</v>
      </c>
      <c r="E134" s="1000"/>
      <c r="F134" s="1267"/>
      <c r="G134" s="1000"/>
      <c r="H134" s="1270">
        <v>0</v>
      </c>
      <c r="I134" s="1270">
        <f t="shared" ref="I134:I141" si="54">H134</f>
        <v>0</v>
      </c>
      <c r="J134" s="1270">
        <f t="shared" ref="J134:J141" si="55">I134</f>
        <v>0</v>
      </c>
      <c r="K134" s="1270">
        <f t="shared" ref="K134:K141" si="56">J134</f>
        <v>0</v>
      </c>
      <c r="L134" s="1270">
        <f t="shared" ref="L134:L141" si="57">K134</f>
        <v>0</v>
      </c>
      <c r="M134" s="1270">
        <f t="shared" ref="M134:M141" si="58">L134</f>
        <v>0</v>
      </c>
      <c r="N134" s="1271">
        <f t="shared" ref="N134:O141" si="59">M134</f>
        <v>0</v>
      </c>
      <c r="O134" s="1271">
        <f t="shared" si="59"/>
        <v>0</v>
      </c>
      <c r="P134" s="1000"/>
      <c r="Q134" s="88"/>
      <c r="R134" s="476"/>
      <c r="S134" s="476"/>
    </row>
    <row r="135" spans="2:19" ht="13.15" customHeight="1" x14ac:dyDescent="0.2">
      <c r="B135" s="86"/>
      <c r="C135" s="1000"/>
      <c r="D135" s="1252"/>
      <c r="E135" s="1000"/>
      <c r="F135" s="1267"/>
      <c r="G135" s="1000"/>
      <c r="H135" s="1270">
        <v>0</v>
      </c>
      <c r="I135" s="1270">
        <f t="shared" si="54"/>
        <v>0</v>
      </c>
      <c r="J135" s="1270">
        <f t="shared" si="55"/>
        <v>0</v>
      </c>
      <c r="K135" s="1270">
        <f t="shared" si="56"/>
        <v>0</v>
      </c>
      <c r="L135" s="1270">
        <f t="shared" si="57"/>
        <v>0</v>
      </c>
      <c r="M135" s="1270">
        <f t="shared" si="58"/>
        <v>0</v>
      </c>
      <c r="N135" s="1271">
        <f t="shared" si="59"/>
        <v>0</v>
      </c>
      <c r="O135" s="1271">
        <f t="shared" si="59"/>
        <v>0</v>
      </c>
      <c r="P135" s="1000"/>
      <c r="Q135" s="88"/>
      <c r="R135" s="476"/>
      <c r="S135" s="476"/>
    </row>
    <row r="136" spans="2:19" ht="13.15" customHeight="1" x14ac:dyDescent="0.2">
      <c r="B136" s="86"/>
      <c r="C136" s="1000"/>
      <c r="D136" s="1252"/>
      <c r="E136" s="1000"/>
      <c r="F136" s="1267"/>
      <c r="G136" s="1000"/>
      <c r="H136" s="1262">
        <v>0</v>
      </c>
      <c r="I136" s="1253">
        <f t="shared" si="54"/>
        <v>0</v>
      </c>
      <c r="J136" s="1253">
        <f t="shared" si="55"/>
        <v>0</v>
      </c>
      <c r="K136" s="1253">
        <f t="shared" si="56"/>
        <v>0</v>
      </c>
      <c r="L136" s="1253">
        <f t="shared" si="57"/>
        <v>0</v>
      </c>
      <c r="M136" s="1253">
        <f t="shared" si="58"/>
        <v>0</v>
      </c>
      <c r="N136" s="1253">
        <f t="shared" si="59"/>
        <v>0</v>
      </c>
      <c r="O136" s="1253">
        <f t="shared" si="59"/>
        <v>0</v>
      </c>
      <c r="P136" s="1000"/>
      <c r="Q136" s="88"/>
      <c r="R136" s="476"/>
      <c r="S136" s="476"/>
    </row>
    <row r="137" spans="2:19" ht="13.15" customHeight="1" x14ac:dyDescent="0.2">
      <c r="B137" s="86"/>
      <c r="C137" s="1000"/>
      <c r="D137" s="1252"/>
      <c r="E137" s="1000"/>
      <c r="F137" s="1267"/>
      <c r="G137" s="1000"/>
      <c r="H137" s="1262">
        <v>0</v>
      </c>
      <c r="I137" s="1253">
        <f t="shared" si="54"/>
        <v>0</v>
      </c>
      <c r="J137" s="1253">
        <f t="shared" si="55"/>
        <v>0</v>
      </c>
      <c r="K137" s="1253">
        <f t="shared" si="56"/>
        <v>0</v>
      </c>
      <c r="L137" s="1253">
        <f t="shared" si="57"/>
        <v>0</v>
      </c>
      <c r="M137" s="1253">
        <f t="shared" si="58"/>
        <v>0</v>
      </c>
      <c r="N137" s="1253">
        <f t="shared" si="59"/>
        <v>0</v>
      </c>
      <c r="O137" s="1253">
        <f t="shared" si="59"/>
        <v>0</v>
      </c>
      <c r="P137" s="1000"/>
      <c r="Q137" s="88"/>
      <c r="R137" s="476"/>
      <c r="S137" s="476"/>
    </row>
    <row r="138" spans="2:19" ht="13.15" customHeight="1" x14ac:dyDescent="0.2">
      <c r="B138" s="86"/>
      <c r="C138" s="1000"/>
      <c r="D138" s="1252"/>
      <c r="E138" s="1000"/>
      <c r="F138" s="1267"/>
      <c r="G138" s="1000"/>
      <c r="H138" s="1262">
        <v>0</v>
      </c>
      <c r="I138" s="1253">
        <f t="shared" si="54"/>
        <v>0</v>
      </c>
      <c r="J138" s="1253">
        <f t="shared" si="55"/>
        <v>0</v>
      </c>
      <c r="K138" s="1253">
        <f t="shared" si="56"/>
        <v>0</v>
      </c>
      <c r="L138" s="1253">
        <f t="shared" si="57"/>
        <v>0</v>
      </c>
      <c r="M138" s="1253">
        <f t="shared" si="58"/>
        <v>0</v>
      </c>
      <c r="N138" s="1253">
        <f t="shared" si="59"/>
        <v>0</v>
      </c>
      <c r="O138" s="1253">
        <f t="shared" si="59"/>
        <v>0</v>
      </c>
      <c r="P138" s="1000"/>
      <c r="Q138" s="88"/>
      <c r="R138" s="476"/>
      <c r="S138" s="476"/>
    </row>
    <row r="139" spans="2:19" ht="13.15" customHeight="1" x14ac:dyDescent="0.2">
      <c r="B139" s="86"/>
      <c r="C139" s="1000"/>
      <c r="D139" s="1252"/>
      <c r="E139" s="1000"/>
      <c r="F139" s="1267"/>
      <c r="G139" s="1000"/>
      <c r="H139" s="1262">
        <v>0</v>
      </c>
      <c r="I139" s="1253">
        <f t="shared" si="54"/>
        <v>0</v>
      </c>
      <c r="J139" s="1253">
        <f t="shared" si="55"/>
        <v>0</v>
      </c>
      <c r="K139" s="1253">
        <f t="shared" si="56"/>
        <v>0</v>
      </c>
      <c r="L139" s="1253">
        <f t="shared" si="57"/>
        <v>0</v>
      </c>
      <c r="M139" s="1253">
        <f t="shared" si="58"/>
        <v>0</v>
      </c>
      <c r="N139" s="1253">
        <f t="shared" si="59"/>
        <v>0</v>
      </c>
      <c r="O139" s="1253">
        <f t="shared" si="59"/>
        <v>0</v>
      </c>
      <c r="P139" s="1000"/>
      <c r="Q139" s="88"/>
      <c r="R139" s="476"/>
      <c r="S139" s="476"/>
    </row>
    <row r="140" spans="2:19" ht="13.15" customHeight="1" x14ac:dyDescent="0.2">
      <c r="B140" s="86"/>
      <c r="C140" s="1000"/>
      <c r="D140" s="1260"/>
      <c r="E140" s="1000"/>
      <c r="F140" s="1267"/>
      <c r="G140" s="1000"/>
      <c r="H140" s="1262">
        <v>0</v>
      </c>
      <c r="I140" s="1253">
        <f t="shared" si="54"/>
        <v>0</v>
      </c>
      <c r="J140" s="1253">
        <f t="shared" si="55"/>
        <v>0</v>
      </c>
      <c r="K140" s="1253">
        <f t="shared" si="56"/>
        <v>0</v>
      </c>
      <c r="L140" s="1253">
        <f t="shared" si="57"/>
        <v>0</v>
      </c>
      <c r="M140" s="1253">
        <f t="shared" si="58"/>
        <v>0</v>
      </c>
      <c r="N140" s="1253">
        <f t="shared" si="59"/>
        <v>0</v>
      </c>
      <c r="O140" s="1253">
        <f t="shared" si="59"/>
        <v>0</v>
      </c>
      <c r="P140" s="1000"/>
      <c r="Q140" s="88"/>
      <c r="R140" s="476"/>
      <c r="S140" s="476"/>
    </row>
    <row r="141" spans="2:19" ht="13.15" customHeight="1" x14ac:dyDescent="0.2">
      <c r="B141" s="86"/>
      <c r="C141" s="1000"/>
      <c r="D141" s="1260"/>
      <c r="E141" s="1000"/>
      <c r="F141" s="1267"/>
      <c r="G141" s="1000"/>
      <c r="H141" s="1262">
        <v>0</v>
      </c>
      <c r="I141" s="1253">
        <f t="shared" si="54"/>
        <v>0</v>
      </c>
      <c r="J141" s="1253">
        <f t="shared" si="55"/>
        <v>0</v>
      </c>
      <c r="K141" s="1253">
        <f t="shared" si="56"/>
        <v>0</v>
      </c>
      <c r="L141" s="1253">
        <f t="shared" si="57"/>
        <v>0</v>
      </c>
      <c r="M141" s="1253">
        <f t="shared" si="58"/>
        <v>0</v>
      </c>
      <c r="N141" s="1253">
        <f t="shared" si="59"/>
        <v>0</v>
      </c>
      <c r="O141" s="1253">
        <f t="shared" si="59"/>
        <v>0</v>
      </c>
      <c r="P141" s="1000"/>
      <c r="Q141" s="88"/>
      <c r="R141" s="476"/>
      <c r="S141" s="476"/>
    </row>
    <row r="142" spans="2:19" ht="13.15" customHeight="1" x14ac:dyDescent="0.2">
      <c r="B142" s="86"/>
      <c r="C142" s="1000"/>
      <c r="D142" s="1075"/>
      <c r="E142" s="1000"/>
      <c r="F142" s="1076"/>
      <c r="G142" s="1000"/>
      <c r="H142" s="1255" t="e">
        <f t="shared" ref="H142:N142" si="60">SUM(H132:H141)</f>
        <v>#REF!</v>
      </c>
      <c r="I142" s="1255">
        <f t="shared" si="60"/>
        <v>0</v>
      </c>
      <c r="J142" s="1255">
        <f t="shared" si="60"/>
        <v>0</v>
      </c>
      <c r="K142" s="1255">
        <f t="shared" si="60"/>
        <v>0</v>
      </c>
      <c r="L142" s="1255">
        <f t="shared" si="60"/>
        <v>0</v>
      </c>
      <c r="M142" s="1255">
        <f t="shared" si="60"/>
        <v>0</v>
      </c>
      <c r="N142" s="1255">
        <f t="shared" si="60"/>
        <v>0</v>
      </c>
      <c r="O142" s="1255">
        <f t="shared" ref="O142" si="61">SUM(O132:O141)</f>
        <v>0</v>
      </c>
      <c r="P142" s="1000"/>
      <c r="Q142" s="88"/>
      <c r="R142" s="476"/>
      <c r="S142" s="476"/>
    </row>
    <row r="143" spans="2:19" ht="13.15" customHeight="1" x14ac:dyDescent="0.2">
      <c r="B143" s="86"/>
      <c r="C143" s="1000"/>
      <c r="D143" s="1038"/>
      <c r="E143" s="1037"/>
      <c r="F143" s="1039"/>
      <c r="G143" s="1037"/>
      <c r="H143" s="1250"/>
      <c r="I143" s="1039"/>
      <c r="J143" s="1039"/>
      <c r="K143" s="1039"/>
      <c r="L143" s="1039"/>
      <c r="M143" s="1039"/>
      <c r="N143" s="1039"/>
      <c r="O143" s="1039"/>
      <c r="P143" s="1000"/>
      <c r="Q143" s="88"/>
      <c r="R143" s="476"/>
      <c r="S143" s="476"/>
    </row>
    <row r="144" spans="2:19" ht="13.15" customHeight="1" x14ac:dyDescent="0.2">
      <c r="B144" s="86"/>
      <c r="C144" s="1000"/>
      <c r="D144" s="1075"/>
      <c r="E144" s="1000"/>
      <c r="F144" s="1076"/>
      <c r="G144" s="1000"/>
      <c r="H144" s="1256"/>
      <c r="I144" s="1076"/>
      <c r="J144" s="1076"/>
      <c r="K144" s="1076"/>
      <c r="L144" s="1076"/>
      <c r="M144" s="1076"/>
      <c r="N144" s="1076"/>
      <c r="O144" s="1076"/>
      <c r="P144" s="1000"/>
      <c r="Q144" s="88"/>
      <c r="R144" s="476"/>
      <c r="S144" s="476"/>
    </row>
    <row r="145" spans="2:19" ht="13.15" customHeight="1" x14ac:dyDescent="0.2">
      <c r="B145" s="86"/>
      <c r="C145" s="1000"/>
      <c r="D145" s="1075" t="s">
        <v>107</v>
      </c>
      <c r="E145" s="1037"/>
      <c r="F145" s="1041"/>
      <c r="G145" s="1037"/>
      <c r="H145" s="1251"/>
      <c r="I145" s="1037"/>
      <c r="J145" s="1037"/>
      <c r="K145" s="1037"/>
      <c r="L145" s="1037"/>
      <c r="M145" s="1037"/>
      <c r="N145" s="1037"/>
      <c r="O145" s="1037"/>
      <c r="P145" s="1000"/>
      <c r="Q145" s="88"/>
      <c r="R145" s="476"/>
      <c r="S145" s="476"/>
    </row>
    <row r="146" spans="2:19" ht="13.15" customHeight="1" x14ac:dyDescent="0.2">
      <c r="B146" s="86"/>
      <c r="C146" s="1000"/>
      <c r="D146" s="1000" t="s">
        <v>38</v>
      </c>
      <c r="E146" s="1000"/>
      <c r="F146" s="1267"/>
      <c r="G146" s="1000"/>
      <c r="H146" s="1249">
        <f>+'overdr SO'!I20</f>
        <v>0</v>
      </c>
      <c r="I146" s="1249">
        <f>+'overdr SO'!J20</f>
        <v>0</v>
      </c>
      <c r="J146" s="1249">
        <f>+'overdr SO'!K20</f>
        <v>0</v>
      </c>
      <c r="K146" s="1249">
        <f>+'overdr SO'!L20</f>
        <v>0</v>
      </c>
      <c r="L146" s="1249">
        <f>+'overdr SO'!M20</f>
        <v>0</v>
      </c>
      <c r="M146" s="1249">
        <f>+'overdr SO'!N20</f>
        <v>0</v>
      </c>
      <c r="N146" s="1249">
        <f>+'overdr SO'!O20</f>
        <v>0</v>
      </c>
      <c r="O146" s="1249">
        <f>+'overdr SO'!P20</f>
        <v>0</v>
      </c>
      <c r="P146" s="1000"/>
      <c r="Q146" s="88"/>
      <c r="R146" s="476"/>
      <c r="S146" s="476"/>
    </row>
    <row r="147" spans="2:19" ht="13.15" customHeight="1" x14ac:dyDescent="0.2">
      <c r="B147" s="86"/>
      <c r="C147" s="1000"/>
      <c r="D147" s="1000" t="s">
        <v>39</v>
      </c>
      <c r="E147" s="1000"/>
      <c r="F147" s="1267"/>
      <c r="G147" s="1000"/>
      <c r="H147" s="1272">
        <f>+'peild SO'!G23</f>
        <v>0</v>
      </c>
      <c r="I147" s="1270">
        <v>0</v>
      </c>
      <c r="J147" s="1270">
        <v>0</v>
      </c>
      <c r="K147" s="1270">
        <f t="shared" ref="K147:O147" si="62">+J147</f>
        <v>0</v>
      </c>
      <c r="L147" s="1270">
        <f t="shared" si="62"/>
        <v>0</v>
      </c>
      <c r="M147" s="1270">
        <f t="shared" si="62"/>
        <v>0</v>
      </c>
      <c r="N147" s="1270">
        <f t="shared" si="62"/>
        <v>0</v>
      </c>
      <c r="O147" s="1270">
        <f t="shared" si="62"/>
        <v>0</v>
      </c>
      <c r="P147" s="1000"/>
      <c r="Q147" s="88"/>
      <c r="R147" s="476"/>
      <c r="S147" s="476"/>
    </row>
    <row r="148" spans="2:19" ht="13.15" customHeight="1" x14ac:dyDescent="0.2">
      <c r="B148" s="86"/>
      <c r="C148" s="1000"/>
      <c r="D148" s="1093" t="s">
        <v>272</v>
      </c>
      <c r="E148" s="1000"/>
      <c r="F148" s="1267"/>
      <c r="G148" s="1000"/>
      <c r="H148" s="1262">
        <v>0</v>
      </c>
      <c r="I148" s="1253">
        <f t="shared" ref="I148:I158" si="63">H148</f>
        <v>0</v>
      </c>
      <c r="J148" s="1253">
        <f t="shared" ref="J148:J158" si="64">I148</f>
        <v>0</v>
      </c>
      <c r="K148" s="1253">
        <f t="shared" ref="K148:K158" si="65">J148</f>
        <v>0</v>
      </c>
      <c r="L148" s="1253">
        <f t="shared" ref="L148:L158" si="66">K148</f>
        <v>0</v>
      </c>
      <c r="M148" s="1253">
        <f t="shared" ref="M148:M158" si="67">L148</f>
        <v>0</v>
      </c>
      <c r="N148" s="1253">
        <f t="shared" ref="N148:O158" si="68">M148</f>
        <v>0</v>
      </c>
      <c r="O148" s="1253">
        <f t="shared" si="68"/>
        <v>0</v>
      </c>
      <c r="P148" s="1000"/>
      <c r="Q148" s="88"/>
      <c r="R148" s="476"/>
      <c r="S148" s="476"/>
    </row>
    <row r="149" spans="2:19" ht="13.15" customHeight="1" x14ac:dyDescent="0.2">
      <c r="B149" s="86"/>
      <c r="C149" s="1000"/>
      <c r="D149" s="1000" t="s">
        <v>939</v>
      </c>
      <c r="E149" s="1000"/>
      <c r="F149" s="1267"/>
      <c r="G149" s="1000"/>
      <c r="H149" s="1273" t="e">
        <f>+herbest!#REF!+herbest!#REF!</f>
        <v>#REF!</v>
      </c>
      <c r="I149" s="1480">
        <f>+herbest!H30+herbest!H53</f>
        <v>0</v>
      </c>
      <c r="J149" s="1480">
        <f t="shared" ref="J149:O149" si="69">I149</f>
        <v>0</v>
      </c>
      <c r="K149" s="1480">
        <f t="shared" si="69"/>
        <v>0</v>
      </c>
      <c r="L149" s="1480">
        <f t="shared" si="69"/>
        <v>0</v>
      </c>
      <c r="M149" s="1480">
        <f t="shared" si="69"/>
        <v>0</v>
      </c>
      <c r="N149" s="1480">
        <f t="shared" si="69"/>
        <v>0</v>
      </c>
      <c r="O149" s="1480">
        <f t="shared" si="69"/>
        <v>0</v>
      </c>
      <c r="P149" s="1000"/>
      <c r="Q149" s="517"/>
      <c r="R149" s="476"/>
      <c r="S149" s="476"/>
    </row>
    <row r="150" spans="2:19" ht="13.15" customHeight="1" x14ac:dyDescent="0.2">
      <c r="B150" s="86"/>
      <c r="C150" s="1000"/>
      <c r="D150" s="1252"/>
      <c r="E150" s="1000"/>
      <c r="F150" s="1267"/>
      <c r="G150" s="1000"/>
      <c r="H150" s="1262">
        <v>0</v>
      </c>
      <c r="I150" s="1253">
        <f t="shared" si="63"/>
        <v>0</v>
      </c>
      <c r="J150" s="1253">
        <f t="shared" si="64"/>
        <v>0</v>
      </c>
      <c r="K150" s="1253">
        <f t="shared" si="65"/>
        <v>0</v>
      </c>
      <c r="L150" s="1253">
        <f t="shared" si="66"/>
        <v>0</v>
      </c>
      <c r="M150" s="1253">
        <f t="shared" si="67"/>
        <v>0</v>
      </c>
      <c r="N150" s="1253">
        <f t="shared" si="68"/>
        <v>0</v>
      </c>
      <c r="O150" s="1253">
        <f t="shared" si="68"/>
        <v>0</v>
      </c>
      <c r="P150" s="1000"/>
      <c r="Q150" s="88"/>
      <c r="R150" s="476"/>
      <c r="S150" s="476"/>
    </row>
    <row r="151" spans="2:19" ht="13.15" customHeight="1" x14ac:dyDescent="0.2">
      <c r="B151" s="86"/>
      <c r="C151" s="1000"/>
      <c r="D151" s="1252"/>
      <c r="E151" s="1000"/>
      <c r="F151" s="1267"/>
      <c r="G151" s="1000"/>
      <c r="H151" s="1262">
        <v>0</v>
      </c>
      <c r="I151" s="1253">
        <f t="shared" si="63"/>
        <v>0</v>
      </c>
      <c r="J151" s="1253">
        <f t="shared" si="64"/>
        <v>0</v>
      </c>
      <c r="K151" s="1253">
        <f t="shared" si="65"/>
        <v>0</v>
      </c>
      <c r="L151" s="1253">
        <f t="shared" si="66"/>
        <v>0</v>
      </c>
      <c r="M151" s="1253">
        <f t="shared" si="67"/>
        <v>0</v>
      </c>
      <c r="N151" s="1253">
        <f t="shared" si="68"/>
        <v>0</v>
      </c>
      <c r="O151" s="1253">
        <f t="shared" si="68"/>
        <v>0</v>
      </c>
      <c r="P151" s="1000"/>
      <c r="Q151" s="88"/>
      <c r="R151" s="476"/>
      <c r="S151" s="476"/>
    </row>
    <row r="152" spans="2:19" ht="13.15" customHeight="1" x14ac:dyDescent="0.2">
      <c r="B152" s="86"/>
      <c r="C152" s="1000"/>
      <c r="D152" s="1252"/>
      <c r="E152" s="1000"/>
      <c r="F152" s="1267"/>
      <c r="G152" s="1000"/>
      <c r="H152" s="1262">
        <v>0</v>
      </c>
      <c r="I152" s="1253">
        <f t="shared" si="63"/>
        <v>0</v>
      </c>
      <c r="J152" s="1253">
        <f t="shared" si="64"/>
        <v>0</v>
      </c>
      <c r="K152" s="1253">
        <f t="shared" si="65"/>
        <v>0</v>
      </c>
      <c r="L152" s="1253">
        <f t="shared" si="66"/>
        <v>0</v>
      </c>
      <c r="M152" s="1253">
        <f t="shared" si="67"/>
        <v>0</v>
      </c>
      <c r="N152" s="1253">
        <f t="shared" si="68"/>
        <v>0</v>
      </c>
      <c r="O152" s="1253">
        <f t="shared" si="68"/>
        <v>0</v>
      </c>
      <c r="P152" s="1000"/>
      <c r="Q152" s="88"/>
      <c r="R152" s="476"/>
      <c r="S152" s="476"/>
    </row>
    <row r="153" spans="2:19" ht="13.15" customHeight="1" x14ac:dyDescent="0.2">
      <c r="B153" s="86"/>
      <c r="C153" s="1000"/>
      <c r="D153" s="1252"/>
      <c r="E153" s="1000"/>
      <c r="F153" s="1267"/>
      <c r="G153" s="1000"/>
      <c r="H153" s="1262">
        <v>0</v>
      </c>
      <c r="I153" s="1253">
        <f t="shared" si="63"/>
        <v>0</v>
      </c>
      <c r="J153" s="1253">
        <f t="shared" si="64"/>
        <v>0</v>
      </c>
      <c r="K153" s="1253">
        <f t="shared" si="65"/>
        <v>0</v>
      </c>
      <c r="L153" s="1253">
        <f t="shared" si="66"/>
        <v>0</v>
      </c>
      <c r="M153" s="1253">
        <f t="shared" si="67"/>
        <v>0</v>
      </c>
      <c r="N153" s="1253">
        <f t="shared" si="68"/>
        <v>0</v>
      </c>
      <c r="O153" s="1253">
        <f t="shared" si="68"/>
        <v>0</v>
      </c>
      <c r="P153" s="1000"/>
      <c r="Q153" s="88"/>
      <c r="R153" s="476"/>
      <c r="S153" s="476"/>
    </row>
    <row r="154" spans="2:19" ht="13.15" customHeight="1" x14ac:dyDescent="0.2">
      <c r="B154" s="86"/>
      <c r="C154" s="1000"/>
      <c r="D154" s="1252"/>
      <c r="E154" s="1000"/>
      <c r="F154" s="1267"/>
      <c r="G154" s="1000"/>
      <c r="H154" s="1262">
        <v>0</v>
      </c>
      <c r="I154" s="1253">
        <f t="shared" si="63"/>
        <v>0</v>
      </c>
      <c r="J154" s="1253">
        <f t="shared" si="64"/>
        <v>0</v>
      </c>
      <c r="K154" s="1253">
        <f t="shared" si="65"/>
        <v>0</v>
      </c>
      <c r="L154" s="1253">
        <f t="shared" si="66"/>
        <v>0</v>
      </c>
      <c r="M154" s="1253">
        <f t="shared" si="67"/>
        <v>0</v>
      </c>
      <c r="N154" s="1253">
        <f t="shared" si="68"/>
        <v>0</v>
      </c>
      <c r="O154" s="1253">
        <f t="shared" si="68"/>
        <v>0</v>
      </c>
      <c r="P154" s="1000"/>
      <c r="Q154" s="88"/>
      <c r="R154" s="476"/>
      <c r="S154" s="476"/>
    </row>
    <row r="155" spans="2:19" ht="13.15" customHeight="1" x14ac:dyDescent="0.2">
      <c r="B155" s="86"/>
      <c r="C155" s="1000"/>
      <c r="D155" s="1260"/>
      <c r="E155" s="1000"/>
      <c r="F155" s="1267"/>
      <c r="G155" s="1000"/>
      <c r="H155" s="1262">
        <v>0</v>
      </c>
      <c r="I155" s="1253">
        <f t="shared" ref="I155:I157" si="70">H155</f>
        <v>0</v>
      </c>
      <c r="J155" s="1253">
        <f t="shared" ref="J155:J157" si="71">I155</f>
        <v>0</v>
      </c>
      <c r="K155" s="1253">
        <f t="shared" ref="K155:K157" si="72">J155</f>
        <v>0</v>
      </c>
      <c r="L155" s="1253">
        <f t="shared" ref="L155:L157" si="73">K155</f>
        <v>0</v>
      </c>
      <c r="M155" s="1253">
        <f t="shared" ref="M155:M157" si="74">L155</f>
        <v>0</v>
      </c>
      <c r="N155" s="1253">
        <f t="shared" ref="N155:O157" si="75">M155</f>
        <v>0</v>
      </c>
      <c r="O155" s="1253">
        <f t="shared" si="75"/>
        <v>0</v>
      </c>
      <c r="P155" s="1000"/>
      <c r="Q155" s="517"/>
      <c r="R155" s="476"/>
      <c r="S155" s="476"/>
    </row>
    <row r="156" spans="2:19" ht="13.15" customHeight="1" x14ac:dyDescent="0.2">
      <c r="B156" s="86"/>
      <c r="C156" s="1000"/>
      <c r="D156" s="1252"/>
      <c r="E156" s="1000"/>
      <c r="F156" s="1267"/>
      <c r="G156" s="1000"/>
      <c r="H156" s="1262">
        <v>0</v>
      </c>
      <c r="I156" s="1253">
        <f t="shared" si="70"/>
        <v>0</v>
      </c>
      <c r="J156" s="1253">
        <f t="shared" si="71"/>
        <v>0</v>
      </c>
      <c r="K156" s="1253">
        <f t="shared" si="72"/>
        <v>0</v>
      </c>
      <c r="L156" s="1253">
        <f t="shared" si="73"/>
        <v>0</v>
      </c>
      <c r="M156" s="1253">
        <f t="shared" si="74"/>
        <v>0</v>
      </c>
      <c r="N156" s="1253">
        <f t="shared" si="75"/>
        <v>0</v>
      </c>
      <c r="O156" s="1253">
        <f t="shared" si="75"/>
        <v>0</v>
      </c>
      <c r="P156" s="1000"/>
      <c r="Q156" s="517"/>
      <c r="R156" s="476"/>
      <c r="S156" s="476"/>
    </row>
    <row r="157" spans="2:19" ht="13.15" customHeight="1" x14ac:dyDescent="0.2">
      <c r="B157" s="86"/>
      <c r="C157" s="1000"/>
      <c r="D157" s="1252"/>
      <c r="E157" s="1000"/>
      <c r="F157" s="1267"/>
      <c r="G157" s="1000"/>
      <c r="H157" s="1262">
        <v>0</v>
      </c>
      <c r="I157" s="1253">
        <f t="shared" si="70"/>
        <v>0</v>
      </c>
      <c r="J157" s="1253">
        <f t="shared" si="71"/>
        <v>0</v>
      </c>
      <c r="K157" s="1253">
        <f t="shared" si="72"/>
        <v>0</v>
      </c>
      <c r="L157" s="1253">
        <f t="shared" si="73"/>
        <v>0</v>
      </c>
      <c r="M157" s="1253">
        <f t="shared" si="74"/>
        <v>0</v>
      </c>
      <c r="N157" s="1253">
        <f t="shared" si="75"/>
        <v>0</v>
      </c>
      <c r="O157" s="1253">
        <f t="shared" si="75"/>
        <v>0</v>
      </c>
      <c r="P157" s="1000"/>
      <c r="Q157" s="517"/>
      <c r="R157" s="476"/>
      <c r="S157" s="476"/>
    </row>
    <row r="158" spans="2:19" ht="13.15" customHeight="1" x14ac:dyDescent="0.2">
      <c r="B158" s="86"/>
      <c r="C158" s="1000"/>
      <c r="D158" s="1260"/>
      <c r="E158" s="1000"/>
      <c r="F158" s="1267"/>
      <c r="G158" s="1000"/>
      <c r="H158" s="1262">
        <v>0</v>
      </c>
      <c r="I158" s="1253">
        <f t="shared" si="63"/>
        <v>0</v>
      </c>
      <c r="J158" s="1253">
        <f t="shared" si="64"/>
        <v>0</v>
      </c>
      <c r="K158" s="1253">
        <f t="shared" si="65"/>
        <v>0</v>
      </c>
      <c r="L158" s="1253">
        <f t="shared" si="66"/>
        <v>0</v>
      </c>
      <c r="M158" s="1253">
        <f t="shared" si="67"/>
        <v>0</v>
      </c>
      <c r="N158" s="1253">
        <f t="shared" si="68"/>
        <v>0</v>
      </c>
      <c r="O158" s="1253">
        <f t="shared" si="68"/>
        <v>0</v>
      </c>
      <c r="P158" s="1000"/>
      <c r="Q158" s="88"/>
      <c r="R158" s="476"/>
      <c r="S158" s="476"/>
    </row>
    <row r="159" spans="2:19" ht="13.15" customHeight="1" x14ac:dyDescent="0.2">
      <c r="B159" s="86"/>
      <c r="C159" s="1000"/>
      <c r="D159" s="1081"/>
      <c r="E159" s="1000"/>
      <c r="F159" s="1081"/>
      <c r="G159" s="1000"/>
      <c r="H159" s="1255" t="e">
        <f t="shared" ref="H159:N159" si="76">SUM(H146:H158)</f>
        <v>#REF!</v>
      </c>
      <c r="I159" s="1255">
        <f t="shared" si="76"/>
        <v>0</v>
      </c>
      <c r="J159" s="1255">
        <f t="shared" si="76"/>
        <v>0</v>
      </c>
      <c r="K159" s="1255">
        <f t="shared" si="76"/>
        <v>0</v>
      </c>
      <c r="L159" s="1255">
        <f t="shared" si="76"/>
        <v>0</v>
      </c>
      <c r="M159" s="1255">
        <f t="shared" si="76"/>
        <v>0</v>
      </c>
      <c r="N159" s="1255">
        <f t="shared" si="76"/>
        <v>0</v>
      </c>
      <c r="O159" s="1255">
        <f t="shared" ref="O159" si="77">SUM(O146:O158)</f>
        <v>0</v>
      </c>
      <c r="P159" s="1000"/>
      <c r="Q159" s="88"/>
      <c r="R159" s="476"/>
      <c r="S159" s="476"/>
    </row>
    <row r="160" spans="2:19" ht="13.15" customHeight="1" x14ac:dyDescent="0.2">
      <c r="B160" s="86"/>
      <c r="C160" s="1000"/>
      <c r="D160" s="1038"/>
      <c r="E160" s="1037"/>
      <c r="F160" s="1039"/>
      <c r="G160" s="1037"/>
      <c r="H160" s="1250"/>
      <c r="I160" s="1039"/>
      <c r="J160" s="1039"/>
      <c r="K160" s="1039"/>
      <c r="L160" s="1039"/>
      <c r="M160" s="1039"/>
      <c r="N160" s="1039"/>
      <c r="O160" s="1039"/>
      <c r="P160" s="1000"/>
      <c r="Q160" s="88"/>
      <c r="R160" s="476"/>
      <c r="S160" s="476"/>
    </row>
    <row r="161" spans="2:19" ht="13.15" customHeight="1" x14ac:dyDescent="0.2">
      <c r="B161" s="86"/>
      <c r="C161" s="1000"/>
      <c r="D161" s="1038"/>
      <c r="E161" s="1037"/>
      <c r="F161" s="1039"/>
      <c r="G161" s="1037"/>
      <c r="H161" s="1250"/>
      <c r="I161" s="1039"/>
      <c r="J161" s="1039"/>
      <c r="K161" s="1039"/>
      <c r="L161" s="1039"/>
      <c r="M161" s="1039"/>
      <c r="N161" s="1039"/>
      <c r="O161" s="1039"/>
      <c r="P161" s="1000"/>
      <c r="Q161" s="88"/>
      <c r="R161" s="476"/>
      <c r="S161" s="476"/>
    </row>
    <row r="162" spans="2:19" ht="13.15" customHeight="1" x14ac:dyDescent="0.2">
      <c r="B162" s="86"/>
      <c r="C162" s="1000"/>
      <c r="D162" s="1075" t="s">
        <v>688</v>
      </c>
      <c r="E162" s="1037"/>
      <c r="F162" s="1039"/>
      <c r="G162" s="1037"/>
      <c r="H162" s="1250"/>
      <c r="I162" s="1039"/>
      <c r="J162" s="1039"/>
      <c r="K162" s="1039"/>
      <c r="L162" s="1039"/>
      <c r="M162" s="1039"/>
      <c r="N162" s="1039"/>
      <c r="O162" s="1039"/>
      <c r="P162" s="1000"/>
      <c r="Q162" s="88"/>
      <c r="R162" s="476"/>
      <c r="S162" s="476"/>
    </row>
    <row r="163" spans="2:19" ht="13.15" customHeight="1" x14ac:dyDescent="0.2">
      <c r="B163" s="86"/>
      <c r="C163" s="1000"/>
      <c r="D163" s="1037" t="str">
        <f>+pers!D153</f>
        <v>project 1</v>
      </c>
      <c r="E163" s="1037"/>
      <c r="F163" s="1221"/>
      <c r="G163" s="1037"/>
      <c r="H163" s="1259" t="e">
        <f>+project!#REF!*5/12</f>
        <v>#REF!</v>
      </c>
      <c r="I163" s="1259">
        <f>+project!H25</f>
        <v>0</v>
      </c>
      <c r="J163" s="1259">
        <f>+project!I25</f>
        <v>0</v>
      </c>
      <c r="K163" s="1259">
        <f>+project!J25</f>
        <v>0</v>
      </c>
      <c r="L163" s="1259">
        <f>+project!K25</f>
        <v>0</v>
      </c>
      <c r="M163" s="1259">
        <f>+project!L25</f>
        <v>0</v>
      </c>
      <c r="N163" s="1259">
        <f>+project!M25</f>
        <v>0</v>
      </c>
      <c r="O163" s="1259">
        <f>+project!N25</f>
        <v>0</v>
      </c>
      <c r="P163" s="1000"/>
      <c r="Q163" s="88"/>
      <c r="R163" s="476"/>
      <c r="S163" s="476"/>
    </row>
    <row r="164" spans="2:19" ht="13.15" customHeight="1" x14ac:dyDescent="0.2">
      <c r="B164" s="86"/>
      <c r="C164" s="1000"/>
      <c r="D164" s="1037" t="str">
        <f>+pers!D154</f>
        <v>project 2</v>
      </c>
      <c r="E164" s="1037"/>
      <c r="F164" s="1221"/>
      <c r="G164" s="1037"/>
      <c r="H164" s="1259" t="e">
        <f>+project!#REF!</f>
        <v>#REF!</v>
      </c>
      <c r="I164" s="1259">
        <f>+project!H45</f>
        <v>0</v>
      </c>
      <c r="J164" s="1259">
        <f>+project!I45</f>
        <v>0</v>
      </c>
      <c r="K164" s="1259">
        <f>+project!J45</f>
        <v>0</v>
      </c>
      <c r="L164" s="1259">
        <f>+project!K45</f>
        <v>0</v>
      </c>
      <c r="M164" s="1259">
        <f>+project!L45</f>
        <v>0</v>
      </c>
      <c r="N164" s="1259">
        <f>+project!M45</f>
        <v>0</v>
      </c>
      <c r="O164" s="1259">
        <f>+project!N45</f>
        <v>0</v>
      </c>
      <c r="P164" s="1000"/>
      <c r="Q164" s="88"/>
      <c r="R164" s="476"/>
      <c r="S164" s="476"/>
    </row>
    <row r="165" spans="2:19" ht="13.15" customHeight="1" x14ac:dyDescent="0.2">
      <c r="B165" s="86"/>
      <c r="C165" s="1000"/>
      <c r="D165" s="1037" t="str">
        <f>+pers!D155</f>
        <v>project 3</v>
      </c>
      <c r="E165" s="1037"/>
      <c r="F165" s="1221"/>
      <c r="G165" s="1037"/>
      <c r="H165" s="1259" t="e">
        <f>+project!#REF!</f>
        <v>#REF!</v>
      </c>
      <c r="I165" s="1259">
        <f>+project!H65</f>
        <v>0</v>
      </c>
      <c r="J165" s="1259">
        <f>+project!I65</f>
        <v>0</v>
      </c>
      <c r="K165" s="1259">
        <f>+project!J65</f>
        <v>0</v>
      </c>
      <c r="L165" s="1259">
        <f>+project!K65</f>
        <v>0</v>
      </c>
      <c r="M165" s="1259">
        <f>+project!L65</f>
        <v>0</v>
      </c>
      <c r="N165" s="1259">
        <f>+project!M65</f>
        <v>0</v>
      </c>
      <c r="O165" s="1259">
        <f>+project!N65</f>
        <v>0</v>
      </c>
      <c r="P165" s="1000"/>
      <c r="Q165" s="88"/>
      <c r="R165" s="476"/>
      <c r="S165" s="476"/>
    </row>
    <row r="166" spans="2:19" ht="13.15" customHeight="1" x14ac:dyDescent="0.2">
      <c r="B166" s="86"/>
      <c r="C166" s="1000"/>
      <c r="D166" s="1037" t="str">
        <f>+pers!D156</f>
        <v>project 4</v>
      </c>
      <c r="E166" s="1037"/>
      <c r="F166" s="1221"/>
      <c r="G166" s="1037"/>
      <c r="H166" s="1259" t="e">
        <f>+project!#REF!</f>
        <v>#REF!</v>
      </c>
      <c r="I166" s="1259">
        <f>+project!H85</f>
        <v>0</v>
      </c>
      <c r="J166" s="1259">
        <f>+project!I85</f>
        <v>0</v>
      </c>
      <c r="K166" s="1259">
        <f>+project!J85</f>
        <v>0</v>
      </c>
      <c r="L166" s="1259">
        <f>+project!K85</f>
        <v>0</v>
      </c>
      <c r="M166" s="1259">
        <f>+project!L85</f>
        <v>0</v>
      </c>
      <c r="N166" s="1259">
        <f>+project!M85</f>
        <v>0</v>
      </c>
      <c r="O166" s="1259">
        <f>+project!N85</f>
        <v>0</v>
      </c>
      <c r="P166" s="1000"/>
      <c r="Q166" s="88"/>
      <c r="R166" s="476"/>
      <c r="S166" s="476"/>
    </row>
    <row r="167" spans="2:19" ht="13.15" customHeight="1" x14ac:dyDescent="0.2">
      <c r="B167" s="86"/>
      <c r="C167" s="1000"/>
      <c r="D167" s="1037" t="str">
        <f>+pers!D157</f>
        <v>project 5</v>
      </c>
      <c r="E167" s="1037"/>
      <c r="F167" s="1221"/>
      <c r="G167" s="1037"/>
      <c r="H167" s="1259" t="e">
        <f>+project!#REF!</f>
        <v>#REF!</v>
      </c>
      <c r="I167" s="1259">
        <f>+project!H105</f>
        <v>0</v>
      </c>
      <c r="J167" s="1259">
        <f>+project!I105</f>
        <v>0</v>
      </c>
      <c r="K167" s="1259">
        <f>+project!J105</f>
        <v>0</v>
      </c>
      <c r="L167" s="1259">
        <f>+project!K105</f>
        <v>0</v>
      </c>
      <c r="M167" s="1259">
        <f>+project!L105</f>
        <v>0</v>
      </c>
      <c r="N167" s="1259">
        <f>+project!M105</f>
        <v>0</v>
      </c>
      <c r="O167" s="1259">
        <f>+project!N105</f>
        <v>0</v>
      </c>
      <c r="P167" s="1000"/>
      <c r="Q167" s="88"/>
      <c r="R167" s="476"/>
      <c r="S167" s="476"/>
    </row>
    <row r="168" spans="2:19" ht="13.15" customHeight="1" x14ac:dyDescent="0.2">
      <c r="B168" s="86"/>
      <c r="C168" s="1000"/>
      <c r="D168" s="1037" t="str">
        <f>+pers!D158</f>
        <v>project 6</v>
      </c>
      <c r="E168" s="1037"/>
      <c r="F168" s="1221"/>
      <c r="G168" s="1037"/>
      <c r="H168" s="1259" t="e">
        <f>+project!#REF!</f>
        <v>#REF!</v>
      </c>
      <c r="I168" s="1259">
        <f>+project!H129</f>
        <v>0</v>
      </c>
      <c r="J168" s="1259">
        <f>+project!I129</f>
        <v>0</v>
      </c>
      <c r="K168" s="1259">
        <f>+project!J129</f>
        <v>0</v>
      </c>
      <c r="L168" s="1259">
        <f>+project!K129</f>
        <v>0</v>
      </c>
      <c r="M168" s="1259">
        <f>+project!L129</f>
        <v>0</v>
      </c>
      <c r="N168" s="1259">
        <f>+project!M129</f>
        <v>0</v>
      </c>
      <c r="O168" s="1259">
        <f>+project!N129</f>
        <v>0</v>
      </c>
      <c r="P168" s="1000"/>
      <c r="Q168" s="88"/>
      <c r="R168" s="476"/>
      <c r="S168" s="476"/>
    </row>
    <row r="169" spans="2:19" ht="13.15" customHeight="1" x14ac:dyDescent="0.2">
      <c r="B169" s="86"/>
      <c r="C169" s="1000"/>
      <c r="D169" s="1037" t="str">
        <f>+pers!D159</f>
        <v>project 7</v>
      </c>
      <c r="E169" s="1037"/>
      <c r="F169" s="1221"/>
      <c r="G169" s="1037"/>
      <c r="H169" s="1259" t="e">
        <f>+project!#REF!</f>
        <v>#REF!</v>
      </c>
      <c r="I169" s="1259">
        <f>+project!H149</f>
        <v>0</v>
      </c>
      <c r="J169" s="1259">
        <f>+project!I149</f>
        <v>0</v>
      </c>
      <c r="K169" s="1259">
        <f>+project!J149</f>
        <v>0</v>
      </c>
      <c r="L169" s="1259">
        <f>+project!K149</f>
        <v>0</v>
      </c>
      <c r="M169" s="1259">
        <f>+project!L149</f>
        <v>0</v>
      </c>
      <c r="N169" s="1259">
        <f>+project!M149</f>
        <v>0</v>
      </c>
      <c r="O169" s="1259">
        <f>+project!N149</f>
        <v>0</v>
      </c>
      <c r="P169" s="1000"/>
      <c r="Q169" s="88"/>
      <c r="R169" s="476"/>
      <c r="S169" s="476"/>
    </row>
    <row r="170" spans="2:19" ht="13.15" customHeight="1" x14ac:dyDescent="0.2">
      <c r="B170" s="86"/>
      <c r="C170" s="1000"/>
      <c r="D170" s="1037" t="str">
        <f>+pers!D160</f>
        <v>project 8</v>
      </c>
      <c r="E170" s="1037"/>
      <c r="F170" s="1221"/>
      <c r="G170" s="1037"/>
      <c r="H170" s="1259" t="e">
        <f>+project!#REF!</f>
        <v>#REF!</v>
      </c>
      <c r="I170" s="1259">
        <f>+project!H169</f>
        <v>0</v>
      </c>
      <c r="J170" s="1259">
        <f>+project!I169</f>
        <v>0</v>
      </c>
      <c r="K170" s="1259">
        <f>+project!J169</f>
        <v>0</v>
      </c>
      <c r="L170" s="1259">
        <f>+project!K169</f>
        <v>0</v>
      </c>
      <c r="M170" s="1259">
        <f>+project!L169</f>
        <v>0</v>
      </c>
      <c r="N170" s="1259">
        <f>+project!M169</f>
        <v>0</v>
      </c>
      <c r="O170" s="1259">
        <f>+project!N169</f>
        <v>0</v>
      </c>
      <c r="P170" s="1000"/>
      <c r="Q170" s="88"/>
      <c r="R170" s="476"/>
      <c r="S170" s="476"/>
    </row>
    <row r="171" spans="2:19" ht="13.15" customHeight="1" x14ac:dyDescent="0.2">
      <c r="B171" s="86"/>
      <c r="C171" s="1000"/>
      <c r="D171" s="1037" t="str">
        <f>+pers!D161</f>
        <v>project 9</v>
      </c>
      <c r="E171" s="1037"/>
      <c r="F171" s="1221"/>
      <c r="G171" s="1037"/>
      <c r="H171" s="1259" t="e">
        <f>+project!#REF!</f>
        <v>#REF!</v>
      </c>
      <c r="I171" s="1259">
        <f>+project!H189</f>
        <v>0</v>
      </c>
      <c r="J171" s="1259">
        <f>+project!I189</f>
        <v>0</v>
      </c>
      <c r="K171" s="1259">
        <f>+project!J189</f>
        <v>0</v>
      </c>
      <c r="L171" s="1259">
        <f>+project!K189</f>
        <v>0</v>
      </c>
      <c r="M171" s="1259">
        <f>+project!L189</f>
        <v>0</v>
      </c>
      <c r="N171" s="1259">
        <f>+project!M189</f>
        <v>0</v>
      </c>
      <c r="O171" s="1259">
        <f>+project!N189</f>
        <v>0</v>
      </c>
      <c r="P171" s="1000"/>
      <c r="Q171" s="88"/>
      <c r="R171" s="476"/>
      <c r="S171" s="476"/>
    </row>
    <row r="172" spans="2:19" ht="13.15" customHeight="1" x14ac:dyDescent="0.2">
      <c r="B172" s="86"/>
      <c r="C172" s="1000"/>
      <c r="D172" s="1037" t="str">
        <f>+pers!D162</f>
        <v>project 10</v>
      </c>
      <c r="E172" s="1037"/>
      <c r="F172" s="1221"/>
      <c r="G172" s="1037"/>
      <c r="H172" s="1259" t="e">
        <f>+project!#REF!</f>
        <v>#REF!</v>
      </c>
      <c r="I172" s="1259">
        <f>+project!H209</f>
        <v>0</v>
      </c>
      <c r="J172" s="1259">
        <f>+project!I209</f>
        <v>0</v>
      </c>
      <c r="K172" s="1259">
        <f>+project!J209</f>
        <v>0</v>
      </c>
      <c r="L172" s="1259">
        <f>+project!K209</f>
        <v>0</v>
      </c>
      <c r="M172" s="1259">
        <f>+project!L209</f>
        <v>0</v>
      </c>
      <c r="N172" s="1259">
        <f>+project!M209</f>
        <v>0</v>
      </c>
      <c r="O172" s="1259">
        <f>+project!N209</f>
        <v>0</v>
      </c>
      <c r="P172" s="1000"/>
      <c r="Q172" s="88"/>
      <c r="R172" s="476"/>
      <c r="S172" s="476"/>
    </row>
    <row r="173" spans="2:19" ht="13.15" customHeight="1" x14ac:dyDescent="0.2">
      <c r="B173" s="86"/>
      <c r="C173" s="1000"/>
      <c r="D173" s="1037"/>
      <c r="E173" s="1037"/>
      <c r="F173" s="1039"/>
      <c r="G173" s="1037"/>
      <c r="H173" s="1274" t="e">
        <f t="shared" ref="H173:N173" si="78">SUM(H163:H172)</f>
        <v>#REF!</v>
      </c>
      <c r="I173" s="1274">
        <f t="shared" si="78"/>
        <v>0</v>
      </c>
      <c r="J173" s="1274">
        <f t="shared" si="78"/>
        <v>0</v>
      </c>
      <c r="K173" s="1274">
        <f t="shared" si="78"/>
        <v>0</v>
      </c>
      <c r="L173" s="1274">
        <f t="shared" si="78"/>
        <v>0</v>
      </c>
      <c r="M173" s="1274">
        <f t="shared" si="78"/>
        <v>0</v>
      </c>
      <c r="N173" s="1274">
        <f t="shared" si="78"/>
        <v>0</v>
      </c>
      <c r="O173" s="1274">
        <f t="shared" ref="O173" si="79">SUM(O163:O172)</f>
        <v>0</v>
      </c>
      <c r="P173" s="1000"/>
      <c r="Q173" s="88"/>
      <c r="R173" s="476"/>
      <c r="S173" s="476"/>
    </row>
    <row r="174" spans="2:19" ht="13.15" customHeight="1" x14ac:dyDescent="0.2">
      <c r="B174" s="86"/>
      <c r="C174" s="1000"/>
      <c r="D174" s="1038"/>
      <c r="E174" s="1037"/>
      <c r="F174" s="1039"/>
      <c r="G174" s="1037"/>
      <c r="H174" s="1250"/>
      <c r="I174" s="1039"/>
      <c r="J174" s="1039"/>
      <c r="K174" s="1039"/>
      <c r="L174" s="1039"/>
      <c r="M174" s="1039"/>
      <c r="N174" s="1039"/>
      <c r="O174" s="1039"/>
      <c r="P174" s="1000"/>
      <c r="Q174" s="88"/>
      <c r="R174" s="476"/>
      <c r="S174" s="476"/>
    </row>
    <row r="175" spans="2:19" ht="13.15" customHeight="1" x14ac:dyDescent="0.2">
      <c r="B175" s="86"/>
      <c r="C175" s="1000"/>
      <c r="D175" s="1075"/>
      <c r="E175" s="1000"/>
      <c r="F175" s="1076"/>
      <c r="G175" s="1000"/>
      <c r="H175" s="1256"/>
      <c r="I175" s="1076"/>
      <c r="J175" s="1076"/>
      <c r="K175" s="1076"/>
      <c r="L175" s="1076"/>
      <c r="M175" s="1076"/>
      <c r="N175" s="1076"/>
      <c r="O175" s="1076"/>
      <c r="P175" s="1000"/>
      <c r="Q175" s="88"/>
      <c r="R175" s="476"/>
      <c r="S175" s="476"/>
    </row>
    <row r="176" spans="2:19" ht="13.15" customHeight="1" x14ac:dyDescent="0.2">
      <c r="B176" s="86"/>
      <c r="C176" s="1000"/>
      <c r="D176" s="1075" t="s">
        <v>268</v>
      </c>
      <c r="E176" s="1000"/>
      <c r="F176" s="1076"/>
      <c r="G176" s="1000"/>
      <c r="H176" s="1255" t="e">
        <f t="shared" ref="H176:N176" si="80">H142+H159+H173</f>
        <v>#REF!</v>
      </c>
      <c r="I176" s="1275">
        <f t="shared" si="80"/>
        <v>0</v>
      </c>
      <c r="J176" s="1275">
        <f t="shared" si="80"/>
        <v>0</v>
      </c>
      <c r="K176" s="1275">
        <f t="shared" si="80"/>
        <v>0</v>
      </c>
      <c r="L176" s="1275">
        <f t="shared" si="80"/>
        <v>0</v>
      </c>
      <c r="M176" s="1275">
        <f t="shared" si="80"/>
        <v>0</v>
      </c>
      <c r="N176" s="1275">
        <f t="shared" si="80"/>
        <v>0</v>
      </c>
      <c r="O176" s="1275">
        <f t="shared" ref="O176" si="81">O142+O159+O173</f>
        <v>0</v>
      </c>
      <c r="P176" s="1000"/>
      <c r="Q176" s="88"/>
      <c r="R176" s="476"/>
      <c r="S176" s="476"/>
    </row>
    <row r="177" spans="2:20" ht="13.15" customHeight="1" x14ac:dyDescent="0.2">
      <c r="B177" s="86"/>
      <c r="C177" s="1000"/>
      <c r="D177" s="1000"/>
      <c r="E177" s="1000"/>
      <c r="F177" s="1076"/>
      <c r="G177" s="1000"/>
      <c r="H177" s="1257"/>
      <c r="I177" s="1076"/>
      <c r="J177" s="1076"/>
      <c r="K177" s="1076"/>
      <c r="L177" s="1076"/>
      <c r="M177" s="1076"/>
      <c r="N177" s="1076"/>
      <c r="O177" s="1076"/>
      <c r="P177" s="1000"/>
      <c r="Q177" s="88"/>
      <c r="R177" s="476"/>
      <c r="S177" s="476"/>
    </row>
    <row r="178" spans="2:20" ht="13.15" customHeight="1" x14ac:dyDescent="0.2">
      <c r="B178" s="86"/>
      <c r="C178" s="1265"/>
      <c r="D178" s="1265"/>
      <c r="E178" s="1265"/>
      <c r="F178" s="1266"/>
      <c r="G178" s="1265"/>
      <c r="H178" s="1265"/>
      <c r="I178" s="1276"/>
      <c r="J178" s="1276"/>
      <c r="K178" s="1276"/>
      <c r="L178" s="1276"/>
      <c r="M178" s="1276"/>
      <c r="N178" s="1276"/>
      <c r="O178" s="1276"/>
      <c r="P178" s="1265"/>
      <c r="Q178" s="88"/>
      <c r="R178" s="476"/>
      <c r="S178" s="476"/>
    </row>
    <row r="179" spans="2:20" ht="13.15" customHeight="1" x14ac:dyDescent="0.2">
      <c r="B179" s="86"/>
      <c r="C179" s="1000"/>
      <c r="D179" s="1000"/>
      <c r="E179" s="1000"/>
      <c r="F179" s="1076"/>
      <c r="G179" s="1000"/>
      <c r="H179" s="1257"/>
      <c r="I179" s="1076"/>
      <c r="J179" s="1076"/>
      <c r="K179" s="1076"/>
      <c r="L179" s="1076"/>
      <c r="M179" s="1076"/>
      <c r="N179" s="1076"/>
      <c r="O179" s="1076"/>
      <c r="P179" s="1000"/>
      <c r="Q179" s="88"/>
      <c r="R179" s="476"/>
      <c r="S179" s="476"/>
    </row>
    <row r="180" spans="2:20" ht="13.15" customHeight="1" x14ac:dyDescent="0.2">
      <c r="B180" s="86"/>
      <c r="C180" s="1000"/>
      <c r="D180" s="1075" t="s">
        <v>335</v>
      </c>
      <c r="E180" s="1000"/>
      <c r="F180" s="1076"/>
      <c r="G180" s="1000"/>
      <c r="H180" s="1255" t="e">
        <f t="shared" ref="H180:N180" si="82">H105+H125+H176</f>
        <v>#REF!</v>
      </c>
      <c r="I180" s="1255">
        <f t="shared" si="82"/>
        <v>0</v>
      </c>
      <c r="J180" s="1255">
        <f t="shared" si="82"/>
        <v>0</v>
      </c>
      <c r="K180" s="1255">
        <f t="shared" si="82"/>
        <v>0</v>
      </c>
      <c r="L180" s="1255">
        <f t="shared" si="82"/>
        <v>0</v>
      </c>
      <c r="M180" s="1255">
        <f t="shared" si="82"/>
        <v>0</v>
      </c>
      <c r="N180" s="1255">
        <f t="shared" si="82"/>
        <v>0</v>
      </c>
      <c r="O180" s="1255">
        <f t="shared" ref="O180" si="83">O105+O125+O176</f>
        <v>0</v>
      </c>
      <c r="P180" s="1000"/>
      <c r="Q180" s="88"/>
      <c r="R180" s="476"/>
      <c r="S180" s="476"/>
    </row>
    <row r="181" spans="2:20" ht="13.15" customHeight="1" x14ac:dyDescent="0.2">
      <c r="B181" s="86"/>
      <c r="C181" s="1096"/>
      <c r="D181" s="1096"/>
      <c r="E181" s="1096"/>
      <c r="F181" s="1098"/>
      <c r="G181" s="1096"/>
      <c r="H181" s="1277"/>
      <c r="I181" s="1098"/>
      <c r="J181" s="1098"/>
      <c r="K181" s="1098"/>
      <c r="L181" s="1098"/>
      <c r="M181" s="1098"/>
      <c r="N181" s="1098"/>
      <c r="O181" s="1098"/>
      <c r="P181" s="1096"/>
      <c r="Q181" s="88"/>
      <c r="R181" s="476"/>
      <c r="S181" s="476"/>
    </row>
    <row r="182" spans="2:20" ht="13.15" customHeight="1" x14ac:dyDescent="0.2">
      <c r="B182" s="86"/>
      <c r="C182" s="1279"/>
      <c r="D182" s="1279"/>
      <c r="E182" s="1279"/>
      <c r="F182" s="1280"/>
      <c r="G182" s="1279"/>
      <c r="H182" s="1279"/>
      <c r="I182" s="1280"/>
      <c r="J182" s="1280"/>
      <c r="K182" s="1280"/>
      <c r="L182" s="1280"/>
      <c r="M182" s="1280"/>
      <c r="N182" s="1280"/>
      <c r="O182" s="1280"/>
      <c r="P182" s="1279"/>
      <c r="Q182" s="88"/>
      <c r="R182" s="476"/>
      <c r="S182" s="476"/>
    </row>
    <row r="183" spans="2:20" ht="13.15" customHeight="1" x14ac:dyDescent="0.2">
      <c r="B183" s="86"/>
      <c r="C183" s="1279"/>
      <c r="D183" s="1279"/>
      <c r="E183" s="1279"/>
      <c r="F183" s="1280"/>
      <c r="G183" s="1279"/>
      <c r="H183" s="1279"/>
      <c r="I183" s="1280"/>
      <c r="J183" s="1280"/>
      <c r="K183" s="1280"/>
      <c r="L183" s="1280"/>
      <c r="M183" s="1280"/>
      <c r="N183" s="1280"/>
      <c r="O183" s="1280"/>
      <c r="P183" s="1279"/>
      <c r="Q183" s="88"/>
      <c r="R183" s="476"/>
      <c r="S183" s="476"/>
    </row>
    <row r="184" spans="2:20" ht="13.15" customHeight="1" x14ac:dyDescent="0.2">
      <c r="B184" s="86"/>
      <c r="C184" s="997"/>
      <c r="D184" s="997"/>
      <c r="E184" s="997"/>
      <c r="F184" s="1102"/>
      <c r="G184" s="997"/>
      <c r="H184" s="1278"/>
      <c r="I184" s="1102"/>
      <c r="J184" s="1102"/>
      <c r="K184" s="1102"/>
      <c r="L184" s="1102"/>
      <c r="M184" s="1102"/>
      <c r="N184" s="1102"/>
      <c r="O184" s="1102"/>
      <c r="P184" s="997"/>
      <c r="Q184" s="88"/>
      <c r="R184" s="476"/>
      <c r="S184" s="476"/>
    </row>
    <row r="185" spans="2:20" ht="13.15" customHeight="1" x14ac:dyDescent="0.2">
      <c r="B185" s="86"/>
      <c r="C185" s="1000"/>
      <c r="D185" s="1049" t="s">
        <v>336</v>
      </c>
      <c r="E185" s="1000"/>
      <c r="F185" s="1076"/>
      <c r="G185" s="1000"/>
      <c r="H185" s="1255" t="e">
        <f t="shared" ref="H185:N185" si="84">H89-H180</f>
        <v>#REF!</v>
      </c>
      <c r="I185" s="1255">
        <f t="shared" si="84"/>
        <v>0</v>
      </c>
      <c r="J185" s="1255">
        <f t="shared" si="84"/>
        <v>0</v>
      </c>
      <c r="K185" s="1255">
        <f t="shared" si="84"/>
        <v>0</v>
      </c>
      <c r="L185" s="1255">
        <f t="shared" si="84"/>
        <v>0</v>
      </c>
      <c r="M185" s="1255">
        <f t="shared" si="84"/>
        <v>0</v>
      </c>
      <c r="N185" s="1255">
        <f t="shared" si="84"/>
        <v>0</v>
      </c>
      <c r="O185" s="1255">
        <f t="shared" ref="O185" si="85">O89-O180</f>
        <v>0</v>
      </c>
      <c r="P185" s="1000"/>
      <c r="Q185" s="88"/>
      <c r="R185" s="476"/>
      <c r="S185" s="476"/>
    </row>
    <row r="186" spans="2:20" ht="13.15" customHeight="1" x14ac:dyDescent="0.2">
      <c r="B186" s="86"/>
      <c r="C186" s="1000"/>
      <c r="D186" s="1000"/>
      <c r="E186" s="1000"/>
      <c r="F186" s="1076"/>
      <c r="G186" s="1000"/>
      <c r="H186" s="1257"/>
      <c r="I186" s="1076"/>
      <c r="J186" s="1076"/>
      <c r="K186" s="1076"/>
      <c r="L186" s="1076"/>
      <c r="M186" s="1076"/>
      <c r="N186" s="1076"/>
      <c r="O186" s="1076"/>
      <c r="P186" s="1000"/>
      <c r="Q186" s="88"/>
      <c r="R186" s="476"/>
      <c r="S186" s="476"/>
    </row>
    <row r="187" spans="2:20" ht="13.15" customHeight="1" x14ac:dyDescent="0.2">
      <c r="B187" s="86"/>
      <c r="C187" s="87"/>
      <c r="D187" s="87"/>
      <c r="E187" s="87"/>
      <c r="F187" s="80"/>
      <c r="G187" s="87"/>
      <c r="H187" s="87"/>
      <c r="I187" s="80"/>
      <c r="J187" s="80"/>
      <c r="K187" s="80"/>
      <c r="L187" s="80"/>
      <c r="M187" s="80"/>
      <c r="N187" s="80"/>
      <c r="O187" s="80"/>
      <c r="P187" s="87"/>
      <c r="Q187" s="88"/>
      <c r="R187" s="476"/>
      <c r="S187" s="476"/>
    </row>
    <row r="188" spans="2:20" ht="13.15" customHeight="1" x14ac:dyDescent="0.25">
      <c r="B188" s="96"/>
      <c r="C188" s="93"/>
      <c r="D188" s="93"/>
      <c r="E188" s="93"/>
      <c r="F188" s="94"/>
      <c r="G188" s="93"/>
      <c r="H188" s="93"/>
      <c r="I188" s="289"/>
      <c r="J188" s="289"/>
      <c r="K188" s="289"/>
      <c r="L188" s="289"/>
      <c r="M188" s="289"/>
      <c r="N188" s="289"/>
      <c r="O188" s="289"/>
      <c r="P188" s="36" t="s">
        <v>464</v>
      </c>
      <c r="Q188" s="95"/>
      <c r="R188" s="476"/>
      <c r="S188" s="476"/>
    </row>
    <row r="189" spans="2:20" ht="13.15" customHeight="1" x14ac:dyDescent="0.2">
      <c r="B189" s="476"/>
      <c r="C189" s="476"/>
      <c r="D189" s="476"/>
      <c r="E189" s="476"/>
      <c r="F189" s="476"/>
      <c r="G189" s="476"/>
      <c r="H189" s="476"/>
      <c r="I189" s="476"/>
      <c r="J189" s="476"/>
      <c r="K189" s="476"/>
      <c r="L189" s="476"/>
      <c r="M189" s="476"/>
      <c r="N189" s="476"/>
      <c r="O189" s="476"/>
      <c r="P189" s="476"/>
      <c r="Q189" s="476"/>
      <c r="R189" s="476"/>
      <c r="S189" s="476"/>
      <c r="T189" s="476"/>
    </row>
    <row r="190" spans="2:20" ht="13.15" customHeight="1" x14ac:dyDescent="0.2">
      <c r="B190" s="476"/>
      <c r="C190" s="476"/>
      <c r="D190" s="476"/>
      <c r="E190" s="476"/>
      <c r="F190" s="476"/>
      <c r="G190" s="476"/>
      <c r="H190" s="476"/>
      <c r="I190" s="476"/>
      <c r="J190" s="476"/>
      <c r="K190" s="476"/>
      <c r="L190" s="476"/>
      <c r="M190" s="476"/>
      <c r="N190" s="476"/>
      <c r="O190" s="476"/>
      <c r="P190" s="476"/>
      <c r="Q190" s="476"/>
      <c r="R190" s="476"/>
      <c r="S190" s="476"/>
      <c r="T190" s="476"/>
    </row>
    <row r="191" spans="2:20" ht="13.15" customHeight="1" x14ac:dyDescent="0.2">
      <c r="B191" s="476"/>
      <c r="C191" s="476"/>
      <c r="D191" s="476"/>
      <c r="E191" s="476"/>
      <c r="F191" s="476"/>
      <c r="G191" s="476"/>
      <c r="H191" s="476"/>
      <c r="I191" s="476"/>
      <c r="J191" s="476"/>
      <c r="K191" s="476"/>
      <c r="L191" s="476"/>
      <c r="M191" s="476"/>
      <c r="N191" s="476"/>
      <c r="O191" s="476"/>
      <c r="P191" s="476"/>
      <c r="Q191" s="476"/>
      <c r="R191" s="476"/>
      <c r="S191" s="476"/>
      <c r="T191" s="476"/>
    </row>
    <row r="192" spans="2:20" ht="13.15" customHeight="1" x14ac:dyDescent="0.2">
      <c r="B192" s="476"/>
      <c r="C192" s="476"/>
      <c r="D192" s="476"/>
      <c r="E192" s="476"/>
      <c r="F192" s="476"/>
      <c r="G192" s="476"/>
      <c r="H192" s="476"/>
      <c r="I192" s="476"/>
      <c r="J192" s="476"/>
      <c r="K192" s="476"/>
      <c r="L192" s="476"/>
      <c r="M192" s="476"/>
      <c r="N192" s="476"/>
      <c r="O192" s="476"/>
      <c r="P192" s="476"/>
      <c r="Q192" s="476"/>
      <c r="R192" s="476"/>
      <c r="S192" s="476"/>
      <c r="T192" s="476"/>
    </row>
    <row r="193" spans="2:20" s="601" customFormat="1" ht="13.15" customHeight="1" x14ac:dyDescent="0.2">
      <c r="B193" s="476"/>
      <c r="C193" s="476"/>
      <c r="D193" s="825"/>
      <c r="E193" s="825"/>
      <c r="F193" s="825"/>
      <c r="G193" s="825"/>
      <c r="H193" s="825"/>
      <c r="I193" s="825"/>
      <c r="J193" s="825"/>
      <c r="K193" s="825"/>
      <c r="L193" s="825"/>
      <c r="M193" s="825"/>
      <c r="N193" s="825"/>
      <c r="O193" s="825"/>
      <c r="P193" s="476"/>
      <c r="Q193" s="476"/>
      <c r="R193" s="476"/>
      <c r="S193" s="476"/>
      <c r="T193" s="476"/>
    </row>
    <row r="194" spans="2:20" s="601" customFormat="1" ht="13.15" customHeight="1" x14ac:dyDescent="0.3">
      <c r="B194" s="902"/>
      <c r="D194" s="908"/>
      <c r="E194" s="908"/>
      <c r="F194" s="908"/>
      <c r="G194" s="908"/>
      <c r="H194" s="827" t="s">
        <v>232</v>
      </c>
      <c r="I194" s="825"/>
      <c r="J194" s="825"/>
      <c r="K194" s="825"/>
      <c r="L194" s="825"/>
      <c r="M194" s="825"/>
      <c r="N194" s="825"/>
      <c r="O194" s="825"/>
      <c r="P194" s="476"/>
      <c r="Q194" s="476"/>
      <c r="R194" s="476"/>
      <c r="S194" s="476"/>
      <c r="T194" s="476"/>
    </row>
    <row r="195" spans="2:20" s="601" customFormat="1" ht="13.15" customHeight="1" x14ac:dyDescent="0.2">
      <c r="B195" s="476"/>
      <c r="C195" s="476"/>
      <c r="D195" s="829" t="s">
        <v>689</v>
      </c>
      <c r="E195" s="909"/>
      <c r="F195" s="910"/>
      <c r="G195" s="910"/>
      <c r="H195" s="828" t="e">
        <f>+tab!#REF!</f>
        <v>#REF!</v>
      </c>
      <c r="I195" s="828" t="str">
        <f>+tab!C2</f>
        <v>2015/16</v>
      </c>
      <c r="J195" s="828" t="str">
        <f>+tab!D2</f>
        <v>2016/17</v>
      </c>
      <c r="K195" s="828" t="str">
        <f>+tab!E2</f>
        <v>2017/18</v>
      </c>
      <c r="L195" s="828" t="str">
        <f>+tab!F2</f>
        <v>2018/19</v>
      </c>
      <c r="M195" s="828" t="str">
        <f>+tab!G2</f>
        <v>2019/20</v>
      </c>
      <c r="N195" s="828" t="str">
        <f>+tab!H2</f>
        <v>2020/21</v>
      </c>
      <c r="O195" s="828" t="str">
        <f>+tab!I2</f>
        <v>2021/22</v>
      </c>
      <c r="P195" s="903"/>
      <c r="Q195" s="683"/>
      <c r="R195" s="476"/>
      <c r="S195" s="901"/>
      <c r="T195" s="476"/>
    </row>
    <row r="196" spans="2:20" s="601" customFormat="1" ht="13.15" customHeight="1" x14ac:dyDescent="0.2">
      <c r="B196" s="476"/>
      <c r="C196" s="476"/>
      <c r="D196" s="825" t="s">
        <v>403</v>
      </c>
      <c r="E196" s="825"/>
      <c r="F196" s="826"/>
      <c r="G196" s="825"/>
      <c r="H196" s="911"/>
      <c r="I196" s="911"/>
      <c r="J196" s="911"/>
      <c r="K196" s="911"/>
      <c r="L196" s="825"/>
      <c r="M196" s="825"/>
      <c r="N196" s="825"/>
      <c r="O196" s="825"/>
      <c r="P196" s="476"/>
      <c r="Q196" s="476"/>
      <c r="R196" s="476"/>
      <c r="S196" s="476"/>
      <c r="T196" s="476"/>
    </row>
    <row r="197" spans="2:20" s="601" customFormat="1" ht="13.15" customHeight="1" x14ac:dyDescent="0.2">
      <c r="B197" s="476"/>
      <c r="C197" s="476"/>
      <c r="D197" s="912" t="s">
        <v>221</v>
      </c>
      <c r="E197" s="825"/>
      <c r="F197" s="826"/>
      <c r="G197" s="825"/>
      <c r="H197" s="911" t="e">
        <f>H38+0.583333333333333*I38</f>
        <v>#REF!</v>
      </c>
      <c r="I197" s="911">
        <f>0.416666666666667*I38+7/12*J38</f>
        <v>0</v>
      </c>
      <c r="J197" s="911">
        <f>0.416666666666667*J38+7/12*K38</f>
        <v>0</v>
      </c>
      <c r="K197" s="911">
        <f>0.416666666666667*K38+0.583333333333333*L38</f>
        <v>0</v>
      </c>
      <c r="L197" s="911">
        <f>0.416666666666667*L38+0.583333333333333*M38</f>
        <v>0</v>
      </c>
      <c r="M197" s="911">
        <f>0.416666666666667*M38+0.583333333333333*N38</f>
        <v>0</v>
      </c>
      <c r="N197" s="911">
        <f>0.416666666666667*N38+0.583333333333333*O38</f>
        <v>0</v>
      </c>
      <c r="O197" s="911">
        <f>O38</f>
        <v>0</v>
      </c>
      <c r="P197" s="904"/>
      <c r="Q197" s="476"/>
      <c r="R197" s="476"/>
      <c r="S197" s="476"/>
      <c r="T197" s="476"/>
    </row>
    <row r="198" spans="2:20" s="601" customFormat="1" ht="13.15" customHeight="1" x14ac:dyDescent="0.2">
      <c r="B198" s="476"/>
      <c r="C198" s="476"/>
      <c r="D198" s="912" t="s">
        <v>324</v>
      </c>
      <c r="E198" s="825"/>
      <c r="F198" s="826"/>
      <c r="G198" s="825"/>
      <c r="H198" s="911">
        <f>H58+0.583333333333333*I58</f>
        <v>0</v>
      </c>
      <c r="I198" s="911">
        <f>0.416666666666667*I58+7/12*J58</f>
        <v>0</v>
      </c>
      <c r="J198" s="911">
        <f>0.416666666666667*J58+7/12*K58</f>
        <v>0</v>
      </c>
      <c r="K198" s="911">
        <f>0.416666666666667*K58+0.583333333333333*L58</f>
        <v>0</v>
      </c>
      <c r="L198" s="911">
        <f>0.416666666666667*L58+0.583333333333333*M58</f>
        <v>0</v>
      </c>
      <c r="M198" s="911">
        <f>0.416666666666667*M58+0.583333333333333*N58</f>
        <v>0</v>
      </c>
      <c r="N198" s="911">
        <f>0.416666666666667*N58+0.583333333333333*O58</f>
        <v>0</v>
      </c>
      <c r="O198" s="911">
        <f>O58</f>
        <v>0</v>
      </c>
      <c r="P198" s="904"/>
      <c r="Q198" s="476"/>
      <c r="R198" s="476"/>
      <c r="S198" s="476"/>
      <c r="T198" s="476"/>
    </row>
    <row r="199" spans="2:20" s="601" customFormat="1" ht="13.15" hidden="1" customHeight="1" x14ac:dyDescent="0.2">
      <c r="B199" s="476"/>
      <c r="C199" s="476"/>
      <c r="D199" s="912" t="s">
        <v>340</v>
      </c>
      <c r="E199" s="825"/>
      <c r="F199" s="826"/>
      <c r="G199" s="825"/>
      <c r="H199" s="911"/>
      <c r="I199" s="911"/>
      <c r="J199" s="911"/>
      <c r="K199" s="911"/>
      <c r="L199" s="911"/>
      <c r="M199" s="911"/>
      <c r="N199" s="911"/>
      <c r="O199" s="911"/>
      <c r="P199" s="476"/>
      <c r="Q199" s="476"/>
      <c r="R199" s="476"/>
      <c r="S199" s="476"/>
      <c r="T199" s="476"/>
    </row>
    <row r="200" spans="2:20" s="601" customFormat="1" ht="13.15" customHeight="1" x14ac:dyDescent="0.2">
      <c r="B200" s="476"/>
      <c r="C200" s="476"/>
      <c r="D200" s="912" t="s">
        <v>341</v>
      </c>
      <c r="E200" s="825"/>
      <c r="F200" s="826"/>
      <c r="G200" s="825"/>
      <c r="H200" s="911">
        <f>H66+0.583333333333333*I66+H76+7/12*I76</f>
        <v>0</v>
      </c>
      <c r="I200" s="911">
        <f t="shared" ref="I200:N200" si="86">0.416666666666667*I66+7/12*J66+5/12*I76+7/12*J76</f>
        <v>0</v>
      </c>
      <c r="J200" s="911">
        <f t="shared" si="86"/>
        <v>0</v>
      </c>
      <c r="K200" s="911">
        <f t="shared" si="86"/>
        <v>0</v>
      </c>
      <c r="L200" s="911">
        <f t="shared" si="86"/>
        <v>0</v>
      </c>
      <c r="M200" s="911">
        <f t="shared" si="86"/>
        <v>0</v>
      </c>
      <c r="N200" s="911">
        <f t="shared" si="86"/>
        <v>0</v>
      </c>
      <c r="O200" s="911">
        <f>O66+O76</f>
        <v>0</v>
      </c>
      <c r="P200" s="904"/>
      <c r="Q200" s="476"/>
      <c r="R200" s="476"/>
      <c r="S200" s="476"/>
      <c r="T200" s="476"/>
    </row>
    <row r="201" spans="2:20" s="601" customFormat="1" ht="13.15" customHeight="1" x14ac:dyDescent="0.2">
      <c r="B201" s="476"/>
      <c r="C201" s="476"/>
      <c r="D201" s="912" t="s">
        <v>222</v>
      </c>
      <c r="E201" s="825"/>
      <c r="F201" s="826"/>
      <c r="G201" s="825"/>
      <c r="H201" s="911">
        <f>(H85-H66-H76)+0.583333333333333*(I85-I66-I76)</f>
        <v>0</v>
      </c>
      <c r="I201" s="911">
        <f t="shared" ref="I201:N201" si="87">0.416666666666667*(I85-I66-I76)+7/12*(J85-J66-J76)</f>
        <v>0</v>
      </c>
      <c r="J201" s="911">
        <f t="shared" si="87"/>
        <v>0</v>
      </c>
      <c r="K201" s="911">
        <f t="shared" si="87"/>
        <v>0</v>
      </c>
      <c r="L201" s="911">
        <f t="shared" si="87"/>
        <v>0</v>
      </c>
      <c r="M201" s="911">
        <f t="shared" si="87"/>
        <v>0</v>
      </c>
      <c r="N201" s="911">
        <f t="shared" si="87"/>
        <v>0</v>
      </c>
      <c r="O201" s="911">
        <f>(O85-O66-O76)</f>
        <v>0</v>
      </c>
      <c r="P201" s="904"/>
      <c r="Q201" s="476"/>
      <c r="R201" s="476"/>
      <c r="S201" s="476"/>
      <c r="T201" s="476"/>
    </row>
    <row r="202" spans="2:20" s="601" customFormat="1" ht="13.15" customHeight="1" x14ac:dyDescent="0.2">
      <c r="B202" s="476"/>
      <c r="C202" s="476"/>
      <c r="D202" s="912"/>
      <c r="E202" s="825"/>
      <c r="F202" s="826"/>
      <c r="G202" s="825"/>
      <c r="H202" s="911" t="e">
        <f t="shared" ref="H202:N202" si="88">SUM(H197:H201)</f>
        <v>#REF!</v>
      </c>
      <c r="I202" s="911">
        <f t="shared" si="88"/>
        <v>0</v>
      </c>
      <c r="J202" s="911">
        <f t="shared" si="88"/>
        <v>0</v>
      </c>
      <c r="K202" s="911">
        <f t="shared" si="88"/>
        <v>0</v>
      </c>
      <c r="L202" s="911">
        <f t="shared" si="88"/>
        <v>0</v>
      </c>
      <c r="M202" s="911">
        <f t="shared" si="88"/>
        <v>0</v>
      </c>
      <c r="N202" s="911">
        <f t="shared" si="88"/>
        <v>0</v>
      </c>
      <c r="O202" s="911">
        <f t="shared" ref="O202" si="89">SUM(O197:O201)</f>
        <v>0</v>
      </c>
      <c r="P202" s="904"/>
      <c r="Q202" s="476"/>
      <c r="R202" s="476"/>
      <c r="S202" s="476"/>
      <c r="T202" s="476"/>
    </row>
    <row r="203" spans="2:20" s="601" customFormat="1" ht="13.15" customHeight="1" x14ac:dyDescent="0.2">
      <c r="B203" s="905"/>
      <c r="C203" s="905"/>
      <c r="D203" s="825" t="s">
        <v>342</v>
      </c>
      <c r="E203" s="825"/>
      <c r="F203" s="826"/>
      <c r="G203" s="825"/>
      <c r="H203" s="911"/>
      <c r="I203" s="911"/>
      <c r="J203" s="911"/>
      <c r="K203" s="911"/>
      <c r="L203" s="911"/>
      <c r="M203" s="911"/>
      <c r="N203" s="911"/>
      <c r="O203" s="911"/>
      <c r="P203" s="476"/>
      <c r="Q203" s="476"/>
      <c r="R203" s="476"/>
      <c r="S203" s="476"/>
      <c r="T203" s="476"/>
    </row>
    <row r="204" spans="2:20" s="601" customFormat="1" ht="13.15" customHeight="1" x14ac:dyDescent="0.2">
      <c r="B204" s="476"/>
      <c r="C204" s="476"/>
      <c r="D204" s="825" t="s">
        <v>223</v>
      </c>
      <c r="E204" s="825"/>
      <c r="F204" s="826"/>
      <c r="G204" s="825"/>
      <c r="H204" s="911">
        <f>H105+0.583333333333333*I105</f>
        <v>0</v>
      </c>
      <c r="I204" s="911">
        <f t="shared" ref="I204:N204" si="90">0.416666666666667*I105+7/12*J105</f>
        <v>0</v>
      </c>
      <c r="J204" s="911">
        <f t="shared" si="90"/>
        <v>0</v>
      </c>
      <c r="K204" s="911">
        <f t="shared" si="90"/>
        <v>0</v>
      </c>
      <c r="L204" s="911">
        <f t="shared" si="90"/>
        <v>0</v>
      </c>
      <c r="M204" s="911">
        <f t="shared" si="90"/>
        <v>0</v>
      </c>
      <c r="N204" s="911">
        <f t="shared" si="90"/>
        <v>0</v>
      </c>
      <c r="O204" s="911">
        <f>O105</f>
        <v>0</v>
      </c>
      <c r="P204" s="904"/>
      <c r="Q204" s="476"/>
      <c r="R204" s="476"/>
      <c r="S204" s="476"/>
      <c r="T204" s="476"/>
    </row>
    <row r="205" spans="2:20" s="601" customFormat="1" ht="13.15" customHeight="1" x14ac:dyDescent="0.2">
      <c r="B205" s="476"/>
      <c r="C205" s="476"/>
      <c r="D205" s="825" t="s">
        <v>224</v>
      </c>
      <c r="E205" s="825"/>
      <c r="F205" s="826"/>
      <c r="G205" s="825"/>
      <c r="H205" s="911">
        <f>H125+0.583333333333333*I125</f>
        <v>0</v>
      </c>
      <c r="I205" s="911">
        <f t="shared" ref="I205:N205" si="91">0.416666666666667*I125+0.583333333333333*J125</f>
        <v>0</v>
      </c>
      <c r="J205" s="911">
        <f t="shared" si="91"/>
        <v>0</v>
      </c>
      <c r="K205" s="911">
        <f t="shared" si="91"/>
        <v>0</v>
      </c>
      <c r="L205" s="911">
        <f t="shared" si="91"/>
        <v>0</v>
      </c>
      <c r="M205" s="911">
        <f t="shared" si="91"/>
        <v>0</v>
      </c>
      <c r="N205" s="911">
        <f t="shared" si="91"/>
        <v>0</v>
      </c>
      <c r="O205" s="911">
        <f>O125</f>
        <v>0</v>
      </c>
      <c r="P205" s="904"/>
      <c r="Q205" s="476"/>
      <c r="R205" s="476"/>
      <c r="S205" s="476"/>
      <c r="T205" s="476"/>
    </row>
    <row r="206" spans="2:20" s="601" customFormat="1" ht="13.15" customHeight="1" x14ac:dyDescent="0.2">
      <c r="B206" s="476"/>
      <c r="C206" s="476"/>
      <c r="D206" s="825" t="s">
        <v>343</v>
      </c>
      <c r="E206" s="825"/>
      <c r="F206" s="826"/>
      <c r="G206" s="825"/>
      <c r="H206" s="911" t="e">
        <f>H176+0.583333333333333*I176</f>
        <v>#REF!</v>
      </c>
      <c r="I206" s="911">
        <f t="shared" ref="I206:N206" si="92">0.416666666666667*I176+7/12*J176</f>
        <v>0</v>
      </c>
      <c r="J206" s="911">
        <f t="shared" si="92"/>
        <v>0</v>
      </c>
      <c r="K206" s="911">
        <f t="shared" si="92"/>
        <v>0</v>
      </c>
      <c r="L206" s="911">
        <f t="shared" si="92"/>
        <v>0</v>
      </c>
      <c r="M206" s="911">
        <f t="shared" si="92"/>
        <v>0</v>
      </c>
      <c r="N206" s="911">
        <f t="shared" si="92"/>
        <v>0</v>
      </c>
      <c r="O206" s="911">
        <f>O176</f>
        <v>0</v>
      </c>
      <c r="P206" s="904"/>
      <c r="Q206" s="476"/>
      <c r="R206" s="476"/>
      <c r="S206" s="476"/>
      <c r="T206" s="476"/>
    </row>
    <row r="207" spans="2:20" s="601" customFormat="1" ht="13.15" customHeight="1" x14ac:dyDescent="0.2">
      <c r="B207" s="476"/>
      <c r="C207" s="476"/>
      <c r="D207" s="912"/>
      <c r="E207" s="825"/>
      <c r="F207" s="826"/>
      <c r="G207" s="825"/>
      <c r="H207" s="911" t="e">
        <f t="shared" ref="H207:M207" si="93">SUM(H204:H206)</f>
        <v>#REF!</v>
      </c>
      <c r="I207" s="911">
        <f t="shared" si="93"/>
        <v>0</v>
      </c>
      <c r="J207" s="911">
        <f t="shared" si="93"/>
        <v>0</v>
      </c>
      <c r="K207" s="911">
        <f t="shared" si="93"/>
        <v>0</v>
      </c>
      <c r="L207" s="911">
        <f t="shared" si="93"/>
        <v>0</v>
      </c>
      <c r="M207" s="911">
        <f t="shared" si="93"/>
        <v>0</v>
      </c>
      <c r="N207" s="911">
        <f t="shared" ref="N207" si="94">SUM(N204:N206)</f>
        <v>0</v>
      </c>
      <c r="O207" s="911">
        <f t="shared" ref="O207" si="95">SUM(O204:O206)</f>
        <v>0</v>
      </c>
      <c r="P207" s="904"/>
      <c r="Q207" s="476"/>
      <c r="R207" s="476"/>
      <c r="S207" s="476"/>
      <c r="T207" s="476"/>
    </row>
    <row r="208" spans="2:20" s="601" customFormat="1" ht="13.15" customHeight="1" x14ac:dyDescent="0.2">
      <c r="B208" s="476"/>
      <c r="C208" s="476"/>
      <c r="D208" s="909"/>
      <c r="E208" s="825"/>
      <c r="F208" s="826"/>
      <c r="G208" s="825"/>
      <c r="H208" s="911"/>
      <c r="I208" s="911"/>
      <c r="J208" s="911"/>
      <c r="K208" s="911"/>
      <c r="L208" s="911"/>
      <c r="M208" s="911"/>
      <c r="N208" s="911"/>
      <c r="O208" s="911"/>
      <c r="P208" s="476"/>
      <c r="Q208" s="476"/>
      <c r="R208" s="476"/>
      <c r="S208" s="476"/>
      <c r="T208" s="476"/>
    </row>
    <row r="209" spans="2:20" s="601" customFormat="1" ht="13.15" customHeight="1" x14ac:dyDescent="0.2">
      <c r="B209" s="540"/>
      <c r="C209" s="540"/>
      <c r="D209" s="912" t="s">
        <v>344</v>
      </c>
      <c r="E209" s="825"/>
      <c r="F209" s="826"/>
      <c r="G209" s="825"/>
      <c r="H209" s="911" t="e">
        <f t="shared" ref="H209:N209" si="96">+H202-H207</f>
        <v>#REF!</v>
      </c>
      <c r="I209" s="911">
        <f t="shared" si="96"/>
        <v>0</v>
      </c>
      <c r="J209" s="911">
        <f t="shared" si="96"/>
        <v>0</v>
      </c>
      <c r="K209" s="911">
        <f t="shared" si="96"/>
        <v>0</v>
      </c>
      <c r="L209" s="911">
        <f t="shared" si="96"/>
        <v>0</v>
      </c>
      <c r="M209" s="911">
        <f t="shared" si="96"/>
        <v>0</v>
      </c>
      <c r="N209" s="911">
        <f t="shared" si="96"/>
        <v>0</v>
      </c>
      <c r="O209" s="911">
        <f t="shared" ref="O209" si="97">+O202-O207</f>
        <v>0</v>
      </c>
      <c r="P209" s="904"/>
      <c r="Q209" s="476"/>
      <c r="R209" s="476"/>
      <c r="S209" s="476"/>
      <c r="T209" s="476"/>
    </row>
    <row r="210" spans="2:20" s="601" customFormat="1" ht="13.15" customHeight="1" x14ac:dyDescent="0.2">
      <c r="B210" s="476"/>
      <c r="C210" s="476"/>
      <c r="D210" s="906"/>
      <c r="E210" s="476"/>
      <c r="F210" s="614"/>
      <c r="G210" s="476"/>
      <c r="H210" s="712"/>
      <c r="I210" s="712"/>
      <c r="J210" s="712"/>
      <c r="K210" s="712"/>
      <c r="L210" s="476"/>
      <c r="M210" s="476"/>
      <c r="N210" s="476"/>
      <c r="O210" s="476"/>
      <c r="P210" s="476"/>
      <c r="Q210" s="476"/>
      <c r="R210" s="476"/>
      <c r="S210" s="476"/>
      <c r="T210" s="476"/>
    </row>
    <row r="211" spans="2:20" s="601" customFormat="1" ht="13.15" customHeight="1" x14ac:dyDescent="0.2">
      <c r="B211" s="476"/>
      <c r="C211" s="476"/>
      <c r="D211" s="906"/>
      <c r="E211" s="476"/>
      <c r="F211" s="614"/>
      <c r="G211" s="476"/>
      <c r="H211" s="712"/>
      <c r="I211" s="712"/>
      <c r="J211" s="712"/>
      <c r="K211" s="712"/>
      <c r="L211" s="476"/>
      <c r="M211" s="476"/>
      <c r="N211" s="476"/>
      <c r="O211" s="476"/>
      <c r="P211" s="476"/>
      <c r="Q211" s="476"/>
      <c r="R211" s="476"/>
      <c r="S211" s="476"/>
      <c r="T211" s="476"/>
    </row>
    <row r="212" spans="2:20" s="601" customFormat="1" ht="13.15" customHeight="1" x14ac:dyDescent="0.2">
      <c r="B212" s="476"/>
      <c r="C212" s="476"/>
      <c r="D212" s="907"/>
      <c r="E212" s="476"/>
      <c r="F212" s="614"/>
      <c r="G212" s="476"/>
      <c r="H212" s="712"/>
      <c r="I212" s="712"/>
      <c r="J212" s="712"/>
      <c r="K212" s="712"/>
      <c r="L212" s="476"/>
      <c r="M212" s="476"/>
      <c r="N212" s="476"/>
      <c r="O212" s="476"/>
      <c r="P212" s="476"/>
      <c r="Q212" s="476"/>
      <c r="R212" s="476"/>
      <c r="S212" s="476"/>
      <c r="T212" s="476"/>
    </row>
    <row r="213" spans="2:20" s="601" customFormat="1" ht="13.15" customHeight="1" x14ac:dyDescent="0.2">
      <c r="B213" s="476"/>
      <c r="C213" s="476"/>
      <c r="D213" s="476"/>
      <c r="E213" s="476"/>
      <c r="F213" s="614"/>
      <c r="G213" s="476"/>
      <c r="H213" s="476"/>
      <c r="I213" s="614"/>
      <c r="J213" s="614"/>
      <c r="K213" s="614"/>
      <c r="L213" s="614"/>
      <c r="M213" s="614"/>
      <c r="N213" s="614"/>
      <c r="O213" s="614"/>
      <c r="P213" s="476"/>
      <c r="Q213" s="476"/>
      <c r="R213" s="476"/>
      <c r="S213" s="476"/>
    </row>
    <row r="214" spans="2:20" s="601" customFormat="1" ht="13.15" customHeight="1" x14ac:dyDescent="0.2">
      <c r="B214" s="476"/>
      <c r="C214" s="476"/>
      <c r="D214" s="476"/>
      <c r="E214" s="476"/>
      <c r="F214" s="614"/>
      <c r="G214" s="476"/>
      <c r="H214" s="476"/>
      <c r="I214" s="614"/>
      <c r="J214" s="614"/>
      <c r="K214" s="614"/>
      <c r="L214" s="614"/>
      <c r="M214" s="614"/>
      <c r="N214" s="614"/>
      <c r="O214" s="614"/>
      <c r="P214" s="476"/>
      <c r="Q214" s="476"/>
      <c r="R214" s="476"/>
      <c r="S214" s="476"/>
    </row>
    <row r="215" spans="2:20" s="601" customFormat="1" ht="13.15" customHeight="1" x14ac:dyDescent="0.2">
      <c r="B215" s="476"/>
      <c r="C215" s="476"/>
      <c r="D215" s="476"/>
      <c r="E215" s="476"/>
      <c r="F215" s="614"/>
      <c r="G215" s="476"/>
      <c r="H215" s="476"/>
      <c r="I215" s="614"/>
      <c r="J215" s="614"/>
      <c r="K215" s="614"/>
      <c r="L215" s="614"/>
      <c r="M215" s="614"/>
      <c r="N215" s="614"/>
      <c r="O215" s="614"/>
      <c r="P215" s="476"/>
      <c r="Q215" s="476"/>
      <c r="R215" s="476"/>
      <c r="S215" s="476"/>
    </row>
    <row r="216" spans="2:20" s="601" customFormat="1" ht="13.15" customHeight="1" x14ac:dyDescent="0.2">
      <c r="B216" s="476"/>
      <c r="C216" s="476"/>
      <c r="D216" s="476"/>
      <c r="E216" s="476"/>
      <c r="F216" s="614"/>
      <c r="G216" s="476"/>
      <c r="H216" s="476"/>
      <c r="I216" s="614"/>
      <c r="J216" s="614"/>
      <c r="K216" s="614"/>
      <c r="L216" s="614"/>
      <c r="M216" s="614"/>
      <c r="N216" s="614"/>
      <c r="O216" s="614"/>
      <c r="P216" s="476"/>
      <c r="Q216" s="476"/>
      <c r="R216" s="476"/>
      <c r="S216" s="476"/>
    </row>
    <row r="217" spans="2:20" s="601" customFormat="1" ht="13.15" customHeight="1" x14ac:dyDescent="0.2">
      <c r="B217" s="476"/>
      <c r="C217" s="476"/>
      <c r="D217" s="476"/>
      <c r="E217" s="476"/>
      <c r="F217" s="614"/>
      <c r="G217" s="476"/>
      <c r="H217" s="476"/>
      <c r="I217" s="614"/>
      <c r="J217" s="614"/>
      <c r="K217" s="614"/>
      <c r="L217" s="614"/>
      <c r="M217" s="614"/>
      <c r="N217" s="614"/>
      <c r="O217" s="614"/>
      <c r="P217" s="476"/>
      <c r="Q217" s="476"/>
      <c r="R217" s="476"/>
      <c r="S217" s="476"/>
    </row>
    <row r="218" spans="2:20" s="601" customFormat="1" ht="13.15" customHeight="1" x14ac:dyDescent="0.2">
      <c r="B218" s="476"/>
      <c r="C218" s="476"/>
      <c r="D218" s="476"/>
      <c r="E218" s="476"/>
      <c r="F218" s="614"/>
      <c r="G218" s="476"/>
      <c r="H218" s="476"/>
      <c r="I218" s="614"/>
      <c r="J218" s="614"/>
      <c r="K218" s="614"/>
      <c r="L218" s="614"/>
      <c r="M218" s="614"/>
      <c r="N218" s="614"/>
      <c r="O218" s="614"/>
      <c r="P218" s="476"/>
      <c r="Q218" s="476"/>
      <c r="R218" s="476"/>
      <c r="S218" s="476"/>
    </row>
    <row r="219" spans="2:20" s="601" customFormat="1" ht="13.15" customHeight="1" x14ac:dyDescent="0.2">
      <c r="B219" s="476"/>
      <c r="C219" s="476"/>
      <c r="D219" s="476"/>
      <c r="E219" s="476"/>
      <c r="F219" s="614"/>
      <c r="G219" s="476"/>
      <c r="H219" s="476"/>
      <c r="I219" s="614"/>
      <c r="J219" s="614"/>
      <c r="K219" s="614"/>
      <c r="L219" s="614"/>
      <c r="M219" s="614"/>
      <c r="N219" s="614"/>
      <c r="O219" s="614"/>
      <c r="P219" s="476"/>
      <c r="Q219" s="476"/>
      <c r="R219" s="476"/>
      <c r="S219" s="476"/>
    </row>
    <row r="220" spans="2:20" s="601" customFormat="1" ht="13.15" customHeight="1" x14ac:dyDescent="0.2">
      <c r="B220" s="476"/>
      <c r="C220" s="476"/>
      <c r="D220" s="476"/>
      <c r="E220" s="476"/>
      <c r="F220" s="614"/>
      <c r="G220" s="476"/>
      <c r="H220" s="476"/>
      <c r="I220" s="614"/>
      <c r="J220" s="614"/>
      <c r="K220" s="614"/>
      <c r="L220" s="614"/>
      <c r="M220" s="614"/>
      <c r="N220" s="614"/>
      <c r="O220" s="614"/>
      <c r="P220" s="476"/>
      <c r="Q220" s="476"/>
      <c r="R220" s="476"/>
      <c r="S220" s="476"/>
    </row>
    <row r="221" spans="2:20" s="601" customFormat="1" ht="13.15" customHeight="1" x14ac:dyDescent="0.2">
      <c r="B221" s="476"/>
      <c r="C221" s="476"/>
      <c r="D221" s="476"/>
      <c r="E221" s="476"/>
      <c r="F221" s="614"/>
      <c r="G221" s="476"/>
      <c r="H221" s="476"/>
      <c r="I221" s="614"/>
      <c r="J221" s="614"/>
      <c r="K221" s="614"/>
      <c r="L221" s="614"/>
      <c r="M221" s="614"/>
      <c r="N221" s="614"/>
      <c r="O221" s="614"/>
      <c r="P221" s="476"/>
      <c r="Q221" s="476"/>
      <c r="R221" s="476"/>
      <c r="S221" s="476"/>
    </row>
    <row r="222" spans="2:20" s="601" customFormat="1" ht="13.15" customHeight="1" x14ac:dyDescent="0.2">
      <c r="B222" s="476"/>
      <c r="C222" s="476"/>
      <c r="D222" s="476"/>
      <c r="E222" s="476"/>
      <c r="F222" s="614"/>
      <c r="G222" s="476"/>
      <c r="H222" s="476"/>
      <c r="I222" s="614"/>
      <c r="J222" s="614"/>
      <c r="K222" s="614"/>
      <c r="L222" s="614"/>
      <c r="M222" s="614"/>
      <c r="N222" s="614"/>
      <c r="O222" s="614"/>
      <c r="P222" s="476"/>
      <c r="Q222" s="476"/>
      <c r="R222" s="476"/>
      <c r="S222" s="476"/>
    </row>
    <row r="223" spans="2:20" s="601" customFormat="1" ht="13.15" customHeight="1" x14ac:dyDescent="0.2">
      <c r="B223" s="476"/>
      <c r="C223" s="476"/>
      <c r="D223" s="476"/>
      <c r="E223" s="476"/>
      <c r="F223" s="614"/>
      <c r="G223" s="476"/>
      <c r="H223" s="476"/>
      <c r="I223" s="614"/>
      <c r="J223" s="614"/>
      <c r="K223" s="614"/>
      <c r="L223" s="614"/>
      <c r="M223" s="614"/>
      <c r="N223" s="614"/>
      <c r="O223" s="614"/>
      <c r="P223" s="476"/>
      <c r="Q223" s="476"/>
      <c r="R223" s="476"/>
      <c r="S223" s="476"/>
    </row>
    <row r="224" spans="2:20" s="601" customFormat="1" ht="13.15" customHeight="1" x14ac:dyDescent="0.2">
      <c r="B224" s="476"/>
      <c r="C224" s="476"/>
      <c r="D224" s="476"/>
      <c r="E224" s="476"/>
      <c r="F224" s="614"/>
      <c r="G224" s="476"/>
      <c r="H224" s="476"/>
      <c r="I224" s="614"/>
      <c r="J224" s="614"/>
      <c r="K224" s="614"/>
      <c r="L224" s="614"/>
      <c r="M224" s="614"/>
      <c r="N224" s="614"/>
      <c r="O224" s="614"/>
      <c r="P224" s="476"/>
      <c r="Q224" s="476"/>
      <c r="R224" s="476"/>
      <c r="S224" s="476"/>
    </row>
    <row r="225" spans="2:19" s="601" customFormat="1" ht="13.15" customHeight="1" x14ac:dyDescent="0.2">
      <c r="B225" s="476"/>
      <c r="C225" s="476"/>
      <c r="D225" s="476"/>
      <c r="E225" s="476"/>
      <c r="F225" s="614"/>
      <c r="G225" s="476"/>
      <c r="H225" s="476"/>
      <c r="I225" s="614"/>
      <c r="J225" s="614"/>
      <c r="K225" s="614"/>
      <c r="L225" s="614"/>
      <c r="M225" s="614"/>
      <c r="N225" s="614"/>
      <c r="O225" s="614"/>
      <c r="P225" s="476"/>
      <c r="Q225" s="476"/>
      <c r="R225" s="476"/>
      <c r="S225" s="476"/>
    </row>
    <row r="226" spans="2:19" s="601" customFormat="1" ht="13.15" customHeight="1" x14ac:dyDescent="0.2">
      <c r="B226" s="476"/>
      <c r="C226" s="476"/>
      <c r="D226" s="476"/>
      <c r="E226" s="476"/>
      <c r="F226" s="614"/>
      <c r="G226" s="476"/>
      <c r="H226" s="476"/>
      <c r="I226" s="614"/>
      <c r="J226" s="614"/>
      <c r="K226" s="614"/>
      <c r="L226" s="614"/>
      <c r="M226" s="614"/>
      <c r="N226" s="614"/>
      <c r="O226" s="614"/>
      <c r="P226" s="476"/>
      <c r="Q226" s="476"/>
      <c r="R226" s="476"/>
      <c r="S226" s="476"/>
    </row>
    <row r="227" spans="2:19" s="601" customFormat="1" ht="13.15" customHeight="1" x14ac:dyDescent="0.2">
      <c r="B227" s="476"/>
      <c r="C227" s="476"/>
      <c r="D227" s="476"/>
      <c r="E227" s="476"/>
      <c r="F227" s="614"/>
      <c r="G227" s="476"/>
      <c r="H227" s="476"/>
      <c r="I227" s="614"/>
      <c r="J227" s="614"/>
      <c r="K227" s="614"/>
      <c r="L227" s="614"/>
      <c r="M227" s="614"/>
      <c r="N227" s="614"/>
      <c r="O227" s="614"/>
      <c r="P227" s="476"/>
      <c r="Q227" s="476"/>
      <c r="R227" s="476"/>
      <c r="S227" s="476"/>
    </row>
    <row r="228" spans="2:19" s="601" customFormat="1" ht="13.15" customHeight="1" x14ac:dyDescent="0.2">
      <c r="B228" s="476"/>
      <c r="C228" s="476"/>
      <c r="D228" s="476"/>
      <c r="E228" s="476"/>
      <c r="F228" s="614"/>
      <c r="G228" s="476"/>
      <c r="H228" s="476"/>
      <c r="I228" s="614"/>
      <c r="J228" s="614"/>
      <c r="K228" s="614"/>
      <c r="L228" s="614"/>
      <c r="M228" s="614"/>
      <c r="N228" s="614"/>
      <c r="O228" s="614"/>
      <c r="P228" s="476"/>
      <c r="Q228" s="476"/>
      <c r="R228" s="476"/>
      <c r="S228" s="476"/>
    </row>
    <row r="229" spans="2:19" s="601" customFormat="1" ht="13.15" customHeight="1" x14ac:dyDescent="0.2">
      <c r="B229" s="476"/>
      <c r="C229" s="476"/>
      <c r="D229" s="476"/>
      <c r="E229" s="476"/>
      <c r="F229" s="614"/>
      <c r="G229" s="476"/>
      <c r="H229" s="476"/>
      <c r="I229" s="614"/>
      <c r="J229" s="614"/>
      <c r="K229" s="614"/>
      <c r="L229" s="614"/>
      <c r="M229" s="614"/>
      <c r="N229" s="614"/>
      <c r="O229" s="614"/>
      <c r="P229" s="476"/>
      <c r="Q229" s="476"/>
      <c r="R229" s="476"/>
      <c r="S229" s="476"/>
    </row>
    <row r="230" spans="2:19" s="601" customFormat="1" ht="13.15" customHeight="1" x14ac:dyDescent="0.2">
      <c r="B230" s="476"/>
      <c r="C230" s="476"/>
      <c r="D230" s="476"/>
      <c r="E230" s="476"/>
      <c r="F230" s="614"/>
      <c r="G230" s="476"/>
      <c r="H230" s="476"/>
      <c r="I230" s="614"/>
      <c r="J230" s="614"/>
      <c r="K230" s="614"/>
      <c r="L230" s="614"/>
      <c r="M230" s="614"/>
      <c r="N230" s="614"/>
      <c r="O230" s="614"/>
      <c r="P230" s="476"/>
      <c r="Q230" s="476"/>
      <c r="R230" s="476"/>
      <c r="S230" s="476"/>
    </row>
    <row r="231" spans="2:19" s="601" customFormat="1" ht="13.15" customHeight="1" x14ac:dyDescent="0.2">
      <c r="B231" s="476"/>
      <c r="C231" s="476"/>
      <c r="D231" s="476"/>
      <c r="E231" s="476"/>
      <c r="F231" s="614"/>
      <c r="G231" s="476"/>
      <c r="H231" s="476"/>
      <c r="I231" s="614"/>
      <c r="J231" s="614"/>
      <c r="K231" s="614"/>
      <c r="L231" s="614"/>
      <c r="M231" s="614"/>
      <c r="N231" s="614"/>
      <c r="O231" s="614"/>
      <c r="P231" s="476"/>
      <c r="Q231" s="476"/>
      <c r="R231" s="476"/>
      <c r="S231" s="476"/>
    </row>
    <row r="232" spans="2:19" s="601" customFormat="1" ht="13.15" customHeight="1" x14ac:dyDescent="0.2">
      <c r="B232" s="476"/>
      <c r="C232" s="476"/>
      <c r="D232" s="476"/>
      <c r="E232" s="476"/>
      <c r="F232" s="614"/>
      <c r="G232" s="476"/>
      <c r="H232" s="476"/>
      <c r="I232" s="614"/>
      <c r="J232" s="614"/>
      <c r="K232" s="614"/>
      <c r="L232" s="614"/>
      <c r="M232" s="614"/>
      <c r="N232" s="614"/>
      <c r="O232" s="614"/>
      <c r="P232" s="476"/>
      <c r="Q232" s="476"/>
      <c r="R232" s="476"/>
      <c r="S232" s="476"/>
    </row>
    <row r="233" spans="2:19" s="601" customFormat="1" ht="13.15" customHeight="1" x14ac:dyDescent="0.2">
      <c r="B233" s="476"/>
      <c r="C233" s="476"/>
      <c r="D233" s="476"/>
      <c r="E233" s="476"/>
      <c r="F233" s="614"/>
      <c r="G233" s="476"/>
      <c r="H233" s="476"/>
      <c r="I233" s="614"/>
      <c r="J233" s="614"/>
      <c r="K233" s="614"/>
      <c r="L233" s="614"/>
      <c r="M233" s="614"/>
      <c r="N233" s="614"/>
      <c r="O233" s="614"/>
      <c r="P233" s="476"/>
      <c r="Q233" s="476"/>
      <c r="R233" s="476"/>
      <c r="S233" s="476"/>
    </row>
    <row r="234" spans="2:19" s="601" customFormat="1" ht="13.15" customHeight="1" x14ac:dyDescent="0.2">
      <c r="B234" s="476"/>
      <c r="C234" s="476"/>
      <c r="D234" s="476"/>
      <c r="E234" s="476"/>
      <c r="F234" s="614"/>
      <c r="G234" s="476"/>
      <c r="H234" s="476"/>
      <c r="I234" s="614"/>
      <c r="J234" s="614"/>
      <c r="K234" s="614"/>
      <c r="L234" s="614"/>
      <c r="M234" s="614"/>
      <c r="N234" s="614"/>
      <c r="O234" s="614"/>
      <c r="P234" s="476"/>
      <c r="Q234" s="476"/>
      <c r="R234" s="476"/>
      <c r="S234" s="476"/>
    </row>
    <row r="235" spans="2:19" s="601" customFormat="1" ht="13.15" customHeight="1" x14ac:dyDescent="0.2">
      <c r="B235" s="476"/>
      <c r="C235" s="476"/>
      <c r="D235" s="476"/>
      <c r="E235" s="476"/>
      <c r="F235" s="614"/>
      <c r="G235" s="476"/>
      <c r="H235" s="476"/>
      <c r="I235" s="614"/>
      <c r="J235" s="614"/>
      <c r="K235" s="614"/>
      <c r="L235" s="614"/>
      <c r="M235" s="614"/>
      <c r="N235" s="614"/>
      <c r="O235" s="614"/>
      <c r="P235" s="476"/>
      <c r="Q235" s="476"/>
      <c r="R235" s="476"/>
      <c r="S235" s="476"/>
    </row>
    <row r="236" spans="2:19" s="601" customFormat="1" ht="13.15" customHeight="1" x14ac:dyDescent="0.2">
      <c r="B236" s="476"/>
      <c r="C236" s="476"/>
      <c r="D236" s="476"/>
      <c r="E236" s="476"/>
      <c r="F236" s="614"/>
      <c r="G236" s="476"/>
      <c r="H236" s="476"/>
      <c r="I236" s="614"/>
      <c r="J236" s="614"/>
      <c r="K236" s="614"/>
      <c r="L236" s="614"/>
      <c r="M236" s="614"/>
      <c r="N236" s="614"/>
      <c r="O236" s="614"/>
      <c r="P236" s="476"/>
      <c r="Q236" s="476"/>
      <c r="R236" s="476"/>
      <c r="S236" s="476"/>
    </row>
    <row r="237" spans="2:19" s="601" customFormat="1" ht="13.15" customHeight="1" x14ac:dyDescent="0.2">
      <c r="B237" s="476"/>
      <c r="C237" s="476"/>
      <c r="D237" s="476"/>
      <c r="E237" s="476"/>
      <c r="F237" s="614"/>
      <c r="G237" s="476"/>
      <c r="H237" s="476"/>
      <c r="I237" s="614"/>
      <c r="J237" s="614"/>
      <c r="K237" s="614"/>
      <c r="L237" s="614"/>
      <c r="M237" s="614"/>
      <c r="N237" s="614"/>
      <c r="O237" s="614"/>
      <c r="P237" s="476"/>
      <c r="Q237" s="476"/>
      <c r="R237" s="476"/>
      <c r="S237" s="476"/>
    </row>
    <row r="238" spans="2:19" s="601" customFormat="1" ht="13.15" customHeight="1" x14ac:dyDescent="0.2">
      <c r="B238" s="476"/>
      <c r="C238" s="476"/>
      <c r="D238" s="476"/>
      <c r="E238" s="476"/>
      <c r="F238" s="614"/>
      <c r="G238" s="476"/>
      <c r="H238" s="476"/>
      <c r="I238" s="614"/>
      <c r="J238" s="614"/>
      <c r="K238" s="614"/>
      <c r="L238" s="614"/>
      <c r="M238" s="614"/>
      <c r="N238" s="614"/>
      <c r="O238" s="614"/>
      <c r="P238" s="476"/>
      <c r="Q238" s="476"/>
      <c r="R238" s="476"/>
      <c r="S238" s="476"/>
    </row>
    <row r="239" spans="2:19" s="601" customFormat="1" ht="13.15" customHeight="1" x14ac:dyDescent="0.2">
      <c r="B239" s="476"/>
      <c r="C239" s="476"/>
      <c r="D239" s="476"/>
      <c r="E239" s="476"/>
      <c r="F239" s="614"/>
      <c r="G239" s="476"/>
      <c r="H239" s="476"/>
      <c r="I239" s="614"/>
      <c r="J239" s="614"/>
      <c r="K239" s="614"/>
      <c r="L239" s="614"/>
      <c r="M239" s="614"/>
      <c r="N239" s="614"/>
      <c r="O239" s="614"/>
      <c r="P239" s="476"/>
      <c r="Q239" s="476"/>
      <c r="R239" s="476"/>
      <c r="S239" s="476"/>
    </row>
    <row r="240" spans="2:19" s="601" customFormat="1" ht="13.15" customHeight="1" x14ac:dyDescent="0.2">
      <c r="B240" s="476"/>
      <c r="C240" s="476"/>
      <c r="D240" s="476"/>
      <c r="E240" s="476"/>
      <c r="F240" s="614"/>
      <c r="G240" s="476"/>
      <c r="H240" s="476"/>
      <c r="I240" s="614"/>
      <c r="J240" s="614"/>
      <c r="K240" s="614"/>
      <c r="L240" s="614"/>
      <c r="M240" s="614"/>
      <c r="N240" s="614"/>
      <c r="O240" s="614"/>
      <c r="P240" s="476"/>
      <c r="Q240" s="476"/>
      <c r="R240" s="476"/>
      <c r="S240" s="476"/>
    </row>
    <row r="241" spans="2:19" s="601" customFormat="1" ht="13.15" customHeight="1" x14ac:dyDescent="0.2">
      <c r="B241" s="476"/>
      <c r="C241" s="476"/>
      <c r="D241" s="476"/>
      <c r="E241" s="476"/>
      <c r="F241" s="614"/>
      <c r="G241" s="476"/>
      <c r="H241" s="476"/>
      <c r="I241" s="614"/>
      <c r="J241" s="614"/>
      <c r="K241" s="614"/>
      <c r="L241" s="614"/>
      <c r="M241" s="614"/>
      <c r="N241" s="614"/>
      <c r="O241" s="614"/>
      <c r="P241" s="476"/>
      <c r="Q241" s="476"/>
      <c r="R241" s="476"/>
      <c r="S241" s="476"/>
    </row>
    <row r="242" spans="2:19" s="601" customFormat="1" ht="13.15" customHeight="1" x14ac:dyDescent="0.2">
      <c r="B242" s="476"/>
      <c r="C242" s="476"/>
      <c r="D242" s="476"/>
      <c r="E242" s="476"/>
      <c r="F242" s="614"/>
      <c r="G242" s="476"/>
      <c r="H242" s="476"/>
      <c r="I242" s="614"/>
      <c r="J242" s="614"/>
      <c r="K242" s="614"/>
      <c r="L242" s="614"/>
      <c r="M242" s="614"/>
      <c r="N242" s="614"/>
      <c r="O242" s="614"/>
      <c r="P242" s="476"/>
      <c r="Q242" s="476"/>
      <c r="R242" s="476"/>
      <c r="S242" s="476"/>
    </row>
    <row r="243" spans="2:19" s="601" customFormat="1" ht="13.15" customHeight="1" x14ac:dyDescent="0.2">
      <c r="B243" s="476"/>
      <c r="C243" s="476"/>
      <c r="D243" s="476"/>
      <c r="E243" s="476"/>
      <c r="F243" s="614"/>
      <c r="G243" s="476"/>
      <c r="H243" s="476"/>
      <c r="I243" s="614"/>
      <c r="J243" s="614"/>
      <c r="K243" s="614"/>
      <c r="L243" s="614"/>
      <c r="M243" s="614"/>
      <c r="N243" s="614"/>
      <c r="O243" s="614"/>
      <c r="P243" s="476"/>
      <c r="Q243" s="476"/>
      <c r="R243" s="476"/>
      <c r="S243" s="476"/>
    </row>
    <row r="244" spans="2:19" s="601" customFormat="1" ht="13.15" customHeight="1" x14ac:dyDescent="0.2">
      <c r="B244" s="476"/>
      <c r="C244" s="476"/>
      <c r="D244" s="476"/>
      <c r="E244" s="476"/>
      <c r="F244" s="614"/>
      <c r="G244" s="476"/>
      <c r="H244" s="476"/>
      <c r="I244" s="614"/>
      <c r="J244" s="614"/>
      <c r="K244" s="614"/>
      <c r="L244" s="614"/>
      <c r="M244" s="614"/>
      <c r="N244" s="614"/>
      <c r="O244" s="614"/>
      <c r="P244" s="476"/>
      <c r="Q244" s="476"/>
      <c r="R244" s="476"/>
      <c r="S244" s="476"/>
    </row>
    <row r="245" spans="2:19" s="601" customFormat="1" ht="13.15" customHeight="1" x14ac:dyDescent="0.2">
      <c r="B245" s="476"/>
      <c r="C245" s="476"/>
      <c r="D245" s="476"/>
      <c r="E245" s="476"/>
      <c r="F245" s="614"/>
      <c r="G245" s="476"/>
      <c r="H245" s="476"/>
      <c r="I245" s="614"/>
      <c r="J245" s="614"/>
      <c r="K245" s="614"/>
      <c r="L245" s="614"/>
      <c r="M245" s="614"/>
      <c r="N245" s="614"/>
      <c r="O245" s="614"/>
      <c r="P245" s="476"/>
      <c r="Q245" s="476"/>
      <c r="R245" s="476"/>
      <c r="S245" s="476"/>
    </row>
    <row r="246" spans="2:19" s="601" customFormat="1" ht="13.15" customHeight="1" x14ac:dyDescent="0.2">
      <c r="B246" s="476"/>
      <c r="C246" s="476"/>
      <c r="D246" s="476"/>
      <c r="E246" s="476"/>
      <c r="F246" s="614"/>
      <c r="G246" s="476"/>
      <c r="H246" s="476"/>
      <c r="I246" s="614"/>
      <c r="J246" s="614"/>
      <c r="K246" s="614"/>
      <c r="L246" s="614"/>
      <c r="M246" s="614"/>
      <c r="N246" s="614"/>
      <c r="O246" s="614"/>
      <c r="P246" s="476"/>
      <c r="Q246" s="476"/>
      <c r="R246" s="476"/>
      <c r="S246" s="476"/>
    </row>
    <row r="247" spans="2:19" s="601" customFormat="1" ht="13.15" customHeight="1" x14ac:dyDescent="0.2">
      <c r="B247" s="476"/>
      <c r="C247" s="476"/>
      <c r="D247" s="476"/>
      <c r="E247" s="476"/>
      <c r="F247" s="614"/>
      <c r="G247" s="476"/>
      <c r="H247" s="476"/>
      <c r="I247" s="614"/>
      <c r="J247" s="614"/>
      <c r="K247" s="614"/>
      <c r="L247" s="614"/>
      <c r="M247" s="614"/>
      <c r="N247" s="614"/>
      <c r="O247" s="614"/>
      <c r="P247" s="476"/>
      <c r="Q247" s="476"/>
      <c r="R247" s="476"/>
      <c r="S247" s="476"/>
    </row>
    <row r="248" spans="2:19" s="601" customFormat="1" ht="13.15" customHeight="1" x14ac:dyDescent="0.2">
      <c r="B248" s="476"/>
      <c r="C248" s="476"/>
      <c r="D248" s="476"/>
      <c r="E248" s="476"/>
      <c r="F248" s="614"/>
      <c r="G248" s="476"/>
      <c r="H248" s="476"/>
      <c r="I248" s="614"/>
      <c r="J248" s="614"/>
      <c r="K248" s="614"/>
      <c r="L248" s="614"/>
      <c r="M248" s="614"/>
      <c r="N248" s="614"/>
      <c r="O248" s="614"/>
      <c r="P248" s="476"/>
      <c r="Q248" s="476"/>
      <c r="R248" s="476"/>
      <c r="S248" s="476"/>
    </row>
    <row r="249" spans="2:19" s="601" customFormat="1" ht="13.15" customHeight="1" x14ac:dyDescent="0.2">
      <c r="B249" s="476"/>
      <c r="C249" s="476"/>
      <c r="D249" s="476"/>
      <c r="E249" s="476"/>
      <c r="F249" s="614"/>
      <c r="G249" s="476"/>
      <c r="H249" s="476"/>
      <c r="I249" s="614"/>
      <c r="J249" s="614"/>
      <c r="K249" s="614"/>
      <c r="L249" s="614"/>
      <c r="M249" s="614"/>
      <c r="N249" s="614"/>
      <c r="O249" s="614"/>
      <c r="P249" s="476"/>
      <c r="Q249" s="476"/>
      <c r="R249" s="476"/>
      <c r="S249" s="476"/>
    </row>
    <row r="250" spans="2:19" s="601" customFormat="1" ht="13.15" customHeight="1" x14ac:dyDescent="0.2">
      <c r="B250" s="476"/>
      <c r="C250" s="476"/>
      <c r="D250" s="476"/>
      <c r="E250" s="476"/>
      <c r="F250" s="614"/>
      <c r="G250" s="476"/>
      <c r="H250" s="476"/>
      <c r="I250" s="614"/>
      <c r="J250" s="614"/>
      <c r="K250" s="614"/>
      <c r="L250" s="614"/>
      <c r="M250" s="614"/>
      <c r="N250" s="614"/>
      <c r="O250" s="614"/>
      <c r="P250" s="476"/>
      <c r="Q250" s="476"/>
      <c r="R250" s="476"/>
      <c r="S250" s="476"/>
    </row>
    <row r="251" spans="2:19" s="601" customFormat="1" ht="13.15" customHeight="1" x14ac:dyDescent="0.2">
      <c r="B251" s="476"/>
      <c r="C251" s="476"/>
      <c r="D251" s="476"/>
      <c r="E251" s="476"/>
      <c r="F251" s="614"/>
      <c r="G251" s="476"/>
      <c r="H251" s="476"/>
      <c r="I251" s="614"/>
      <c r="J251" s="614"/>
      <c r="K251" s="614"/>
      <c r="L251" s="614"/>
      <c r="M251" s="614"/>
      <c r="N251" s="614"/>
      <c r="O251" s="614"/>
      <c r="P251" s="476"/>
      <c r="Q251" s="476"/>
      <c r="R251" s="476"/>
      <c r="S251" s="476"/>
    </row>
    <row r="252" spans="2:19" s="601" customFormat="1" ht="13.15" customHeight="1" x14ac:dyDescent="0.2">
      <c r="B252" s="476"/>
      <c r="C252" s="476"/>
      <c r="D252" s="476"/>
      <c r="E252" s="476"/>
      <c r="F252" s="614"/>
      <c r="G252" s="476"/>
      <c r="H252" s="476"/>
      <c r="I252" s="614"/>
      <c r="J252" s="614"/>
      <c r="K252" s="614"/>
      <c r="L252" s="614"/>
      <c r="M252" s="614"/>
      <c r="N252" s="614"/>
      <c r="O252" s="614"/>
      <c r="P252" s="476"/>
      <c r="Q252" s="476"/>
      <c r="R252" s="476"/>
      <c r="S252" s="476"/>
    </row>
    <row r="253" spans="2:19" s="601" customFormat="1" ht="13.15" customHeight="1" x14ac:dyDescent="0.2">
      <c r="B253" s="476"/>
      <c r="C253" s="476"/>
      <c r="D253" s="476"/>
      <c r="E253" s="476"/>
      <c r="F253" s="614"/>
      <c r="G253" s="476"/>
      <c r="H253" s="476"/>
      <c r="I253" s="614"/>
      <c r="J253" s="614"/>
      <c r="K253" s="614"/>
      <c r="L253" s="614"/>
      <c r="M253" s="614"/>
      <c r="N253" s="614"/>
      <c r="O253" s="614"/>
      <c r="P253" s="476"/>
      <c r="Q253" s="476"/>
      <c r="R253" s="476"/>
      <c r="S253" s="476"/>
    </row>
    <row r="254" spans="2:19" s="601" customFormat="1" ht="13.15" customHeight="1" x14ac:dyDescent="0.2">
      <c r="B254" s="476"/>
      <c r="C254" s="476"/>
      <c r="D254" s="476"/>
      <c r="E254" s="476"/>
      <c r="F254" s="614"/>
      <c r="G254" s="476"/>
      <c r="H254" s="476"/>
      <c r="I254" s="614"/>
      <c r="J254" s="614"/>
      <c r="K254" s="614"/>
      <c r="L254" s="614"/>
      <c r="M254" s="614"/>
      <c r="N254" s="614"/>
      <c r="O254" s="614"/>
      <c r="P254" s="476"/>
      <c r="Q254" s="476"/>
      <c r="R254" s="476"/>
      <c r="S254" s="476"/>
    </row>
    <row r="255" spans="2:19" s="601" customFormat="1" ht="13.15" customHeight="1" x14ac:dyDescent="0.2">
      <c r="B255" s="476"/>
      <c r="C255" s="476"/>
      <c r="D255" s="476"/>
      <c r="E255" s="476"/>
      <c r="F255" s="614"/>
      <c r="G255" s="476"/>
      <c r="H255" s="476"/>
      <c r="I255" s="614"/>
      <c r="J255" s="614"/>
      <c r="K255" s="614"/>
      <c r="L255" s="614"/>
      <c r="M255" s="614"/>
      <c r="N255" s="614"/>
      <c r="O255" s="614"/>
      <c r="P255" s="476"/>
      <c r="Q255" s="476"/>
      <c r="R255" s="476"/>
      <c r="S255" s="476"/>
    </row>
    <row r="256" spans="2:19" s="601" customFormat="1" ht="13.15" customHeight="1" x14ac:dyDescent="0.2">
      <c r="B256" s="476"/>
      <c r="C256" s="476"/>
      <c r="D256" s="476"/>
      <c r="E256" s="476"/>
      <c r="F256" s="614"/>
      <c r="G256" s="476"/>
      <c r="H256" s="476"/>
      <c r="I256" s="614"/>
      <c r="J256" s="614"/>
      <c r="K256" s="614"/>
      <c r="L256" s="614"/>
      <c r="M256" s="614"/>
      <c r="N256" s="614"/>
      <c r="O256" s="614"/>
      <c r="P256" s="476"/>
      <c r="Q256" s="476"/>
      <c r="R256" s="476"/>
      <c r="S256" s="476"/>
    </row>
    <row r="257" spans="2:19" s="601" customFormat="1" ht="13.15" customHeight="1" x14ac:dyDescent="0.2">
      <c r="B257" s="476"/>
      <c r="C257" s="476"/>
      <c r="D257" s="476"/>
      <c r="E257" s="476"/>
      <c r="F257" s="614"/>
      <c r="G257" s="476"/>
      <c r="H257" s="476"/>
      <c r="I257" s="614"/>
      <c r="J257" s="614"/>
      <c r="K257" s="614"/>
      <c r="L257" s="614"/>
      <c r="M257" s="614"/>
      <c r="N257" s="614"/>
      <c r="O257" s="614"/>
      <c r="P257" s="476"/>
      <c r="Q257" s="476"/>
      <c r="R257" s="476"/>
      <c r="S257" s="476"/>
    </row>
    <row r="258" spans="2:19" s="601" customFormat="1" ht="13.15" customHeight="1" x14ac:dyDescent="0.2">
      <c r="B258" s="476"/>
      <c r="C258" s="476"/>
      <c r="D258" s="476"/>
      <c r="E258" s="476"/>
      <c r="F258" s="614"/>
      <c r="G258" s="476"/>
      <c r="H258" s="476"/>
      <c r="I258" s="614"/>
      <c r="J258" s="614"/>
      <c r="K258" s="614"/>
      <c r="L258" s="614"/>
      <c r="M258" s="614"/>
      <c r="N258" s="614"/>
      <c r="O258" s="614"/>
      <c r="P258" s="476"/>
      <c r="Q258" s="476"/>
      <c r="R258" s="476"/>
      <c r="S258" s="476"/>
    </row>
    <row r="259" spans="2:19" s="601" customFormat="1" ht="13.15" customHeight="1" x14ac:dyDescent="0.2">
      <c r="B259" s="476"/>
      <c r="C259" s="476"/>
      <c r="D259" s="476"/>
      <c r="E259" s="476"/>
      <c r="F259" s="614"/>
      <c r="G259" s="476"/>
      <c r="H259" s="476"/>
      <c r="I259" s="614"/>
      <c r="J259" s="614"/>
      <c r="K259" s="614"/>
      <c r="L259" s="614"/>
      <c r="M259" s="614"/>
      <c r="N259" s="614"/>
      <c r="O259" s="614"/>
      <c r="P259" s="476"/>
      <c r="Q259" s="476"/>
      <c r="R259" s="476"/>
      <c r="S259" s="476"/>
    </row>
    <row r="260" spans="2:19" s="601" customFormat="1" ht="13.15" customHeight="1" x14ac:dyDescent="0.2">
      <c r="B260" s="476"/>
      <c r="C260" s="476"/>
      <c r="D260" s="476"/>
      <c r="E260" s="476"/>
      <c r="F260" s="614"/>
      <c r="G260" s="476"/>
      <c r="H260" s="476"/>
      <c r="I260" s="614"/>
      <c r="J260" s="614"/>
      <c r="K260" s="614"/>
      <c r="L260" s="614"/>
      <c r="M260" s="614"/>
      <c r="N260" s="614"/>
      <c r="O260" s="614"/>
      <c r="P260" s="476"/>
      <c r="Q260" s="476"/>
      <c r="R260" s="476"/>
      <c r="S260" s="476"/>
    </row>
  </sheetData>
  <sheetProtection algorithmName="SHA-512" hashValue="9hOxZGOmCoo6Oeo69o6Awmq9btRM2Q2UOWnK66+IgcK+SkMvOyd3NWEmglGWDiTefpd/C7QiXU6PK0zAZztphQ==" saltValue="lE5xckLQmVblUhJViYH9TA==" spinCount="100000" sheet="1" objects="1" scenarios="1"/>
  <phoneticPr fontId="0" type="noConversion"/>
  <pageMargins left="0.75" right="0.75" top="1" bottom="1" header="0.5" footer="0.5"/>
  <pageSetup paperSize="9" scale="51" orientation="portrait" r:id="rId1"/>
  <headerFooter alignWithMargins="0">
    <oddHeader>&amp;L&amp;"Arial,Vet"&amp;9&amp;F&amp;R&amp;"Arial,Vet"&amp;9&amp;A</oddHeader>
    <oddFooter>&amp;L&amp;"Arial,Vet"&amp;9keizer / goedhart&amp;C&amp;"Arial,Vet"&amp;9pagina &amp;P&amp;R&amp;"Arial,Vet"&amp;9&amp;D</oddFooter>
  </headerFooter>
  <rowBreaks count="2" manualBreakCount="2">
    <brk id="92" min="1" max="13" man="1"/>
    <brk id="188" min="1" max="1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17"/>
  <sheetViews>
    <sheetView showGridLines="0" zoomScale="85" zoomScaleNormal="85" zoomScaleSheetLayoutView="85" workbookViewId="0">
      <selection activeCell="B2" sqref="B2"/>
    </sheetView>
  </sheetViews>
  <sheetFormatPr defaultColWidth="9.140625" defaultRowHeight="13.15" customHeight="1" x14ac:dyDescent="0.2"/>
  <cols>
    <col min="1" max="1" width="3.7109375" style="601" customWidth="1"/>
    <col min="2" max="3" width="2.7109375" style="214" customWidth="1"/>
    <col min="4" max="4" width="45.85546875" style="214" customWidth="1"/>
    <col min="5" max="5" width="0.85546875" style="214" customWidth="1"/>
    <col min="6" max="6" width="8.7109375" style="217" customWidth="1"/>
    <col min="7" max="7" width="1.85546875" style="214" customWidth="1"/>
    <col min="8" max="14" width="13" style="217" customWidth="1"/>
    <col min="15" max="16" width="2.7109375" style="214" customWidth="1"/>
    <col min="17" max="49" width="9.140625" style="601"/>
    <col min="50" max="16384" width="9.140625" style="214"/>
  </cols>
  <sheetData>
    <row r="1" spans="1:49" s="601" customFormat="1" ht="13.15" customHeight="1" x14ac:dyDescent="0.2">
      <c r="F1" s="665"/>
      <c r="H1" s="665"/>
      <c r="I1" s="665"/>
      <c r="J1" s="665"/>
      <c r="K1" s="665"/>
      <c r="L1" s="665"/>
      <c r="M1" s="665"/>
      <c r="N1" s="665"/>
    </row>
    <row r="2" spans="1:49" ht="13.15" customHeight="1" x14ac:dyDescent="0.2">
      <c r="B2" s="918"/>
      <c r="C2" s="599"/>
      <c r="D2" s="599"/>
      <c r="E2" s="599"/>
      <c r="F2" s="600"/>
      <c r="G2" s="599"/>
      <c r="H2" s="600"/>
      <c r="I2" s="600"/>
      <c r="J2" s="600"/>
      <c r="K2" s="600"/>
      <c r="L2" s="600"/>
      <c r="M2" s="460"/>
      <c r="N2" s="460"/>
      <c r="O2" s="599"/>
      <c r="P2" s="919"/>
      <c r="Q2" s="666"/>
    </row>
    <row r="3" spans="1:49" ht="13.15" customHeight="1" x14ac:dyDescent="0.2">
      <c r="B3" s="86"/>
      <c r="C3" s="87"/>
      <c r="D3" s="67"/>
      <c r="E3" s="87"/>
      <c r="F3" s="80"/>
      <c r="G3" s="87"/>
      <c r="H3" s="80"/>
      <c r="I3" s="80"/>
      <c r="J3" s="80"/>
      <c r="K3" s="80"/>
      <c r="L3" s="80"/>
      <c r="M3" s="80"/>
      <c r="N3" s="80"/>
      <c r="O3" s="87"/>
      <c r="P3" s="517"/>
    </row>
    <row r="4" spans="1:49" s="198" customFormat="1" ht="18.600000000000001" customHeight="1" x14ac:dyDescent="0.3">
      <c r="A4" s="655"/>
      <c r="B4" s="203"/>
      <c r="C4" s="204" t="s">
        <v>693</v>
      </c>
      <c r="D4" s="204"/>
      <c r="E4" s="204"/>
      <c r="F4" s="205"/>
      <c r="G4" s="204"/>
      <c r="H4" s="205"/>
      <c r="I4" s="205"/>
      <c r="J4" s="205"/>
      <c r="K4" s="205"/>
      <c r="L4" s="205"/>
      <c r="M4" s="205"/>
      <c r="N4" s="205"/>
      <c r="O4" s="204"/>
      <c r="P4" s="518"/>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row>
    <row r="5" spans="1:49" s="743" customFormat="1" ht="16.149999999999999" customHeight="1" x14ac:dyDescent="0.25">
      <c r="A5" s="761"/>
      <c r="B5" s="258"/>
      <c r="C5" s="741" t="str">
        <f>'geg LO'!G8</f>
        <v>SWV PO Passend Onderwijs</v>
      </c>
      <c r="D5" s="111"/>
      <c r="E5" s="259"/>
      <c r="F5" s="742"/>
      <c r="G5" s="259"/>
      <c r="H5" s="742"/>
      <c r="I5" s="742"/>
      <c r="J5" s="742"/>
      <c r="K5" s="742"/>
      <c r="L5" s="742"/>
      <c r="M5" s="742"/>
      <c r="N5" s="742"/>
      <c r="O5" s="259"/>
      <c r="P5" s="759"/>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c r="AW5" s="761"/>
    </row>
    <row r="6" spans="1:49" ht="13.15" customHeight="1" x14ac:dyDescent="0.2">
      <c r="B6" s="86"/>
      <c r="C6" s="87"/>
      <c r="D6" s="67"/>
      <c r="E6" s="87"/>
      <c r="F6" s="80"/>
      <c r="G6" s="87"/>
      <c r="H6" s="80"/>
      <c r="I6" s="80"/>
      <c r="J6" s="80"/>
      <c r="K6" s="80"/>
      <c r="L6" s="80"/>
      <c r="M6" s="80"/>
      <c r="N6" s="80"/>
      <c r="O6" s="87"/>
      <c r="P6" s="517"/>
    </row>
    <row r="7" spans="1:49" ht="13.15" customHeight="1" x14ac:dyDescent="0.2">
      <c r="B7" s="86"/>
      <c r="C7" s="87"/>
      <c r="D7" s="87"/>
      <c r="E7" s="87"/>
      <c r="F7" s="80"/>
      <c r="G7" s="87"/>
      <c r="H7" s="80"/>
      <c r="I7" s="80"/>
      <c r="J7" s="80"/>
      <c r="K7" s="80"/>
      <c r="L7" s="80"/>
      <c r="M7" s="80"/>
      <c r="N7" s="80"/>
      <c r="O7" s="87"/>
      <c r="P7" s="517"/>
      <c r="Q7" s="476"/>
      <c r="R7" s="476"/>
    </row>
    <row r="8" spans="1:49" ht="13.15" customHeight="1" x14ac:dyDescent="0.2">
      <c r="B8" s="86"/>
      <c r="C8" s="1000"/>
      <c r="D8" s="1179"/>
      <c r="E8" s="1000"/>
      <c r="F8" s="1076"/>
      <c r="G8" s="1000"/>
      <c r="H8" s="1076"/>
      <c r="I8" s="1076"/>
      <c r="J8" s="1076"/>
      <c r="K8" s="1076"/>
      <c r="L8" s="1076"/>
      <c r="M8" s="1076"/>
      <c r="N8" s="1076"/>
      <c r="O8" s="1000"/>
      <c r="P8" s="517"/>
      <c r="Q8" s="476"/>
      <c r="R8" s="476"/>
    </row>
    <row r="9" spans="1:49" ht="13.15" customHeight="1" x14ac:dyDescent="0.2">
      <c r="B9" s="86"/>
      <c r="C9" s="1000"/>
      <c r="D9" s="1281" t="str">
        <f>+pers!D153</f>
        <v>project 1</v>
      </c>
      <c r="E9" s="1000"/>
      <c r="F9" s="1076"/>
      <c r="G9" s="1000"/>
      <c r="H9" s="1076"/>
      <c r="I9" s="1076"/>
      <c r="J9" s="1076"/>
      <c r="K9" s="1076"/>
      <c r="L9" s="1076"/>
      <c r="M9" s="1076"/>
      <c r="N9" s="1076"/>
      <c r="O9" s="1000"/>
      <c r="P9" s="517"/>
      <c r="Q9" s="476"/>
      <c r="R9" s="476"/>
    </row>
    <row r="10" spans="1:49" ht="13.15" customHeight="1" x14ac:dyDescent="0.2">
      <c r="B10" s="86"/>
      <c r="C10" s="1000"/>
      <c r="D10" s="1000"/>
      <c r="E10" s="1000"/>
      <c r="F10" s="1076"/>
      <c r="G10" s="1000"/>
      <c r="H10" s="1076"/>
      <c r="I10" s="1076"/>
      <c r="J10" s="1076"/>
      <c r="K10" s="1076"/>
      <c r="L10" s="1076"/>
      <c r="M10" s="1076"/>
      <c r="N10" s="1076"/>
      <c r="O10" s="1000"/>
      <c r="P10" s="517"/>
      <c r="Q10" s="476"/>
      <c r="R10" s="476"/>
    </row>
    <row r="11" spans="1:49" ht="13.15" customHeight="1" x14ac:dyDescent="0.2">
      <c r="B11" s="86"/>
      <c r="C11" s="1000"/>
      <c r="D11" s="1053" t="s">
        <v>92</v>
      </c>
      <c r="E11" s="1000"/>
      <c r="F11" s="1076"/>
      <c r="G11" s="1000"/>
      <c r="H11" s="1284" t="str">
        <f>tab!C2</f>
        <v>2015/16</v>
      </c>
      <c r="I11" s="1284" t="str">
        <f>tab!D2</f>
        <v>2016/17</v>
      </c>
      <c r="J11" s="1284" t="str">
        <f>tab!E2</f>
        <v>2017/18</v>
      </c>
      <c r="K11" s="1284" t="str">
        <f>tab!F2</f>
        <v>2018/19</v>
      </c>
      <c r="L11" s="1284" t="str">
        <f>tab!G2</f>
        <v>2019/20</v>
      </c>
      <c r="M11" s="1284" t="str">
        <f>tab!H2</f>
        <v>2020/21</v>
      </c>
      <c r="N11" s="1284" t="str">
        <f>tab!I2</f>
        <v>2021/22</v>
      </c>
      <c r="O11" s="1000"/>
      <c r="P11" s="517"/>
      <c r="Q11" s="476"/>
      <c r="R11" s="476"/>
    </row>
    <row r="12" spans="1:49" ht="13.15" customHeight="1" x14ac:dyDescent="0.2">
      <c r="B12" s="86"/>
      <c r="C12" s="1000"/>
      <c r="D12" s="1282"/>
      <c r="E12" s="1037"/>
      <c r="F12" s="1221"/>
      <c r="G12" s="1037"/>
      <c r="H12" s="1253">
        <v>0</v>
      </c>
      <c r="I12" s="1253">
        <f t="shared" ref="I12:K16" si="0">H12</f>
        <v>0</v>
      </c>
      <c r="J12" s="1253">
        <f t="shared" si="0"/>
        <v>0</v>
      </c>
      <c r="K12" s="1253">
        <f t="shared" si="0"/>
        <v>0</v>
      </c>
      <c r="L12" s="1253">
        <f t="shared" ref="L12:N16" si="1">K12</f>
        <v>0</v>
      </c>
      <c r="M12" s="1253">
        <f t="shared" si="1"/>
        <v>0</v>
      </c>
      <c r="N12" s="1253">
        <f t="shared" si="1"/>
        <v>0</v>
      </c>
      <c r="O12" s="1000"/>
      <c r="P12" s="517"/>
      <c r="Q12" s="476"/>
      <c r="R12" s="476"/>
    </row>
    <row r="13" spans="1:49" ht="13.15" customHeight="1" x14ac:dyDescent="0.2">
      <c r="B13" s="86"/>
      <c r="C13" s="1000"/>
      <c r="D13" s="1282"/>
      <c r="E13" s="1037"/>
      <c r="F13" s="1221"/>
      <c r="G13" s="1037"/>
      <c r="H13" s="1253">
        <v>0</v>
      </c>
      <c r="I13" s="1253">
        <f t="shared" si="0"/>
        <v>0</v>
      </c>
      <c r="J13" s="1253">
        <f t="shared" si="0"/>
        <v>0</v>
      </c>
      <c r="K13" s="1253">
        <f t="shared" si="0"/>
        <v>0</v>
      </c>
      <c r="L13" s="1253">
        <f t="shared" si="1"/>
        <v>0</v>
      </c>
      <c r="M13" s="1253">
        <f t="shared" si="1"/>
        <v>0</v>
      </c>
      <c r="N13" s="1253">
        <f t="shared" si="1"/>
        <v>0</v>
      </c>
      <c r="O13" s="1000"/>
      <c r="P13" s="517"/>
      <c r="Q13" s="476"/>
      <c r="R13" s="476"/>
    </row>
    <row r="14" spans="1:49" ht="13.15" customHeight="1" x14ac:dyDescent="0.2">
      <c r="B14" s="86"/>
      <c r="C14" s="1000"/>
      <c r="D14" s="1282"/>
      <c r="E14" s="1037"/>
      <c r="F14" s="1221"/>
      <c r="G14" s="1037"/>
      <c r="H14" s="1253">
        <v>0</v>
      </c>
      <c r="I14" s="1253">
        <f t="shared" si="0"/>
        <v>0</v>
      </c>
      <c r="J14" s="1253">
        <f t="shared" si="0"/>
        <v>0</v>
      </c>
      <c r="K14" s="1253">
        <f t="shared" si="0"/>
        <v>0</v>
      </c>
      <c r="L14" s="1253">
        <f t="shared" si="1"/>
        <v>0</v>
      </c>
      <c r="M14" s="1253">
        <f t="shared" si="1"/>
        <v>0</v>
      </c>
      <c r="N14" s="1253">
        <f t="shared" si="1"/>
        <v>0</v>
      </c>
      <c r="O14" s="1000"/>
      <c r="P14" s="517"/>
      <c r="Q14" s="476"/>
      <c r="R14" s="476"/>
    </row>
    <row r="15" spans="1:49" ht="13.15" customHeight="1" x14ac:dyDescent="0.2">
      <c r="B15" s="86"/>
      <c r="C15" s="1000"/>
      <c r="D15" s="1282"/>
      <c r="E15" s="1037"/>
      <c r="F15" s="1221"/>
      <c r="G15" s="1037"/>
      <c r="H15" s="1253">
        <v>0</v>
      </c>
      <c r="I15" s="1253">
        <f t="shared" si="0"/>
        <v>0</v>
      </c>
      <c r="J15" s="1253">
        <f t="shared" si="0"/>
        <v>0</v>
      </c>
      <c r="K15" s="1253">
        <f t="shared" si="0"/>
        <v>0</v>
      </c>
      <c r="L15" s="1253">
        <f t="shared" si="1"/>
        <v>0</v>
      </c>
      <c r="M15" s="1253">
        <f t="shared" si="1"/>
        <v>0</v>
      </c>
      <c r="N15" s="1253">
        <f t="shared" si="1"/>
        <v>0</v>
      </c>
      <c r="O15" s="1245"/>
      <c r="P15" s="517"/>
      <c r="Q15" s="476"/>
      <c r="R15" s="476"/>
    </row>
    <row r="16" spans="1:49" ht="13.15" customHeight="1" x14ac:dyDescent="0.2">
      <c r="B16" s="86"/>
      <c r="C16" s="1000"/>
      <c r="D16" s="1282"/>
      <c r="E16" s="1037"/>
      <c r="F16" s="1221"/>
      <c r="G16" s="1037"/>
      <c r="H16" s="1253">
        <v>0</v>
      </c>
      <c r="I16" s="1253">
        <f t="shared" si="0"/>
        <v>0</v>
      </c>
      <c r="J16" s="1253">
        <f t="shared" si="0"/>
        <v>0</v>
      </c>
      <c r="K16" s="1253">
        <f t="shared" si="0"/>
        <v>0</v>
      </c>
      <c r="L16" s="1253">
        <f t="shared" si="1"/>
        <v>0</v>
      </c>
      <c r="M16" s="1253">
        <f t="shared" si="1"/>
        <v>0</v>
      </c>
      <c r="N16" s="1253">
        <f t="shared" si="1"/>
        <v>0</v>
      </c>
      <c r="O16" s="1245"/>
      <c r="P16" s="517"/>
      <c r="Q16" s="476"/>
      <c r="R16" s="476"/>
    </row>
    <row r="17" spans="2:18" ht="13.15" customHeight="1" x14ac:dyDescent="0.2">
      <c r="B17" s="86"/>
      <c r="C17" s="1000"/>
      <c r="D17" s="1037"/>
      <c r="E17" s="1037"/>
      <c r="F17" s="1039"/>
      <c r="G17" s="1037"/>
      <c r="H17" s="1274">
        <f t="shared" ref="H17:M17" si="2">SUM(H12:H16)</f>
        <v>0</v>
      </c>
      <c r="I17" s="1274">
        <f t="shared" si="2"/>
        <v>0</v>
      </c>
      <c r="J17" s="1274">
        <f t="shared" si="2"/>
        <v>0</v>
      </c>
      <c r="K17" s="1274">
        <f t="shared" si="2"/>
        <v>0</v>
      </c>
      <c r="L17" s="1274">
        <f t="shared" si="2"/>
        <v>0</v>
      </c>
      <c r="M17" s="1274">
        <f t="shared" si="2"/>
        <v>0</v>
      </c>
      <c r="N17" s="1274">
        <f t="shared" ref="N17" si="3">SUM(N12:N16)</f>
        <v>0</v>
      </c>
      <c r="O17" s="1000"/>
      <c r="P17" s="517"/>
      <c r="Q17" s="476"/>
      <c r="R17" s="476"/>
    </row>
    <row r="18" spans="2:18" ht="13.15" customHeight="1" x14ac:dyDescent="0.2">
      <c r="B18" s="86"/>
      <c r="C18" s="1000"/>
      <c r="D18" s="1037"/>
      <c r="E18" s="1037"/>
      <c r="F18" s="1039"/>
      <c r="G18" s="1037"/>
      <c r="H18" s="1037"/>
      <c r="I18" s="1037"/>
      <c r="J18" s="1037"/>
      <c r="K18" s="1037"/>
      <c r="L18" s="1037"/>
      <c r="M18" s="1037"/>
      <c r="N18" s="1037"/>
      <c r="O18" s="1000"/>
      <c r="P18" s="517"/>
      <c r="Q18" s="476"/>
      <c r="R18" s="476"/>
    </row>
    <row r="19" spans="2:18" ht="13.15" customHeight="1" x14ac:dyDescent="0.2">
      <c r="B19" s="86"/>
      <c r="C19" s="1000"/>
      <c r="D19" s="1053" t="s">
        <v>97</v>
      </c>
      <c r="E19" s="1037"/>
      <c r="F19" s="1039"/>
      <c r="G19" s="1037"/>
      <c r="H19" s="1285">
        <f>tab!C4</f>
        <v>2015</v>
      </c>
      <c r="I19" s="1285">
        <f>tab!D4</f>
        <v>2016</v>
      </c>
      <c r="J19" s="1285">
        <f>tab!E4</f>
        <v>2017</v>
      </c>
      <c r="K19" s="1285">
        <f>tab!F4</f>
        <v>2018</v>
      </c>
      <c r="L19" s="1285">
        <f>tab!G4</f>
        <v>2019</v>
      </c>
      <c r="M19" s="1285">
        <f>tab!H4</f>
        <v>2020</v>
      </c>
      <c r="N19" s="1285">
        <f>tab!I4</f>
        <v>2021</v>
      </c>
      <c r="O19" s="1000"/>
      <c r="P19" s="517"/>
      <c r="Q19" s="476"/>
      <c r="R19" s="476"/>
    </row>
    <row r="20" spans="2:18" ht="13.15" customHeight="1" x14ac:dyDescent="0.2">
      <c r="B20" s="86"/>
      <c r="C20" s="1000"/>
      <c r="D20" s="1283"/>
      <c r="E20" s="1037"/>
      <c r="F20" s="1221"/>
      <c r="G20" s="1037"/>
      <c r="H20" s="1262">
        <v>0</v>
      </c>
      <c r="I20" s="1253">
        <f t="shared" ref="I20:K24" si="4">H20</f>
        <v>0</v>
      </c>
      <c r="J20" s="1253">
        <f t="shared" si="4"/>
        <v>0</v>
      </c>
      <c r="K20" s="1253">
        <f t="shared" si="4"/>
        <v>0</v>
      </c>
      <c r="L20" s="1253">
        <f t="shared" ref="L20:N24" si="5">K20</f>
        <v>0</v>
      </c>
      <c r="M20" s="1253">
        <f t="shared" si="5"/>
        <v>0</v>
      </c>
      <c r="N20" s="1253">
        <f t="shared" si="5"/>
        <v>0</v>
      </c>
      <c r="O20" s="1000"/>
      <c r="P20" s="517"/>
      <c r="Q20" s="476"/>
      <c r="R20" s="476"/>
    </row>
    <row r="21" spans="2:18" ht="13.15" customHeight="1" x14ac:dyDescent="0.2">
      <c r="B21" s="86"/>
      <c r="C21" s="1000"/>
      <c r="D21" s="1282"/>
      <c r="E21" s="1037"/>
      <c r="F21" s="1221"/>
      <c r="G21" s="1037"/>
      <c r="H21" s="1262">
        <v>0</v>
      </c>
      <c r="I21" s="1253">
        <f t="shared" si="4"/>
        <v>0</v>
      </c>
      <c r="J21" s="1253">
        <f t="shared" si="4"/>
        <v>0</v>
      </c>
      <c r="K21" s="1253">
        <f t="shared" si="4"/>
        <v>0</v>
      </c>
      <c r="L21" s="1253">
        <f t="shared" si="5"/>
        <v>0</v>
      </c>
      <c r="M21" s="1253">
        <f t="shared" si="5"/>
        <v>0</v>
      </c>
      <c r="N21" s="1253">
        <f t="shared" si="5"/>
        <v>0</v>
      </c>
      <c r="O21" s="1000"/>
      <c r="P21" s="517"/>
      <c r="Q21" s="476"/>
      <c r="R21" s="476"/>
    </row>
    <row r="22" spans="2:18" ht="13.15" customHeight="1" x14ac:dyDescent="0.2">
      <c r="B22" s="86"/>
      <c r="C22" s="1000"/>
      <c r="D22" s="1282"/>
      <c r="E22" s="1037"/>
      <c r="F22" s="1221"/>
      <c r="G22" s="1037"/>
      <c r="H22" s="1262">
        <v>0</v>
      </c>
      <c r="I22" s="1253">
        <f t="shared" si="4"/>
        <v>0</v>
      </c>
      <c r="J22" s="1253">
        <f t="shared" si="4"/>
        <v>0</v>
      </c>
      <c r="K22" s="1253">
        <f t="shared" si="4"/>
        <v>0</v>
      </c>
      <c r="L22" s="1253">
        <f t="shared" si="5"/>
        <v>0</v>
      </c>
      <c r="M22" s="1253">
        <f t="shared" si="5"/>
        <v>0</v>
      </c>
      <c r="N22" s="1253">
        <f t="shared" si="5"/>
        <v>0</v>
      </c>
      <c r="O22" s="1000"/>
      <c r="P22" s="517"/>
      <c r="Q22" s="476"/>
      <c r="R22" s="476"/>
    </row>
    <row r="23" spans="2:18" ht="13.15" customHeight="1" x14ac:dyDescent="0.2">
      <c r="B23" s="86"/>
      <c r="C23" s="1000"/>
      <c r="D23" s="1282"/>
      <c r="E23" s="1037"/>
      <c r="F23" s="1221"/>
      <c r="G23" s="1037"/>
      <c r="H23" s="1262">
        <v>0</v>
      </c>
      <c r="I23" s="1253">
        <f t="shared" si="4"/>
        <v>0</v>
      </c>
      <c r="J23" s="1253">
        <f t="shared" si="4"/>
        <v>0</v>
      </c>
      <c r="K23" s="1253">
        <f t="shared" si="4"/>
        <v>0</v>
      </c>
      <c r="L23" s="1253">
        <f t="shared" si="5"/>
        <v>0</v>
      </c>
      <c r="M23" s="1253">
        <f t="shared" si="5"/>
        <v>0</v>
      </c>
      <c r="N23" s="1253">
        <f t="shared" si="5"/>
        <v>0</v>
      </c>
      <c r="O23" s="1000"/>
      <c r="P23" s="517"/>
      <c r="Q23" s="476"/>
      <c r="R23" s="476"/>
    </row>
    <row r="24" spans="2:18" ht="13.15" customHeight="1" x14ac:dyDescent="0.2">
      <c r="B24" s="86"/>
      <c r="C24" s="1000"/>
      <c r="D24" s="1282"/>
      <c r="E24" s="1037"/>
      <c r="F24" s="1221"/>
      <c r="G24" s="1037"/>
      <c r="H24" s="1262">
        <v>0</v>
      </c>
      <c r="I24" s="1253">
        <f t="shared" si="4"/>
        <v>0</v>
      </c>
      <c r="J24" s="1253">
        <f t="shared" si="4"/>
        <v>0</v>
      </c>
      <c r="K24" s="1253">
        <f t="shared" si="4"/>
        <v>0</v>
      </c>
      <c r="L24" s="1253">
        <f t="shared" si="5"/>
        <v>0</v>
      </c>
      <c r="M24" s="1253">
        <f t="shared" si="5"/>
        <v>0</v>
      </c>
      <c r="N24" s="1253">
        <f t="shared" si="5"/>
        <v>0</v>
      </c>
      <c r="O24" s="1000"/>
      <c r="P24" s="517"/>
      <c r="Q24" s="476"/>
      <c r="R24" s="476"/>
    </row>
    <row r="25" spans="2:18" ht="13.15" customHeight="1" x14ac:dyDescent="0.2">
      <c r="B25" s="86"/>
      <c r="C25" s="1000"/>
      <c r="D25" s="1037"/>
      <c r="E25" s="1037"/>
      <c r="F25" s="1039"/>
      <c r="G25" s="1037"/>
      <c r="H25" s="1274">
        <f t="shared" ref="H25:M25" si="6">SUM(H20:H24)</f>
        <v>0</v>
      </c>
      <c r="I25" s="1274">
        <f t="shared" si="6"/>
        <v>0</v>
      </c>
      <c r="J25" s="1274">
        <f t="shared" si="6"/>
        <v>0</v>
      </c>
      <c r="K25" s="1274">
        <f t="shared" si="6"/>
        <v>0</v>
      </c>
      <c r="L25" s="1274">
        <f t="shared" si="6"/>
        <v>0</v>
      </c>
      <c r="M25" s="1274">
        <f t="shared" si="6"/>
        <v>0</v>
      </c>
      <c r="N25" s="1274">
        <f t="shared" ref="N25" si="7">SUM(N20:N24)</f>
        <v>0</v>
      </c>
      <c r="O25" s="1000"/>
      <c r="P25" s="517"/>
      <c r="Q25" s="476"/>
      <c r="R25" s="476"/>
    </row>
    <row r="26" spans="2:18" ht="13.15" customHeight="1" x14ac:dyDescent="0.2">
      <c r="B26" s="86"/>
      <c r="C26" s="1000"/>
      <c r="D26" s="1037"/>
      <c r="E26" s="1037"/>
      <c r="F26" s="1039"/>
      <c r="G26" s="1037"/>
      <c r="H26" s="1037"/>
      <c r="I26" s="1037"/>
      <c r="J26" s="1037"/>
      <c r="K26" s="1037"/>
      <c r="L26" s="1037"/>
      <c r="M26" s="1037"/>
      <c r="N26" s="1037"/>
      <c r="O26" s="1000"/>
      <c r="P26" s="517"/>
      <c r="Q26" s="476"/>
      <c r="R26" s="476"/>
    </row>
    <row r="27" spans="2:18" ht="13.15" customHeight="1" x14ac:dyDescent="0.2">
      <c r="B27" s="86"/>
      <c r="C27" s="478"/>
      <c r="D27" s="915"/>
      <c r="E27" s="915"/>
      <c r="F27" s="916"/>
      <c r="G27" s="915"/>
      <c r="H27" s="915"/>
      <c r="I27" s="915"/>
      <c r="J27" s="915"/>
      <c r="K27" s="915"/>
      <c r="L27" s="915"/>
      <c r="M27" s="915"/>
      <c r="N27" s="915"/>
      <c r="O27" s="478"/>
      <c r="P27" s="517"/>
      <c r="Q27" s="476"/>
      <c r="R27" s="476"/>
    </row>
    <row r="28" spans="2:18" ht="13.15" customHeight="1" x14ac:dyDescent="0.2">
      <c r="B28" s="86"/>
      <c r="C28" s="1000"/>
      <c r="D28" s="1179"/>
      <c r="E28" s="1000"/>
      <c r="F28" s="1076"/>
      <c r="G28" s="1000"/>
      <c r="H28" s="1076"/>
      <c r="I28" s="1076"/>
      <c r="J28" s="1076"/>
      <c r="K28" s="1076"/>
      <c r="L28" s="1076"/>
      <c r="M28" s="1076"/>
      <c r="N28" s="1076"/>
      <c r="O28" s="1000"/>
      <c r="P28" s="517"/>
      <c r="Q28" s="476"/>
      <c r="R28" s="476"/>
    </row>
    <row r="29" spans="2:18" ht="13.15" customHeight="1" x14ac:dyDescent="0.2">
      <c r="B29" s="86"/>
      <c r="C29" s="1000"/>
      <c r="D29" s="1281" t="str">
        <f>+pers!D154</f>
        <v>project 2</v>
      </c>
      <c r="E29" s="1000"/>
      <c r="F29" s="1076"/>
      <c r="G29" s="1000"/>
      <c r="H29" s="1076"/>
      <c r="I29" s="1076"/>
      <c r="J29" s="1076"/>
      <c r="K29" s="1076"/>
      <c r="L29" s="1076"/>
      <c r="M29" s="1076"/>
      <c r="N29" s="1076"/>
      <c r="O29" s="1000"/>
      <c r="P29" s="517"/>
      <c r="Q29" s="476"/>
      <c r="R29" s="476"/>
    </row>
    <row r="30" spans="2:18" ht="13.15" customHeight="1" x14ac:dyDescent="0.2">
      <c r="B30" s="86"/>
      <c r="C30" s="1000"/>
      <c r="D30" s="1000"/>
      <c r="E30" s="1000"/>
      <c r="F30" s="1076"/>
      <c r="G30" s="1000"/>
      <c r="H30" s="1076"/>
      <c r="I30" s="1076"/>
      <c r="J30" s="1076"/>
      <c r="K30" s="1076"/>
      <c r="L30" s="1076"/>
      <c r="M30" s="1076"/>
      <c r="N30" s="1076"/>
      <c r="O30" s="1000"/>
      <c r="P30" s="517"/>
      <c r="Q30" s="476"/>
      <c r="R30" s="476"/>
    </row>
    <row r="31" spans="2:18" ht="13.15" customHeight="1" x14ac:dyDescent="0.2">
      <c r="B31" s="86"/>
      <c r="C31" s="1000"/>
      <c r="D31" s="1053" t="s">
        <v>92</v>
      </c>
      <c r="E31" s="1000"/>
      <c r="F31" s="1076"/>
      <c r="G31" s="1000"/>
      <c r="H31" s="1284" t="str">
        <f t="shared" ref="H31:M31" si="8">H11</f>
        <v>2015/16</v>
      </c>
      <c r="I31" s="1284" t="str">
        <f t="shared" si="8"/>
        <v>2016/17</v>
      </c>
      <c r="J31" s="1284" t="str">
        <f t="shared" si="8"/>
        <v>2017/18</v>
      </c>
      <c r="K31" s="1284" t="str">
        <f t="shared" si="8"/>
        <v>2018/19</v>
      </c>
      <c r="L31" s="1284" t="str">
        <f t="shared" si="8"/>
        <v>2019/20</v>
      </c>
      <c r="M31" s="1284" t="str">
        <f t="shared" si="8"/>
        <v>2020/21</v>
      </c>
      <c r="N31" s="1284" t="str">
        <f t="shared" ref="N31" si="9">N11</f>
        <v>2021/22</v>
      </c>
      <c r="O31" s="1000"/>
      <c r="P31" s="517"/>
      <c r="Q31" s="476"/>
      <c r="R31" s="476"/>
    </row>
    <row r="32" spans="2:18" ht="13.15" customHeight="1" x14ac:dyDescent="0.2">
      <c r="B32" s="86"/>
      <c r="C32" s="1000"/>
      <c r="D32" s="1282"/>
      <c r="E32" s="1037"/>
      <c r="F32" s="1221"/>
      <c r="G32" s="1037"/>
      <c r="H32" s="1253">
        <v>0</v>
      </c>
      <c r="I32" s="1253">
        <f t="shared" ref="I32:K36" si="10">H32</f>
        <v>0</v>
      </c>
      <c r="J32" s="1253">
        <f t="shared" si="10"/>
        <v>0</v>
      </c>
      <c r="K32" s="1253">
        <f t="shared" si="10"/>
        <v>0</v>
      </c>
      <c r="L32" s="1253">
        <f t="shared" ref="L32:N36" si="11">K32</f>
        <v>0</v>
      </c>
      <c r="M32" s="1253">
        <f t="shared" si="11"/>
        <v>0</v>
      </c>
      <c r="N32" s="1253">
        <f t="shared" si="11"/>
        <v>0</v>
      </c>
      <c r="O32" s="1000"/>
      <c r="P32" s="517"/>
      <c r="Q32" s="476"/>
      <c r="R32" s="476"/>
    </row>
    <row r="33" spans="2:18" ht="13.15" customHeight="1" x14ac:dyDescent="0.2">
      <c r="B33" s="86"/>
      <c r="C33" s="1000"/>
      <c r="D33" s="1282"/>
      <c r="E33" s="1037"/>
      <c r="F33" s="1221"/>
      <c r="G33" s="1037"/>
      <c r="H33" s="1253">
        <v>0</v>
      </c>
      <c r="I33" s="1253">
        <f t="shared" si="10"/>
        <v>0</v>
      </c>
      <c r="J33" s="1253">
        <f t="shared" si="10"/>
        <v>0</v>
      </c>
      <c r="K33" s="1253">
        <f t="shared" si="10"/>
        <v>0</v>
      </c>
      <c r="L33" s="1253">
        <f t="shared" si="11"/>
        <v>0</v>
      </c>
      <c r="M33" s="1253">
        <f t="shared" si="11"/>
        <v>0</v>
      </c>
      <c r="N33" s="1253">
        <f t="shared" si="11"/>
        <v>0</v>
      </c>
      <c r="O33" s="1000"/>
      <c r="P33" s="517"/>
      <c r="Q33" s="476"/>
      <c r="R33" s="476"/>
    </row>
    <row r="34" spans="2:18" ht="13.15" customHeight="1" x14ac:dyDescent="0.2">
      <c r="B34" s="86"/>
      <c r="C34" s="1000"/>
      <c r="D34" s="1282"/>
      <c r="E34" s="1037"/>
      <c r="F34" s="1221"/>
      <c r="G34" s="1037"/>
      <c r="H34" s="1253">
        <v>0</v>
      </c>
      <c r="I34" s="1253">
        <f t="shared" si="10"/>
        <v>0</v>
      </c>
      <c r="J34" s="1253">
        <f t="shared" si="10"/>
        <v>0</v>
      </c>
      <c r="K34" s="1253">
        <f t="shared" si="10"/>
        <v>0</v>
      </c>
      <c r="L34" s="1253">
        <f t="shared" si="11"/>
        <v>0</v>
      </c>
      <c r="M34" s="1253">
        <f t="shared" si="11"/>
        <v>0</v>
      </c>
      <c r="N34" s="1253">
        <f t="shared" si="11"/>
        <v>0</v>
      </c>
      <c r="O34" s="1000"/>
      <c r="P34" s="517"/>
      <c r="Q34" s="476"/>
      <c r="R34" s="476"/>
    </row>
    <row r="35" spans="2:18" ht="13.15" customHeight="1" x14ac:dyDescent="0.2">
      <c r="B35" s="86"/>
      <c r="C35" s="1000"/>
      <c r="D35" s="1282"/>
      <c r="E35" s="1037"/>
      <c r="F35" s="1221"/>
      <c r="G35" s="1037"/>
      <c r="H35" s="1253">
        <v>0</v>
      </c>
      <c r="I35" s="1253">
        <f t="shared" si="10"/>
        <v>0</v>
      </c>
      <c r="J35" s="1253">
        <f t="shared" si="10"/>
        <v>0</v>
      </c>
      <c r="K35" s="1253">
        <f t="shared" si="10"/>
        <v>0</v>
      </c>
      <c r="L35" s="1253">
        <f t="shared" si="11"/>
        <v>0</v>
      </c>
      <c r="M35" s="1253">
        <f t="shared" si="11"/>
        <v>0</v>
      </c>
      <c r="N35" s="1253">
        <f t="shared" si="11"/>
        <v>0</v>
      </c>
      <c r="O35" s="1245"/>
      <c r="P35" s="517"/>
      <c r="Q35" s="476"/>
      <c r="R35" s="476"/>
    </row>
    <row r="36" spans="2:18" ht="13.15" customHeight="1" x14ac:dyDescent="0.2">
      <c r="B36" s="86"/>
      <c r="C36" s="1000"/>
      <c r="D36" s="1282"/>
      <c r="E36" s="1037"/>
      <c r="F36" s="1221"/>
      <c r="G36" s="1037"/>
      <c r="H36" s="1253">
        <v>0</v>
      </c>
      <c r="I36" s="1253">
        <f t="shared" si="10"/>
        <v>0</v>
      </c>
      <c r="J36" s="1253">
        <f t="shared" si="10"/>
        <v>0</v>
      </c>
      <c r="K36" s="1253">
        <f>J36</f>
        <v>0</v>
      </c>
      <c r="L36" s="1253">
        <f t="shared" si="11"/>
        <v>0</v>
      </c>
      <c r="M36" s="1253">
        <f t="shared" si="11"/>
        <v>0</v>
      </c>
      <c r="N36" s="1253">
        <f t="shared" si="11"/>
        <v>0</v>
      </c>
      <c r="O36" s="1245"/>
      <c r="P36" s="517"/>
      <c r="Q36" s="476"/>
      <c r="R36" s="476"/>
    </row>
    <row r="37" spans="2:18" ht="13.15" customHeight="1" x14ac:dyDescent="0.2">
      <c r="B37" s="86"/>
      <c r="C37" s="1000"/>
      <c r="D37" s="1037"/>
      <c r="E37" s="1037"/>
      <c r="F37" s="1039"/>
      <c r="G37" s="1037"/>
      <c r="H37" s="1274">
        <f t="shared" ref="H37:M37" si="12">SUM(H32:H36)</f>
        <v>0</v>
      </c>
      <c r="I37" s="1274">
        <f t="shared" si="12"/>
        <v>0</v>
      </c>
      <c r="J37" s="1274">
        <f t="shared" si="12"/>
        <v>0</v>
      </c>
      <c r="K37" s="1274">
        <f t="shared" si="12"/>
        <v>0</v>
      </c>
      <c r="L37" s="1274">
        <f t="shared" si="12"/>
        <v>0</v>
      </c>
      <c r="M37" s="1274">
        <f t="shared" si="12"/>
        <v>0</v>
      </c>
      <c r="N37" s="1274">
        <f t="shared" ref="N37" si="13">SUM(N32:N36)</f>
        <v>0</v>
      </c>
      <c r="O37" s="1000"/>
      <c r="P37" s="517"/>
      <c r="Q37" s="476"/>
      <c r="R37" s="476"/>
    </row>
    <row r="38" spans="2:18" ht="13.15" customHeight="1" x14ac:dyDescent="0.2">
      <c r="B38" s="86"/>
      <c r="C38" s="1000"/>
      <c r="D38" s="1037"/>
      <c r="E38" s="1037"/>
      <c r="F38" s="1039"/>
      <c r="G38" s="1037"/>
      <c r="H38" s="1037"/>
      <c r="I38" s="1037"/>
      <c r="J38" s="1037"/>
      <c r="K38" s="1037"/>
      <c r="L38" s="1037"/>
      <c r="M38" s="1037"/>
      <c r="N38" s="1037"/>
      <c r="O38" s="1000"/>
      <c r="P38" s="517"/>
      <c r="Q38" s="476"/>
      <c r="R38" s="476"/>
    </row>
    <row r="39" spans="2:18" ht="13.15" customHeight="1" x14ac:dyDescent="0.2">
      <c r="B39" s="86"/>
      <c r="C39" s="1000"/>
      <c r="D39" s="1053" t="s">
        <v>97</v>
      </c>
      <c r="E39" s="1037"/>
      <c r="F39" s="1039"/>
      <c r="G39" s="1037"/>
      <c r="H39" s="1285">
        <f t="shared" ref="H39:M39" si="14">H19</f>
        <v>2015</v>
      </c>
      <c r="I39" s="1285">
        <f t="shared" si="14"/>
        <v>2016</v>
      </c>
      <c r="J39" s="1285">
        <f t="shared" si="14"/>
        <v>2017</v>
      </c>
      <c r="K39" s="1285">
        <f t="shared" si="14"/>
        <v>2018</v>
      </c>
      <c r="L39" s="1285">
        <f t="shared" si="14"/>
        <v>2019</v>
      </c>
      <c r="M39" s="1285">
        <f t="shared" si="14"/>
        <v>2020</v>
      </c>
      <c r="N39" s="1285">
        <f t="shared" ref="N39" si="15">N19</f>
        <v>2021</v>
      </c>
      <c r="O39" s="1000"/>
      <c r="P39" s="517"/>
      <c r="Q39" s="476"/>
      <c r="R39" s="476"/>
    </row>
    <row r="40" spans="2:18" ht="13.15" customHeight="1" x14ac:dyDescent="0.2">
      <c r="B40" s="86"/>
      <c r="C40" s="1000"/>
      <c r="D40" s="1282"/>
      <c r="E40" s="1037"/>
      <c r="F40" s="1221"/>
      <c r="G40" s="1037"/>
      <c r="H40" s="1262">
        <v>0</v>
      </c>
      <c r="I40" s="1253">
        <f t="shared" ref="I40:K44" si="16">H40</f>
        <v>0</v>
      </c>
      <c r="J40" s="1253">
        <f t="shared" si="16"/>
        <v>0</v>
      </c>
      <c r="K40" s="1253">
        <f t="shared" si="16"/>
        <v>0</v>
      </c>
      <c r="L40" s="1253">
        <f t="shared" ref="L40:N44" si="17">K40</f>
        <v>0</v>
      </c>
      <c r="M40" s="1253">
        <f t="shared" si="17"/>
        <v>0</v>
      </c>
      <c r="N40" s="1253">
        <f t="shared" si="17"/>
        <v>0</v>
      </c>
      <c r="O40" s="1000"/>
      <c r="P40" s="517"/>
      <c r="Q40" s="476"/>
      <c r="R40" s="476"/>
    </row>
    <row r="41" spans="2:18" ht="13.15" customHeight="1" x14ac:dyDescent="0.2">
      <c r="B41" s="86"/>
      <c r="C41" s="1000"/>
      <c r="D41" s="1282"/>
      <c r="E41" s="1037"/>
      <c r="F41" s="1221"/>
      <c r="G41" s="1037"/>
      <c r="H41" s="1262">
        <v>0</v>
      </c>
      <c r="I41" s="1253">
        <f t="shared" si="16"/>
        <v>0</v>
      </c>
      <c r="J41" s="1253">
        <f t="shared" si="16"/>
        <v>0</v>
      </c>
      <c r="K41" s="1253">
        <f t="shared" si="16"/>
        <v>0</v>
      </c>
      <c r="L41" s="1253">
        <f t="shared" si="17"/>
        <v>0</v>
      </c>
      <c r="M41" s="1253">
        <f t="shared" si="17"/>
        <v>0</v>
      </c>
      <c r="N41" s="1253">
        <f t="shared" si="17"/>
        <v>0</v>
      </c>
      <c r="O41" s="1000"/>
      <c r="P41" s="517"/>
      <c r="Q41" s="476"/>
      <c r="R41" s="476"/>
    </row>
    <row r="42" spans="2:18" ht="13.15" customHeight="1" x14ac:dyDescent="0.2">
      <c r="B42" s="86"/>
      <c r="C42" s="1000"/>
      <c r="D42" s="1282"/>
      <c r="E42" s="1037"/>
      <c r="F42" s="1221"/>
      <c r="G42" s="1037"/>
      <c r="H42" s="1262">
        <v>0</v>
      </c>
      <c r="I42" s="1253">
        <f>H42</f>
        <v>0</v>
      </c>
      <c r="J42" s="1253">
        <f t="shared" si="16"/>
        <v>0</v>
      </c>
      <c r="K42" s="1253">
        <f t="shared" si="16"/>
        <v>0</v>
      </c>
      <c r="L42" s="1253">
        <f t="shared" si="17"/>
        <v>0</v>
      </c>
      <c r="M42" s="1253">
        <f t="shared" si="17"/>
        <v>0</v>
      </c>
      <c r="N42" s="1253">
        <f t="shared" si="17"/>
        <v>0</v>
      </c>
      <c r="O42" s="1000"/>
      <c r="P42" s="517"/>
      <c r="Q42" s="476"/>
      <c r="R42" s="476"/>
    </row>
    <row r="43" spans="2:18" ht="13.15" customHeight="1" x14ac:dyDescent="0.2">
      <c r="B43" s="86"/>
      <c r="C43" s="1000"/>
      <c r="D43" s="1282"/>
      <c r="E43" s="1037"/>
      <c r="F43" s="1221"/>
      <c r="G43" s="1037"/>
      <c r="H43" s="1262">
        <v>0</v>
      </c>
      <c r="I43" s="1253">
        <f t="shared" si="16"/>
        <v>0</v>
      </c>
      <c r="J43" s="1253">
        <f t="shared" si="16"/>
        <v>0</v>
      </c>
      <c r="K43" s="1253">
        <f t="shared" si="16"/>
        <v>0</v>
      </c>
      <c r="L43" s="1253">
        <f t="shared" si="17"/>
        <v>0</v>
      </c>
      <c r="M43" s="1253">
        <f t="shared" si="17"/>
        <v>0</v>
      </c>
      <c r="N43" s="1253">
        <f t="shared" si="17"/>
        <v>0</v>
      </c>
      <c r="O43" s="1000"/>
      <c r="P43" s="517"/>
      <c r="Q43" s="476"/>
      <c r="R43" s="476"/>
    </row>
    <row r="44" spans="2:18" ht="13.15" customHeight="1" x14ac:dyDescent="0.2">
      <c r="B44" s="86"/>
      <c r="C44" s="1000"/>
      <c r="D44" s="1282"/>
      <c r="E44" s="1037"/>
      <c r="F44" s="1221"/>
      <c r="G44" s="1037"/>
      <c r="H44" s="1262">
        <v>0</v>
      </c>
      <c r="I44" s="1253">
        <f t="shared" si="16"/>
        <v>0</v>
      </c>
      <c r="J44" s="1253">
        <f t="shared" si="16"/>
        <v>0</v>
      </c>
      <c r="K44" s="1253">
        <f t="shared" si="16"/>
        <v>0</v>
      </c>
      <c r="L44" s="1253">
        <f t="shared" si="17"/>
        <v>0</v>
      </c>
      <c r="M44" s="1253">
        <f t="shared" si="17"/>
        <v>0</v>
      </c>
      <c r="N44" s="1253">
        <f t="shared" si="17"/>
        <v>0</v>
      </c>
      <c r="O44" s="1000"/>
      <c r="P44" s="517"/>
      <c r="Q44" s="476"/>
      <c r="R44" s="476"/>
    </row>
    <row r="45" spans="2:18" ht="13.15" customHeight="1" x14ac:dyDescent="0.2">
      <c r="B45" s="86"/>
      <c r="C45" s="1000"/>
      <c r="D45" s="1037"/>
      <c r="E45" s="1037"/>
      <c r="F45" s="1039"/>
      <c r="G45" s="1037"/>
      <c r="H45" s="1274">
        <f t="shared" ref="H45:M45" si="18">SUM(H40:H44)</f>
        <v>0</v>
      </c>
      <c r="I45" s="1274">
        <f t="shared" si="18"/>
        <v>0</v>
      </c>
      <c r="J45" s="1274">
        <f t="shared" si="18"/>
        <v>0</v>
      </c>
      <c r="K45" s="1274">
        <f t="shared" si="18"/>
        <v>0</v>
      </c>
      <c r="L45" s="1274">
        <f t="shared" si="18"/>
        <v>0</v>
      </c>
      <c r="M45" s="1274">
        <f t="shared" si="18"/>
        <v>0</v>
      </c>
      <c r="N45" s="1274">
        <f t="shared" ref="N45" si="19">SUM(N40:N44)</f>
        <v>0</v>
      </c>
      <c r="O45" s="1000"/>
      <c r="P45" s="517"/>
      <c r="Q45" s="476"/>
      <c r="R45" s="476"/>
    </row>
    <row r="46" spans="2:18" ht="13.15" customHeight="1" x14ac:dyDescent="0.2">
      <c r="B46" s="86"/>
      <c r="C46" s="1000"/>
      <c r="D46" s="1037"/>
      <c r="E46" s="1037"/>
      <c r="F46" s="1039"/>
      <c r="G46" s="1037"/>
      <c r="H46" s="1037"/>
      <c r="I46" s="1037"/>
      <c r="J46" s="1037"/>
      <c r="K46" s="1037"/>
      <c r="L46" s="1037"/>
      <c r="M46" s="1037"/>
      <c r="N46" s="1037"/>
      <c r="O46" s="1000"/>
      <c r="P46" s="517"/>
      <c r="Q46" s="476"/>
      <c r="R46" s="476"/>
    </row>
    <row r="47" spans="2:18" ht="13.15" customHeight="1" x14ac:dyDescent="0.2">
      <c r="B47" s="86"/>
      <c r="C47" s="478"/>
      <c r="D47" s="915"/>
      <c r="E47" s="915"/>
      <c r="F47" s="916"/>
      <c r="G47" s="915"/>
      <c r="H47" s="915"/>
      <c r="I47" s="915"/>
      <c r="J47" s="915"/>
      <c r="K47" s="915"/>
      <c r="L47" s="915"/>
      <c r="M47" s="915"/>
      <c r="N47" s="915"/>
      <c r="O47" s="478"/>
      <c r="P47" s="517"/>
      <c r="Q47" s="476"/>
      <c r="R47" s="476"/>
    </row>
    <row r="48" spans="2:18" ht="13.15" customHeight="1" x14ac:dyDescent="0.2">
      <c r="B48" s="86"/>
      <c r="C48" s="1000"/>
      <c r="D48" s="1179"/>
      <c r="E48" s="1000"/>
      <c r="F48" s="1076"/>
      <c r="G48" s="1000"/>
      <c r="H48" s="1076"/>
      <c r="I48" s="1076"/>
      <c r="J48" s="1076"/>
      <c r="K48" s="1076"/>
      <c r="L48" s="1076"/>
      <c r="M48" s="1076"/>
      <c r="N48" s="1076"/>
      <c r="O48" s="1000"/>
      <c r="P48" s="517"/>
      <c r="Q48" s="476"/>
      <c r="R48" s="476"/>
    </row>
    <row r="49" spans="2:18" ht="13.15" customHeight="1" x14ac:dyDescent="0.2">
      <c r="B49" s="86"/>
      <c r="C49" s="1000"/>
      <c r="D49" s="1281" t="str">
        <f>+pers!D155</f>
        <v>project 3</v>
      </c>
      <c r="E49" s="1000"/>
      <c r="F49" s="1076"/>
      <c r="G49" s="1000"/>
      <c r="H49" s="1076"/>
      <c r="I49" s="1076"/>
      <c r="J49" s="1076"/>
      <c r="K49" s="1076"/>
      <c r="L49" s="1076"/>
      <c r="M49" s="1076"/>
      <c r="N49" s="1076"/>
      <c r="O49" s="1000"/>
      <c r="P49" s="517"/>
      <c r="Q49" s="476"/>
      <c r="R49" s="476"/>
    </row>
    <row r="50" spans="2:18" ht="13.15" customHeight="1" x14ac:dyDescent="0.2">
      <c r="B50" s="86"/>
      <c r="C50" s="1000"/>
      <c r="D50" s="1000"/>
      <c r="E50" s="1000"/>
      <c r="F50" s="1076"/>
      <c r="G50" s="1000"/>
      <c r="H50" s="1076"/>
      <c r="I50" s="1076"/>
      <c r="J50" s="1076"/>
      <c r="K50" s="1076"/>
      <c r="L50" s="1076"/>
      <c r="M50" s="1076"/>
      <c r="N50" s="1076"/>
      <c r="O50" s="1000"/>
      <c r="P50" s="517"/>
      <c r="Q50" s="476"/>
      <c r="R50" s="476"/>
    </row>
    <row r="51" spans="2:18" ht="13.15" customHeight="1" x14ac:dyDescent="0.2">
      <c r="B51" s="86"/>
      <c r="C51" s="1000"/>
      <c r="D51" s="1053" t="s">
        <v>92</v>
      </c>
      <c r="E51" s="1000"/>
      <c r="F51" s="1076"/>
      <c r="G51" s="1000"/>
      <c r="H51" s="1284" t="str">
        <f t="shared" ref="H51:M51" si="20">H31</f>
        <v>2015/16</v>
      </c>
      <c r="I51" s="1284" t="str">
        <f t="shared" si="20"/>
        <v>2016/17</v>
      </c>
      <c r="J51" s="1284" t="str">
        <f t="shared" si="20"/>
        <v>2017/18</v>
      </c>
      <c r="K51" s="1284" t="str">
        <f t="shared" si="20"/>
        <v>2018/19</v>
      </c>
      <c r="L51" s="1284" t="str">
        <f t="shared" si="20"/>
        <v>2019/20</v>
      </c>
      <c r="M51" s="1284" t="str">
        <f t="shared" si="20"/>
        <v>2020/21</v>
      </c>
      <c r="N51" s="1284" t="str">
        <f t="shared" ref="N51" si="21">N31</f>
        <v>2021/22</v>
      </c>
      <c r="O51" s="1000"/>
      <c r="P51" s="517"/>
      <c r="Q51" s="476"/>
      <c r="R51" s="476"/>
    </row>
    <row r="52" spans="2:18" ht="13.15" customHeight="1" x14ac:dyDescent="0.2">
      <c r="B52" s="86"/>
      <c r="C52" s="1000"/>
      <c r="D52" s="1282"/>
      <c r="E52" s="1037"/>
      <c r="F52" s="1221"/>
      <c r="G52" s="1037"/>
      <c r="H52" s="1253">
        <v>0</v>
      </c>
      <c r="I52" s="1253">
        <f t="shared" ref="I52:K56" si="22">H52</f>
        <v>0</v>
      </c>
      <c r="J52" s="1253">
        <f t="shared" si="22"/>
        <v>0</v>
      </c>
      <c r="K52" s="1253">
        <f t="shared" si="22"/>
        <v>0</v>
      </c>
      <c r="L52" s="1253">
        <f t="shared" ref="L52:N56" si="23">K52</f>
        <v>0</v>
      </c>
      <c r="M52" s="1253">
        <f t="shared" si="23"/>
        <v>0</v>
      </c>
      <c r="N52" s="1253">
        <f t="shared" si="23"/>
        <v>0</v>
      </c>
      <c r="O52" s="1000"/>
      <c r="P52" s="517"/>
      <c r="Q52" s="476"/>
      <c r="R52" s="476"/>
    </row>
    <row r="53" spans="2:18" ht="13.15" customHeight="1" x14ac:dyDescent="0.2">
      <c r="B53" s="86"/>
      <c r="C53" s="1000"/>
      <c r="D53" s="1282"/>
      <c r="E53" s="1037"/>
      <c r="F53" s="1221"/>
      <c r="G53" s="1037"/>
      <c r="H53" s="1253">
        <v>0</v>
      </c>
      <c r="I53" s="1253">
        <f t="shared" si="22"/>
        <v>0</v>
      </c>
      <c r="J53" s="1253">
        <f t="shared" si="22"/>
        <v>0</v>
      </c>
      <c r="K53" s="1253">
        <f t="shared" si="22"/>
        <v>0</v>
      </c>
      <c r="L53" s="1253">
        <f t="shared" si="23"/>
        <v>0</v>
      </c>
      <c r="M53" s="1253">
        <f t="shared" si="23"/>
        <v>0</v>
      </c>
      <c r="N53" s="1253">
        <f t="shared" si="23"/>
        <v>0</v>
      </c>
      <c r="O53" s="1000"/>
      <c r="P53" s="517"/>
      <c r="Q53" s="476"/>
      <c r="R53" s="476"/>
    </row>
    <row r="54" spans="2:18" ht="13.15" customHeight="1" x14ac:dyDescent="0.2">
      <c r="B54" s="86"/>
      <c r="C54" s="1000"/>
      <c r="D54" s="1282"/>
      <c r="E54" s="1037"/>
      <c r="F54" s="1221"/>
      <c r="G54" s="1037"/>
      <c r="H54" s="1253">
        <v>0</v>
      </c>
      <c r="I54" s="1253">
        <f t="shared" si="22"/>
        <v>0</v>
      </c>
      <c r="J54" s="1253">
        <f t="shared" si="22"/>
        <v>0</v>
      </c>
      <c r="K54" s="1253">
        <f t="shared" si="22"/>
        <v>0</v>
      </c>
      <c r="L54" s="1253">
        <f t="shared" si="23"/>
        <v>0</v>
      </c>
      <c r="M54" s="1253">
        <f t="shared" si="23"/>
        <v>0</v>
      </c>
      <c r="N54" s="1253">
        <f t="shared" si="23"/>
        <v>0</v>
      </c>
      <c r="O54" s="1000"/>
      <c r="P54" s="517"/>
      <c r="Q54" s="476"/>
      <c r="R54" s="476"/>
    </row>
    <row r="55" spans="2:18" ht="13.15" customHeight="1" x14ac:dyDescent="0.2">
      <c r="B55" s="86"/>
      <c r="C55" s="1000"/>
      <c r="D55" s="1282"/>
      <c r="E55" s="1037"/>
      <c r="F55" s="1221"/>
      <c r="G55" s="1037"/>
      <c r="H55" s="1253">
        <v>0</v>
      </c>
      <c r="I55" s="1253">
        <f t="shared" si="22"/>
        <v>0</v>
      </c>
      <c r="J55" s="1253">
        <f t="shared" si="22"/>
        <v>0</v>
      </c>
      <c r="K55" s="1253">
        <f t="shared" si="22"/>
        <v>0</v>
      </c>
      <c r="L55" s="1253">
        <f t="shared" si="23"/>
        <v>0</v>
      </c>
      <c r="M55" s="1253">
        <f t="shared" si="23"/>
        <v>0</v>
      </c>
      <c r="N55" s="1253">
        <f t="shared" si="23"/>
        <v>0</v>
      </c>
      <c r="O55" s="1245"/>
      <c r="P55" s="517"/>
      <c r="Q55" s="476"/>
      <c r="R55" s="476"/>
    </row>
    <row r="56" spans="2:18" ht="13.15" customHeight="1" x14ac:dyDescent="0.2">
      <c r="B56" s="86"/>
      <c r="C56" s="1000"/>
      <c r="D56" s="1282"/>
      <c r="E56" s="1037"/>
      <c r="F56" s="1221"/>
      <c r="G56" s="1037"/>
      <c r="H56" s="1253">
        <v>0</v>
      </c>
      <c r="I56" s="1253">
        <f t="shared" si="22"/>
        <v>0</v>
      </c>
      <c r="J56" s="1253">
        <f t="shared" si="22"/>
        <v>0</v>
      </c>
      <c r="K56" s="1253">
        <f>J56</f>
        <v>0</v>
      </c>
      <c r="L56" s="1253">
        <f t="shared" si="23"/>
        <v>0</v>
      </c>
      <c r="M56" s="1253">
        <f t="shared" si="23"/>
        <v>0</v>
      </c>
      <c r="N56" s="1253">
        <f t="shared" si="23"/>
        <v>0</v>
      </c>
      <c r="O56" s="1245"/>
      <c r="P56" s="517"/>
      <c r="Q56" s="476"/>
      <c r="R56" s="476"/>
    </row>
    <row r="57" spans="2:18" ht="13.15" customHeight="1" x14ac:dyDescent="0.2">
      <c r="B57" s="86"/>
      <c r="C57" s="1000"/>
      <c r="D57" s="1037"/>
      <c r="E57" s="1037"/>
      <c r="F57" s="1039"/>
      <c r="G57" s="1037"/>
      <c r="H57" s="1274">
        <f t="shared" ref="H57:M57" si="24">SUM(H52:H56)</f>
        <v>0</v>
      </c>
      <c r="I57" s="1274">
        <f t="shared" si="24"/>
        <v>0</v>
      </c>
      <c r="J57" s="1274">
        <f t="shared" si="24"/>
        <v>0</v>
      </c>
      <c r="K57" s="1274">
        <f t="shared" si="24"/>
        <v>0</v>
      </c>
      <c r="L57" s="1274">
        <f t="shared" si="24"/>
        <v>0</v>
      </c>
      <c r="M57" s="1274">
        <f t="shared" si="24"/>
        <v>0</v>
      </c>
      <c r="N57" s="1274">
        <f t="shared" ref="N57" si="25">SUM(N52:N56)</f>
        <v>0</v>
      </c>
      <c r="O57" s="1000"/>
      <c r="P57" s="517"/>
      <c r="Q57" s="476"/>
      <c r="R57" s="476"/>
    </row>
    <row r="58" spans="2:18" ht="13.15" customHeight="1" x14ac:dyDescent="0.2">
      <c r="B58" s="86"/>
      <c r="C58" s="1000"/>
      <c r="D58" s="1037"/>
      <c r="E58" s="1037"/>
      <c r="F58" s="1039"/>
      <c r="G58" s="1037"/>
      <c r="H58" s="1037"/>
      <c r="I58" s="1037"/>
      <c r="J58" s="1037"/>
      <c r="K58" s="1037"/>
      <c r="L58" s="1037"/>
      <c r="M58" s="1037"/>
      <c r="N58" s="1037"/>
      <c r="O58" s="1000"/>
      <c r="P58" s="517"/>
      <c r="Q58" s="476"/>
      <c r="R58" s="476"/>
    </row>
    <row r="59" spans="2:18" ht="13.15" customHeight="1" x14ac:dyDescent="0.2">
      <c r="B59" s="86"/>
      <c r="C59" s="1000"/>
      <c r="D59" s="1053" t="s">
        <v>97</v>
      </c>
      <c r="E59" s="1037"/>
      <c r="F59" s="1039"/>
      <c r="G59" s="1037"/>
      <c r="H59" s="1284">
        <f t="shared" ref="H59:M59" si="26">H39</f>
        <v>2015</v>
      </c>
      <c r="I59" s="1284">
        <f t="shared" si="26"/>
        <v>2016</v>
      </c>
      <c r="J59" s="1284">
        <f t="shared" si="26"/>
        <v>2017</v>
      </c>
      <c r="K59" s="1284">
        <f t="shared" si="26"/>
        <v>2018</v>
      </c>
      <c r="L59" s="1284">
        <f t="shared" si="26"/>
        <v>2019</v>
      </c>
      <c r="M59" s="1284">
        <f t="shared" si="26"/>
        <v>2020</v>
      </c>
      <c r="N59" s="1284">
        <f t="shared" ref="N59" si="27">N39</f>
        <v>2021</v>
      </c>
      <c r="O59" s="1000"/>
      <c r="P59" s="517"/>
      <c r="Q59" s="476"/>
      <c r="R59" s="476"/>
    </row>
    <row r="60" spans="2:18" ht="13.15" customHeight="1" x14ac:dyDescent="0.2">
      <c r="B60" s="86"/>
      <c r="C60" s="1000"/>
      <c r="D60" s="1282"/>
      <c r="E60" s="1037"/>
      <c r="F60" s="1221"/>
      <c r="G60" s="1037"/>
      <c r="H60" s="1262">
        <v>0</v>
      </c>
      <c r="I60" s="1253">
        <f t="shared" ref="I60:K64" si="28">H60</f>
        <v>0</v>
      </c>
      <c r="J60" s="1253">
        <f t="shared" si="28"/>
        <v>0</v>
      </c>
      <c r="K60" s="1253">
        <f t="shared" si="28"/>
        <v>0</v>
      </c>
      <c r="L60" s="1253">
        <f t="shared" ref="L60:N64" si="29">K60</f>
        <v>0</v>
      </c>
      <c r="M60" s="1253">
        <f t="shared" si="29"/>
        <v>0</v>
      </c>
      <c r="N60" s="1253">
        <f t="shared" si="29"/>
        <v>0</v>
      </c>
      <c r="O60" s="1000"/>
      <c r="P60" s="517"/>
      <c r="Q60" s="476"/>
      <c r="R60" s="476"/>
    </row>
    <row r="61" spans="2:18" ht="13.15" customHeight="1" x14ac:dyDescent="0.2">
      <c r="B61" s="86"/>
      <c r="C61" s="1000"/>
      <c r="D61" s="1282"/>
      <c r="E61" s="1037"/>
      <c r="F61" s="1221"/>
      <c r="G61" s="1037"/>
      <c r="H61" s="1262">
        <v>0</v>
      </c>
      <c r="I61" s="1253">
        <f t="shared" si="28"/>
        <v>0</v>
      </c>
      <c r="J61" s="1253">
        <f t="shared" si="28"/>
        <v>0</v>
      </c>
      <c r="K61" s="1253">
        <f t="shared" si="28"/>
        <v>0</v>
      </c>
      <c r="L61" s="1253">
        <f t="shared" si="29"/>
        <v>0</v>
      </c>
      <c r="M61" s="1253">
        <f t="shared" si="29"/>
        <v>0</v>
      </c>
      <c r="N61" s="1253">
        <f t="shared" si="29"/>
        <v>0</v>
      </c>
      <c r="O61" s="1000"/>
      <c r="P61" s="517"/>
      <c r="Q61" s="476"/>
      <c r="R61" s="476"/>
    </row>
    <row r="62" spans="2:18" ht="13.15" customHeight="1" x14ac:dyDescent="0.2">
      <c r="B62" s="86"/>
      <c r="C62" s="1000"/>
      <c r="D62" s="1282"/>
      <c r="E62" s="1037"/>
      <c r="F62" s="1221"/>
      <c r="G62" s="1037"/>
      <c r="H62" s="1262">
        <v>0</v>
      </c>
      <c r="I62" s="1253">
        <f t="shared" si="28"/>
        <v>0</v>
      </c>
      <c r="J62" s="1253">
        <f t="shared" si="28"/>
        <v>0</v>
      </c>
      <c r="K62" s="1253">
        <f t="shared" si="28"/>
        <v>0</v>
      </c>
      <c r="L62" s="1253">
        <f t="shared" si="29"/>
        <v>0</v>
      </c>
      <c r="M62" s="1253">
        <f t="shared" si="29"/>
        <v>0</v>
      </c>
      <c r="N62" s="1253">
        <f t="shared" si="29"/>
        <v>0</v>
      </c>
      <c r="O62" s="1000"/>
      <c r="P62" s="517"/>
      <c r="Q62" s="476"/>
      <c r="R62" s="476"/>
    </row>
    <row r="63" spans="2:18" ht="13.15" customHeight="1" x14ac:dyDescent="0.2">
      <c r="B63" s="86"/>
      <c r="C63" s="1000"/>
      <c r="D63" s="1282"/>
      <c r="E63" s="1037"/>
      <c r="F63" s="1221"/>
      <c r="G63" s="1037"/>
      <c r="H63" s="1262">
        <v>0</v>
      </c>
      <c r="I63" s="1253">
        <f t="shared" si="28"/>
        <v>0</v>
      </c>
      <c r="J63" s="1253">
        <f t="shared" si="28"/>
        <v>0</v>
      </c>
      <c r="K63" s="1253">
        <f t="shared" si="28"/>
        <v>0</v>
      </c>
      <c r="L63" s="1253">
        <f t="shared" si="29"/>
        <v>0</v>
      </c>
      <c r="M63" s="1253">
        <f t="shared" si="29"/>
        <v>0</v>
      </c>
      <c r="N63" s="1253">
        <f t="shared" si="29"/>
        <v>0</v>
      </c>
      <c r="O63" s="1000"/>
      <c r="P63" s="517"/>
      <c r="Q63" s="476"/>
      <c r="R63" s="476"/>
    </row>
    <row r="64" spans="2:18" ht="13.15" customHeight="1" x14ac:dyDescent="0.2">
      <c r="B64" s="86"/>
      <c r="C64" s="1000"/>
      <c r="D64" s="1282"/>
      <c r="E64" s="1037"/>
      <c r="F64" s="1221"/>
      <c r="G64" s="1037"/>
      <c r="H64" s="1262">
        <v>0</v>
      </c>
      <c r="I64" s="1253">
        <f t="shared" si="28"/>
        <v>0</v>
      </c>
      <c r="J64" s="1253">
        <f t="shared" si="28"/>
        <v>0</v>
      </c>
      <c r="K64" s="1253">
        <f t="shared" si="28"/>
        <v>0</v>
      </c>
      <c r="L64" s="1253">
        <f t="shared" si="29"/>
        <v>0</v>
      </c>
      <c r="M64" s="1253">
        <f t="shared" si="29"/>
        <v>0</v>
      </c>
      <c r="N64" s="1253">
        <f t="shared" si="29"/>
        <v>0</v>
      </c>
      <c r="O64" s="1000"/>
      <c r="P64" s="517"/>
      <c r="Q64" s="476"/>
      <c r="R64" s="476"/>
    </row>
    <row r="65" spans="2:18" ht="13.15" customHeight="1" x14ac:dyDescent="0.2">
      <c r="B65" s="86"/>
      <c r="C65" s="1000"/>
      <c r="D65" s="1037"/>
      <c r="E65" s="1037"/>
      <c r="F65" s="1039"/>
      <c r="G65" s="1037"/>
      <c r="H65" s="1274">
        <f t="shared" ref="H65:M65" si="30">SUM(H60:H64)</f>
        <v>0</v>
      </c>
      <c r="I65" s="1274">
        <f t="shared" si="30"/>
        <v>0</v>
      </c>
      <c r="J65" s="1274">
        <f t="shared" si="30"/>
        <v>0</v>
      </c>
      <c r="K65" s="1274">
        <f t="shared" si="30"/>
        <v>0</v>
      </c>
      <c r="L65" s="1274">
        <f t="shared" si="30"/>
        <v>0</v>
      </c>
      <c r="M65" s="1274">
        <f t="shared" si="30"/>
        <v>0</v>
      </c>
      <c r="N65" s="1274">
        <f t="shared" ref="N65" si="31">SUM(N60:N64)</f>
        <v>0</v>
      </c>
      <c r="O65" s="1000"/>
      <c r="P65" s="517"/>
      <c r="Q65" s="476"/>
      <c r="R65" s="476"/>
    </row>
    <row r="66" spans="2:18" ht="13.15" customHeight="1" x14ac:dyDescent="0.2">
      <c r="B66" s="86"/>
      <c r="C66" s="1000"/>
      <c r="D66" s="1037"/>
      <c r="E66" s="1037"/>
      <c r="F66" s="1039"/>
      <c r="G66" s="1037"/>
      <c r="H66" s="1037"/>
      <c r="I66" s="1037"/>
      <c r="J66" s="1037"/>
      <c r="K66" s="1037"/>
      <c r="L66" s="1037"/>
      <c r="M66" s="1037"/>
      <c r="N66" s="1037"/>
      <c r="O66" s="1000"/>
      <c r="P66" s="517"/>
      <c r="Q66" s="476"/>
      <c r="R66" s="476"/>
    </row>
    <row r="67" spans="2:18" ht="13.15" customHeight="1" x14ac:dyDescent="0.2">
      <c r="B67" s="86"/>
      <c r="C67" s="478"/>
      <c r="D67" s="915"/>
      <c r="E67" s="915"/>
      <c r="F67" s="916"/>
      <c r="G67" s="915"/>
      <c r="H67" s="915"/>
      <c r="I67" s="915"/>
      <c r="J67" s="915"/>
      <c r="K67" s="915"/>
      <c r="L67" s="915"/>
      <c r="M67" s="915"/>
      <c r="N67" s="915"/>
      <c r="O67" s="478"/>
      <c r="P67" s="517"/>
      <c r="Q67" s="476"/>
      <c r="R67" s="476"/>
    </row>
    <row r="68" spans="2:18" ht="13.15" customHeight="1" x14ac:dyDescent="0.2">
      <c r="B68" s="86"/>
      <c r="C68" s="1000"/>
      <c r="D68" s="1179"/>
      <c r="E68" s="1000"/>
      <c r="F68" s="1076"/>
      <c r="G68" s="1000"/>
      <c r="H68" s="1076"/>
      <c r="I68" s="1076"/>
      <c r="J68" s="1076"/>
      <c r="K68" s="1076"/>
      <c r="L68" s="1076"/>
      <c r="M68" s="1076"/>
      <c r="N68" s="1076"/>
      <c r="O68" s="1000"/>
      <c r="P68" s="517"/>
      <c r="Q68" s="476"/>
      <c r="R68" s="476"/>
    </row>
    <row r="69" spans="2:18" ht="13.15" customHeight="1" x14ac:dyDescent="0.2">
      <c r="B69" s="86"/>
      <c r="C69" s="1000"/>
      <c r="D69" s="1281" t="str">
        <f>+pers!D156</f>
        <v>project 4</v>
      </c>
      <c r="E69" s="1000"/>
      <c r="F69" s="1076"/>
      <c r="G69" s="1000"/>
      <c r="H69" s="1076"/>
      <c r="I69" s="1076"/>
      <c r="J69" s="1076"/>
      <c r="K69" s="1076"/>
      <c r="L69" s="1076"/>
      <c r="M69" s="1076"/>
      <c r="N69" s="1076"/>
      <c r="O69" s="1000"/>
      <c r="P69" s="517"/>
      <c r="Q69" s="476"/>
      <c r="R69" s="476"/>
    </row>
    <row r="70" spans="2:18" ht="13.15" customHeight="1" x14ac:dyDescent="0.2">
      <c r="B70" s="86"/>
      <c r="C70" s="1000"/>
      <c r="D70" s="1000"/>
      <c r="E70" s="1000"/>
      <c r="F70" s="1076"/>
      <c r="G70" s="1000"/>
      <c r="H70" s="1076"/>
      <c r="I70" s="1076"/>
      <c r="J70" s="1076"/>
      <c r="K70" s="1076"/>
      <c r="L70" s="1076"/>
      <c r="M70" s="1076"/>
      <c r="N70" s="1076"/>
      <c r="O70" s="1000"/>
      <c r="P70" s="517"/>
      <c r="Q70" s="476"/>
      <c r="R70" s="476"/>
    </row>
    <row r="71" spans="2:18" ht="13.15" customHeight="1" x14ac:dyDescent="0.2">
      <c r="B71" s="86"/>
      <c r="C71" s="1000"/>
      <c r="D71" s="1053" t="s">
        <v>92</v>
      </c>
      <c r="E71" s="1000"/>
      <c r="F71" s="1076"/>
      <c r="G71" s="1000"/>
      <c r="H71" s="1284" t="str">
        <f t="shared" ref="H71:M71" si="32">H51</f>
        <v>2015/16</v>
      </c>
      <c r="I71" s="1284" t="str">
        <f t="shared" si="32"/>
        <v>2016/17</v>
      </c>
      <c r="J71" s="1284" t="str">
        <f t="shared" si="32"/>
        <v>2017/18</v>
      </c>
      <c r="K71" s="1284" t="str">
        <f t="shared" si="32"/>
        <v>2018/19</v>
      </c>
      <c r="L71" s="1284" t="str">
        <f t="shared" si="32"/>
        <v>2019/20</v>
      </c>
      <c r="M71" s="1284" t="str">
        <f t="shared" si="32"/>
        <v>2020/21</v>
      </c>
      <c r="N71" s="1284" t="str">
        <f t="shared" ref="N71" si="33">N51</f>
        <v>2021/22</v>
      </c>
      <c r="O71" s="1000"/>
      <c r="P71" s="517"/>
      <c r="Q71" s="476"/>
      <c r="R71" s="476"/>
    </row>
    <row r="72" spans="2:18" ht="13.15" customHeight="1" x14ac:dyDescent="0.2">
      <c r="B72" s="86"/>
      <c r="C72" s="1000"/>
      <c r="D72" s="1282"/>
      <c r="E72" s="1037"/>
      <c r="F72" s="1221"/>
      <c r="G72" s="1037"/>
      <c r="H72" s="1253">
        <v>0</v>
      </c>
      <c r="I72" s="1253">
        <f t="shared" ref="I72:K76" si="34">H72</f>
        <v>0</v>
      </c>
      <c r="J72" s="1253">
        <f t="shared" si="34"/>
        <v>0</v>
      </c>
      <c r="K72" s="1253">
        <f t="shared" si="34"/>
        <v>0</v>
      </c>
      <c r="L72" s="1253">
        <f t="shared" ref="L72:N76" si="35">K72</f>
        <v>0</v>
      </c>
      <c r="M72" s="1253">
        <f t="shared" si="35"/>
        <v>0</v>
      </c>
      <c r="N72" s="1253">
        <f t="shared" si="35"/>
        <v>0</v>
      </c>
      <c r="O72" s="1000"/>
      <c r="P72" s="517"/>
      <c r="Q72" s="476"/>
      <c r="R72" s="476"/>
    </row>
    <row r="73" spans="2:18" ht="13.15" customHeight="1" x14ac:dyDescent="0.2">
      <c r="B73" s="86"/>
      <c r="C73" s="1000"/>
      <c r="D73" s="1282"/>
      <c r="E73" s="1037"/>
      <c r="F73" s="1221"/>
      <c r="G73" s="1037"/>
      <c r="H73" s="1253">
        <v>0</v>
      </c>
      <c r="I73" s="1253">
        <f t="shared" si="34"/>
        <v>0</v>
      </c>
      <c r="J73" s="1253">
        <f t="shared" si="34"/>
        <v>0</v>
      </c>
      <c r="K73" s="1253">
        <f t="shared" si="34"/>
        <v>0</v>
      </c>
      <c r="L73" s="1253">
        <f t="shared" si="35"/>
        <v>0</v>
      </c>
      <c r="M73" s="1253">
        <f t="shared" si="35"/>
        <v>0</v>
      </c>
      <c r="N73" s="1253">
        <f t="shared" si="35"/>
        <v>0</v>
      </c>
      <c r="O73" s="1000"/>
      <c r="P73" s="517"/>
      <c r="Q73" s="476"/>
      <c r="R73" s="476"/>
    </row>
    <row r="74" spans="2:18" ht="13.15" customHeight="1" x14ac:dyDescent="0.2">
      <c r="B74" s="86"/>
      <c r="C74" s="1000"/>
      <c r="D74" s="1282"/>
      <c r="E74" s="1037"/>
      <c r="F74" s="1221"/>
      <c r="G74" s="1037"/>
      <c r="H74" s="1253">
        <v>0</v>
      </c>
      <c r="I74" s="1253">
        <f t="shared" si="34"/>
        <v>0</v>
      </c>
      <c r="J74" s="1253">
        <f t="shared" si="34"/>
        <v>0</v>
      </c>
      <c r="K74" s="1253">
        <f t="shared" si="34"/>
        <v>0</v>
      </c>
      <c r="L74" s="1253">
        <f t="shared" si="35"/>
        <v>0</v>
      </c>
      <c r="M74" s="1253">
        <f t="shared" si="35"/>
        <v>0</v>
      </c>
      <c r="N74" s="1253">
        <f t="shared" si="35"/>
        <v>0</v>
      </c>
      <c r="O74" s="1000"/>
      <c r="P74" s="517"/>
      <c r="Q74" s="476"/>
      <c r="R74" s="476"/>
    </row>
    <row r="75" spans="2:18" ht="13.15" customHeight="1" x14ac:dyDescent="0.2">
      <c r="B75" s="86"/>
      <c r="C75" s="1000"/>
      <c r="D75" s="1282"/>
      <c r="E75" s="1037"/>
      <c r="F75" s="1221"/>
      <c r="G75" s="1037"/>
      <c r="H75" s="1253">
        <v>0</v>
      </c>
      <c r="I75" s="1253">
        <f t="shared" si="34"/>
        <v>0</v>
      </c>
      <c r="J75" s="1253">
        <f t="shared" si="34"/>
        <v>0</v>
      </c>
      <c r="K75" s="1253">
        <f t="shared" si="34"/>
        <v>0</v>
      </c>
      <c r="L75" s="1253">
        <f t="shared" si="35"/>
        <v>0</v>
      </c>
      <c r="M75" s="1253">
        <f t="shared" si="35"/>
        <v>0</v>
      </c>
      <c r="N75" s="1253">
        <f t="shared" si="35"/>
        <v>0</v>
      </c>
      <c r="O75" s="1245"/>
      <c r="P75" s="517"/>
      <c r="Q75" s="476"/>
      <c r="R75" s="476"/>
    </row>
    <row r="76" spans="2:18" ht="13.15" customHeight="1" x14ac:dyDescent="0.2">
      <c r="B76" s="86"/>
      <c r="C76" s="1000"/>
      <c r="D76" s="1282"/>
      <c r="E76" s="1037"/>
      <c r="F76" s="1221"/>
      <c r="G76" s="1037"/>
      <c r="H76" s="1253">
        <v>0</v>
      </c>
      <c r="I76" s="1253">
        <f t="shared" si="34"/>
        <v>0</v>
      </c>
      <c r="J76" s="1253">
        <f t="shared" si="34"/>
        <v>0</v>
      </c>
      <c r="K76" s="1253">
        <f t="shared" si="34"/>
        <v>0</v>
      </c>
      <c r="L76" s="1253">
        <f t="shared" si="35"/>
        <v>0</v>
      </c>
      <c r="M76" s="1253">
        <f t="shared" si="35"/>
        <v>0</v>
      </c>
      <c r="N76" s="1253">
        <f t="shared" si="35"/>
        <v>0</v>
      </c>
      <c r="O76" s="1245"/>
      <c r="P76" s="517"/>
      <c r="Q76" s="476"/>
      <c r="R76" s="476"/>
    </row>
    <row r="77" spans="2:18" ht="13.15" customHeight="1" x14ac:dyDescent="0.2">
      <c r="B77" s="86"/>
      <c r="C77" s="1000"/>
      <c r="D77" s="1037"/>
      <c r="E77" s="1037"/>
      <c r="F77" s="1039"/>
      <c r="G77" s="1037"/>
      <c r="H77" s="1274">
        <f t="shared" ref="H77:M77" si="36">SUM(H72:H76)</f>
        <v>0</v>
      </c>
      <c r="I77" s="1274">
        <f t="shared" si="36"/>
        <v>0</v>
      </c>
      <c r="J77" s="1274">
        <f t="shared" si="36"/>
        <v>0</v>
      </c>
      <c r="K77" s="1274">
        <f t="shared" si="36"/>
        <v>0</v>
      </c>
      <c r="L77" s="1274">
        <f t="shared" si="36"/>
        <v>0</v>
      </c>
      <c r="M77" s="1274">
        <f t="shared" si="36"/>
        <v>0</v>
      </c>
      <c r="N77" s="1274">
        <f t="shared" ref="N77" si="37">SUM(N72:N76)</f>
        <v>0</v>
      </c>
      <c r="O77" s="1000"/>
      <c r="P77" s="517"/>
      <c r="Q77" s="476"/>
      <c r="R77" s="476"/>
    </row>
    <row r="78" spans="2:18" ht="13.15" customHeight="1" x14ac:dyDescent="0.2">
      <c r="B78" s="86"/>
      <c r="C78" s="1000"/>
      <c r="D78" s="1037"/>
      <c r="E78" s="1037"/>
      <c r="F78" s="1039"/>
      <c r="G78" s="1037"/>
      <c r="H78" s="1037"/>
      <c r="I78" s="1037"/>
      <c r="J78" s="1037"/>
      <c r="K78" s="1037"/>
      <c r="L78" s="1037"/>
      <c r="M78" s="1037"/>
      <c r="N78" s="1037"/>
      <c r="O78" s="1000"/>
      <c r="P78" s="517"/>
      <c r="Q78" s="476"/>
      <c r="R78" s="476"/>
    </row>
    <row r="79" spans="2:18" ht="13.15" customHeight="1" x14ac:dyDescent="0.2">
      <c r="B79" s="86"/>
      <c r="C79" s="1000"/>
      <c r="D79" s="1053" t="s">
        <v>97</v>
      </c>
      <c r="E79" s="1037"/>
      <c r="F79" s="1039"/>
      <c r="G79" s="1037"/>
      <c r="H79" s="1284">
        <f t="shared" ref="H79:M79" si="38">H59</f>
        <v>2015</v>
      </c>
      <c r="I79" s="1284">
        <f t="shared" si="38"/>
        <v>2016</v>
      </c>
      <c r="J79" s="1284">
        <f t="shared" si="38"/>
        <v>2017</v>
      </c>
      <c r="K79" s="1284">
        <f t="shared" si="38"/>
        <v>2018</v>
      </c>
      <c r="L79" s="1284">
        <f t="shared" si="38"/>
        <v>2019</v>
      </c>
      <c r="M79" s="1284">
        <f t="shared" si="38"/>
        <v>2020</v>
      </c>
      <c r="N79" s="1284">
        <f t="shared" ref="N79" si="39">N59</f>
        <v>2021</v>
      </c>
      <c r="O79" s="1000"/>
      <c r="P79" s="517"/>
      <c r="Q79" s="476"/>
      <c r="R79" s="476"/>
    </row>
    <row r="80" spans="2:18" ht="13.15" customHeight="1" x14ac:dyDescent="0.2">
      <c r="B80" s="86"/>
      <c r="C80" s="1000"/>
      <c r="D80" s="1282"/>
      <c r="E80" s="1037"/>
      <c r="F80" s="1221"/>
      <c r="G80" s="1037"/>
      <c r="H80" s="1262">
        <v>0</v>
      </c>
      <c r="I80" s="1253">
        <f t="shared" ref="I80:K84" si="40">H80</f>
        <v>0</v>
      </c>
      <c r="J80" s="1253">
        <f t="shared" si="40"/>
        <v>0</v>
      </c>
      <c r="K80" s="1253">
        <f t="shared" si="40"/>
        <v>0</v>
      </c>
      <c r="L80" s="1253">
        <f t="shared" ref="L80:N84" si="41">K80</f>
        <v>0</v>
      </c>
      <c r="M80" s="1253">
        <f t="shared" si="41"/>
        <v>0</v>
      </c>
      <c r="N80" s="1253">
        <f t="shared" si="41"/>
        <v>0</v>
      </c>
      <c r="O80" s="1000"/>
      <c r="P80" s="517"/>
      <c r="Q80" s="476"/>
      <c r="R80" s="476"/>
    </row>
    <row r="81" spans="2:18" ht="13.15" customHeight="1" x14ac:dyDescent="0.2">
      <c r="B81" s="86"/>
      <c r="C81" s="1000"/>
      <c r="D81" s="1282"/>
      <c r="E81" s="1037"/>
      <c r="F81" s="1221"/>
      <c r="G81" s="1037"/>
      <c r="H81" s="1262">
        <v>0</v>
      </c>
      <c r="I81" s="1253">
        <f t="shared" si="40"/>
        <v>0</v>
      </c>
      <c r="J81" s="1253">
        <f t="shared" si="40"/>
        <v>0</v>
      </c>
      <c r="K81" s="1253">
        <f t="shared" si="40"/>
        <v>0</v>
      </c>
      <c r="L81" s="1253">
        <f t="shared" si="41"/>
        <v>0</v>
      </c>
      <c r="M81" s="1253">
        <f t="shared" si="41"/>
        <v>0</v>
      </c>
      <c r="N81" s="1253">
        <f t="shared" si="41"/>
        <v>0</v>
      </c>
      <c r="O81" s="1000"/>
      <c r="P81" s="517"/>
      <c r="Q81" s="476"/>
      <c r="R81" s="476"/>
    </row>
    <row r="82" spans="2:18" ht="13.15" customHeight="1" x14ac:dyDescent="0.2">
      <c r="B82" s="86"/>
      <c r="C82" s="1000"/>
      <c r="D82" s="1282"/>
      <c r="E82" s="1037"/>
      <c r="F82" s="1221"/>
      <c r="G82" s="1037"/>
      <c r="H82" s="1262">
        <v>0</v>
      </c>
      <c r="I82" s="1253">
        <f t="shared" si="40"/>
        <v>0</v>
      </c>
      <c r="J82" s="1253">
        <f t="shared" si="40"/>
        <v>0</v>
      </c>
      <c r="K82" s="1253">
        <f t="shared" si="40"/>
        <v>0</v>
      </c>
      <c r="L82" s="1253">
        <f t="shared" si="41"/>
        <v>0</v>
      </c>
      <c r="M82" s="1253">
        <f t="shared" si="41"/>
        <v>0</v>
      </c>
      <c r="N82" s="1253">
        <f t="shared" si="41"/>
        <v>0</v>
      </c>
      <c r="O82" s="1000"/>
      <c r="P82" s="517"/>
      <c r="Q82" s="476"/>
      <c r="R82" s="476"/>
    </row>
    <row r="83" spans="2:18" ht="13.15" customHeight="1" x14ac:dyDescent="0.2">
      <c r="B83" s="86"/>
      <c r="C83" s="1000"/>
      <c r="D83" s="1282"/>
      <c r="E83" s="1037"/>
      <c r="F83" s="1221"/>
      <c r="G83" s="1037"/>
      <c r="H83" s="1262">
        <v>0</v>
      </c>
      <c r="I83" s="1253">
        <f t="shared" si="40"/>
        <v>0</v>
      </c>
      <c r="J83" s="1253">
        <f t="shared" si="40"/>
        <v>0</v>
      </c>
      <c r="K83" s="1253">
        <f t="shared" si="40"/>
        <v>0</v>
      </c>
      <c r="L83" s="1253">
        <f t="shared" si="41"/>
        <v>0</v>
      </c>
      <c r="M83" s="1253">
        <f t="shared" si="41"/>
        <v>0</v>
      </c>
      <c r="N83" s="1253">
        <f t="shared" si="41"/>
        <v>0</v>
      </c>
      <c r="O83" s="1000"/>
      <c r="P83" s="517"/>
      <c r="Q83" s="476"/>
      <c r="R83" s="476"/>
    </row>
    <row r="84" spans="2:18" ht="13.15" customHeight="1" x14ac:dyDescent="0.2">
      <c r="B84" s="86"/>
      <c r="C84" s="1000"/>
      <c r="D84" s="1282"/>
      <c r="E84" s="1037"/>
      <c r="F84" s="1221"/>
      <c r="G84" s="1037"/>
      <c r="H84" s="1262">
        <v>0</v>
      </c>
      <c r="I84" s="1253">
        <f t="shared" si="40"/>
        <v>0</v>
      </c>
      <c r="J84" s="1253">
        <f t="shared" si="40"/>
        <v>0</v>
      </c>
      <c r="K84" s="1253">
        <f t="shared" si="40"/>
        <v>0</v>
      </c>
      <c r="L84" s="1253">
        <f t="shared" si="41"/>
        <v>0</v>
      </c>
      <c r="M84" s="1253">
        <f t="shared" si="41"/>
        <v>0</v>
      </c>
      <c r="N84" s="1253">
        <f t="shared" si="41"/>
        <v>0</v>
      </c>
      <c r="O84" s="1000"/>
      <c r="P84" s="517"/>
      <c r="Q84" s="476"/>
      <c r="R84" s="476"/>
    </row>
    <row r="85" spans="2:18" ht="13.15" customHeight="1" x14ac:dyDescent="0.2">
      <c r="B85" s="86"/>
      <c r="C85" s="1000"/>
      <c r="D85" s="1037"/>
      <c r="E85" s="1037"/>
      <c r="F85" s="1039"/>
      <c r="G85" s="1037"/>
      <c r="H85" s="1274">
        <f t="shared" ref="H85:M85" si="42">SUM(H80:H84)</f>
        <v>0</v>
      </c>
      <c r="I85" s="1274">
        <f t="shared" si="42"/>
        <v>0</v>
      </c>
      <c r="J85" s="1274">
        <f t="shared" si="42"/>
        <v>0</v>
      </c>
      <c r="K85" s="1274">
        <f t="shared" si="42"/>
        <v>0</v>
      </c>
      <c r="L85" s="1274">
        <f t="shared" si="42"/>
        <v>0</v>
      </c>
      <c r="M85" s="1274">
        <f t="shared" si="42"/>
        <v>0</v>
      </c>
      <c r="N85" s="1274">
        <f t="shared" ref="N85" si="43">SUM(N80:N84)</f>
        <v>0</v>
      </c>
      <c r="O85" s="1000"/>
      <c r="P85" s="517"/>
      <c r="Q85" s="476"/>
      <c r="R85" s="476"/>
    </row>
    <row r="86" spans="2:18" ht="13.15" customHeight="1" x14ac:dyDescent="0.2">
      <c r="B86" s="86"/>
      <c r="C86" s="1000"/>
      <c r="D86" s="1037"/>
      <c r="E86" s="1037"/>
      <c r="F86" s="1039"/>
      <c r="G86" s="1037"/>
      <c r="H86" s="1037"/>
      <c r="I86" s="1037"/>
      <c r="J86" s="1037"/>
      <c r="K86" s="1037"/>
      <c r="L86" s="1037"/>
      <c r="M86" s="1037"/>
      <c r="N86" s="1037"/>
      <c r="O86" s="1000"/>
      <c r="P86" s="517"/>
      <c r="Q86" s="476"/>
      <c r="R86" s="476"/>
    </row>
    <row r="87" spans="2:18" ht="13.15" customHeight="1" x14ac:dyDescent="0.2">
      <c r="B87" s="86"/>
      <c r="C87" s="478"/>
      <c r="D87" s="915"/>
      <c r="E87" s="915"/>
      <c r="F87" s="916"/>
      <c r="G87" s="915"/>
      <c r="H87" s="917"/>
      <c r="I87" s="917"/>
      <c r="J87" s="917"/>
      <c r="K87" s="917"/>
      <c r="L87" s="917"/>
      <c r="M87" s="917"/>
      <c r="N87" s="917"/>
      <c r="O87" s="478"/>
      <c r="P87" s="517"/>
      <c r="Q87" s="476"/>
      <c r="R87" s="476"/>
    </row>
    <row r="88" spans="2:18" ht="13.15" customHeight="1" x14ac:dyDescent="0.2">
      <c r="B88" s="86"/>
      <c r="C88" s="1000"/>
      <c r="D88" s="1179"/>
      <c r="E88" s="1000"/>
      <c r="F88" s="1076"/>
      <c r="G88" s="1000"/>
      <c r="H88" s="1076"/>
      <c r="I88" s="1076"/>
      <c r="J88" s="1076"/>
      <c r="K88" s="1076"/>
      <c r="L88" s="1076"/>
      <c r="M88" s="1076"/>
      <c r="N88" s="1076"/>
      <c r="O88" s="1000"/>
      <c r="P88" s="517"/>
      <c r="Q88" s="476"/>
      <c r="R88" s="476"/>
    </row>
    <row r="89" spans="2:18" ht="13.15" customHeight="1" x14ac:dyDescent="0.2">
      <c r="B89" s="86"/>
      <c r="C89" s="1000"/>
      <c r="D89" s="1281" t="str">
        <f>+pers!D157</f>
        <v>project 5</v>
      </c>
      <c r="E89" s="1000"/>
      <c r="F89" s="1076"/>
      <c r="G89" s="1000"/>
      <c r="H89" s="1076"/>
      <c r="I89" s="1076"/>
      <c r="J89" s="1076"/>
      <c r="K89" s="1076"/>
      <c r="L89" s="1076"/>
      <c r="M89" s="1076"/>
      <c r="N89" s="1076"/>
      <c r="O89" s="1000"/>
      <c r="P89" s="517"/>
      <c r="Q89" s="476"/>
      <c r="R89" s="476"/>
    </row>
    <row r="90" spans="2:18" ht="13.15" customHeight="1" x14ac:dyDescent="0.2">
      <c r="B90" s="86"/>
      <c r="C90" s="1000"/>
      <c r="D90" s="1000"/>
      <c r="E90" s="1000"/>
      <c r="F90" s="1076"/>
      <c r="G90" s="1000"/>
      <c r="H90" s="1076"/>
      <c r="I90" s="1076"/>
      <c r="J90" s="1076"/>
      <c r="K90" s="1076"/>
      <c r="L90" s="1076"/>
      <c r="M90" s="1076"/>
      <c r="N90" s="1076"/>
      <c r="O90" s="1000"/>
      <c r="P90" s="517"/>
      <c r="Q90" s="476"/>
      <c r="R90" s="476"/>
    </row>
    <row r="91" spans="2:18" ht="13.15" customHeight="1" x14ac:dyDescent="0.2">
      <c r="B91" s="86"/>
      <c r="C91" s="1000"/>
      <c r="D91" s="1053" t="s">
        <v>92</v>
      </c>
      <c r="E91" s="1000"/>
      <c r="F91" s="1076"/>
      <c r="G91" s="1000"/>
      <c r="H91" s="1284" t="str">
        <f t="shared" ref="H91:M91" si="44">H71</f>
        <v>2015/16</v>
      </c>
      <c r="I91" s="1284" t="str">
        <f t="shared" si="44"/>
        <v>2016/17</v>
      </c>
      <c r="J91" s="1284" t="str">
        <f t="shared" si="44"/>
        <v>2017/18</v>
      </c>
      <c r="K91" s="1284" t="str">
        <f t="shared" si="44"/>
        <v>2018/19</v>
      </c>
      <c r="L91" s="1284" t="str">
        <f t="shared" si="44"/>
        <v>2019/20</v>
      </c>
      <c r="M91" s="1284" t="str">
        <f t="shared" si="44"/>
        <v>2020/21</v>
      </c>
      <c r="N91" s="1284" t="str">
        <f t="shared" ref="N91" si="45">N71</f>
        <v>2021/22</v>
      </c>
      <c r="O91" s="1000"/>
      <c r="P91" s="517"/>
      <c r="Q91" s="476"/>
      <c r="R91" s="476"/>
    </row>
    <row r="92" spans="2:18" ht="13.15" customHeight="1" x14ac:dyDescent="0.2">
      <c r="B92" s="86"/>
      <c r="C92" s="1000"/>
      <c r="D92" s="1283"/>
      <c r="E92" s="1037"/>
      <c r="F92" s="1070"/>
      <c r="G92" s="1037"/>
      <c r="H92" s="1253">
        <v>0</v>
      </c>
      <c r="I92" s="1348">
        <f t="shared" ref="I92:K96" si="46">H92</f>
        <v>0</v>
      </c>
      <c r="J92" s="1348">
        <f t="shared" ref="J92" si="47">I92</f>
        <v>0</v>
      </c>
      <c r="K92" s="1348">
        <f t="shared" ref="K92" si="48">J92</f>
        <v>0</v>
      </c>
      <c r="L92" s="1348">
        <f t="shared" ref="L92" si="49">K92</f>
        <v>0</v>
      </c>
      <c r="M92" s="1348">
        <f t="shared" ref="M92" si="50">L92</f>
        <v>0</v>
      </c>
      <c r="N92" s="1348">
        <f t="shared" ref="N92" si="51">M92</f>
        <v>0</v>
      </c>
      <c r="O92" s="1000"/>
      <c r="P92" s="517"/>
      <c r="Q92" s="476"/>
      <c r="R92" s="476"/>
    </row>
    <row r="93" spans="2:18" ht="13.15" customHeight="1" x14ac:dyDescent="0.2">
      <c r="B93" s="86"/>
      <c r="C93" s="1000"/>
      <c r="D93" s="1282"/>
      <c r="E93" s="1037"/>
      <c r="F93" s="1221"/>
      <c r="G93" s="1037"/>
      <c r="H93" s="1253">
        <v>0</v>
      </c>
      <c r="I93" s="1253">
        <f t="shared" si="46"/>
        <v>0</v>
      </c>
      <c r="J93" s="1253">
        <f t="shared" si="46"/>
        <v>0</v>
      </c>
      <c r="K93" s="1253">
        <f t="shared" si="46"/>
        <v>0</v>
      </c>
      <c r="L93" s="1253">
        <f t="shared" ref="L93:N96" si="52">K93</f>
        <v>0</v>
      </c>
      <c r="M93" s="1253">
        <f t="shared" si="52"/>
        <v>0</v>
      </c>
      <c r="N93" s="1253">
        <f t="shared" si="52"/>
        <v>0</v>
      </c>
      <c r="O93" s="1000"/>
      <c r="P93" s="517"/>
      <c r="Q93" s="476"/>
      <c r="R93" s="476"/>
    </row>
    <row r="94" spans="2:18" ht="13.15" customHeight="1" x14ac:dyDescent="0.2">
      <c r="B94" s="86"/>
      <c r="C94" s="1000"/>
      <c r="D94" s="1282"/>
      <c r="E94" s="1037"/>
      <c r="F94" s="1221"/>
      <c r="G94" s="1037"/>
      <c r="H94" s="1253">
        <v>0</v>
      </c>
      <c r="I94" s="1253">
        <f t="shared" si="46"/>
        <v>0</v>
      </c>
      <c r="J94" s="1253">
        <f t="shared" si="46"/>
        <v>0</v>
      </c>
      <c r="K94" s="1253">
        <f t="shared" si="46"/>
        <v>0</v>
      </c>
      <c r="L94" s="1253">
        <f t="shared" si="52"/>
        <v>0</v>
      </c>
      <c r="M94" s="1253">
        <f t="shared" si="52"/>
        <v>0</v>
      </c>
      <c r="N94" s="1253">
        <f t="shared" si="52"/>
        <v>0</v>
      </c>
      <c r="O94" s="1000"/>
      <c r="P94" s="517"/>
      <c r="Q94" s="476"/>
      <c r="R94" s="476"/>
    </row>
    <row r="95" spans="2:18" ht="13.15" customHeight="1" x14ac:dyDescent="0.2">
      <c r="B95" s="86"/>
      <c r="C95" s="1000"/>
      <c r="D95" s="1282"/>
      <c r="E95" s="1037"/>
      <c r="F95" s="1221"/>
      <c r="G95" s="1037"/>
      <c r="H95" s="1253">
        <v>0</v>
      </c>
      <c r="I95" s="1253">
        <f t="shared" si="46"/>
        <v>0</v>
      </c>
      <c r="J95" s="1253">
        <f t="shared" si="46"/>
        <v>0</v>
      </c>
      <c r="K95" s="1253">
        <f t="shared" si="46"/>
        <v>0</v>
      </c>
      <c r="L95" s="1253">
        <f t="shared" si="52"/>
        <v>0</v>
      </c>
      <c r="M95" s="1253">
        <f t="shared" si="52"/>
        <v>0</v>
      </c>
      <c r="N95" s="1253">
        <f t="shared" si="52"/>
        <v>0</v>
      </c>
      <c r="O95" s="1245"/>
      <c r="P95" s="517"/>
      <c r="Q95" s="476"/>
      <c r="R95" s="476"/>
    </row>
    <row r="96" spans="2:18" ht="13.15" customHeight="1" x14ac:dyDescent="0.2">
      <c r="B96" s="86"/>
      <c r="C96" s="1000"/>
      <c r="D96" s="1282"/>
      <c r="E96" s="1037"/>
      <c r="F96" s="1221"/>
      <c r="G96" s="1037"/>
      <c r="H96" s="1253">
        <v>0</v>
      </c>
      <c r="I96" s="1253">
        <f t="shared" si="46"/>
        <v>0</v>
      </c>
      <c r="J96" s="1253">
        <f t="shared" si="46"/>
        <v>0</v>
      </c>
      <c r="K96" s="1253">
        <f t="shared" si="46"/>
        <v>0</v>
      </c>
      <c r="L96" s="1253">
        <f t="shared" si="52"/>
        <v>0</v>
      </c>
      <c r="M96" s="1253">
        <f t="shared" si="52"/>
        <v>0</v>
      </c>
      <c r="N96" s="1253">
        <f t="shared" si="52"/>
        <v>0</v>
      </c>
      <c r="O96" s="1245"/>
      <c r="P96" s="517"/>
      <c r="Q96" s="476"/>
      <c r="R96" s="476"/>
    </row>
    <row r="97" spans="2:18" ht="13.15" customHeight="1" x14ac:dyDescent="0.2">
      <c r="B97" s="86"/>
      <c r="C97" s="1000"/>
      <c r="D97" s="1037"/>
      <c r="E97" s="1037"/>
      <c r="F97" s="1039"/>
      <c r="G97" s="1037"/>
      <c r="H97" s="1274">
        <f t="shared" ref="H97:M97" si="53">SUM(H92:H96)</f>
        <v>0</v>
      </c>
      <c r="I97" s="1274">
        <f t="shared" si="53"/>
        <v>0</v>
      </c>
      <c r="J97" s="1274">
        <f t="shared" si="53"/>
        <v>0</v>
      </c>
      <c r="K97" s="1274">
        <f t="shared" si="53"/>
        <v>0</v>
      </c>
      <c r="L97" s="1274">
        <f t="shared" si="53"/>
        <v>0</v>
      </c>
      <c r="M97" s="1274">
        <f t="shared" si="53"/>
        <v>0</v>
      </c>
      <c r="N97" s="1274">
        <f t="shared" ref="N97" si="54">SUM(N92:N96)</f>
        <v>0</v>
      </c>
      <c r="O97" s="1000"/>
      <c r="P97" s="517"/>
      <c r="Q97" s="476"/>
      <c r="R97" s="476"/>
    </row>
    <row r="98" spans="2:18" ht="13.15" customHeight="1" x14ac:dyDescent="0.2">
      <c r="B98" s="86"/>
      <c r="C98" s="1000"/>
      <c r="D98" s="1037"/>
      <c r="E98" s="1037"/>
      <c r="F98" s="1039"/>
      <c r="G98" s="1037"/>
      <c r="H98" s="1037"/>
      <c r="I98" s="1037"/>
      <c r="J98" s="1037"/>
      <c r="K98" s="1037"/>
      <c r="L98" s="1037"/>
      <c r="M98" s="1037"/>
      <c r="N98" s="1037"/>
      <c r="O98" s="1000"/>
      <c r="P98" s="517"/>
      <c r="Q98" s="476"/>
      <c r="R98" s="476"/>
    </row>
    <row r="99" spans="2:18" ht="13.15" customHeight="1" x14ac:dyDescent="0.2">
      <c r="B99" s="86"/>
      <c r="C99" s="1000"/>
      <c r="D99" s="1053" t="s">
        <v>97</v>
      </c>
      <c r="E99" s="1037"/>
      <c r="F99" s="1039"/>
      <c r="G99" s="1037"/>
      <c r="H99" s="1284">
        <f t="shared" ref="H99:M99" si="55">H79</f>
        <v>2015</v>
      </c>
      <c r="I99" s="1284">
        <f t="shared" si="55"/>
        <v>2016</v>
      </c>
      <c r="J99" s="1284">
        <f t="shared" si="55"/>
        <v>2017</v>
      </c>
      <c r="K99" s="1284">
        <f t="shared" si="55"/>
        <v>2018</v>
      </c>
      <c r="L99" s="1284">
        <f t="shared" si="55"/>
        <v>2019</v>
      </c>
      <c r="M99" s="1284">
        <f t="shared" si="55"/>
        <v>2020</v>
      </c>
      <c r="N99" s="1284">
        <f t="shared" ref="N99" si="56">N79</f>
        <v>2021</v>
      </c>
      <c r="O99" s="1000"/>
      <c r="P99" s="517"/>
      <c r="Q99" s="476"/>
      <c r="R99" s="476"/>
    </row>
    <row r="100" spans="2:18" ht="13.15" customHeight="1" x14ac:dyDescent="0.2">
      <c r="B100" s="86"/>
      <c r="C100" s="1000"/>
      <c r="D100" s="1282"/>
      <c r="E100" s="1037"/>
      <c r="F100" s="1221"/>
      <c r="G100" s="1037"/>
      <c r="H100" s="1262">
        <v>0</v>
      </c>
      <c r="I100" s="1253">
        <f t="shared" ref="I100:K104" si="57">H100</f>
        <v>0</v>
      </c>
      <c r="J100" s="1253">
        <f t="shared" si="57"/>
        <v>0</v>
      </c>
      <c r="K100" s="1253">
        <f t="shared" si="57"/>
        <v>0</v>
      </c>
      <c r="L100" s="1253">
        <f t="shared" ref="L100:N104" si="58">K100</f>
        <v>0</v>
      </c>
      <c r="M100" s="1253">
        <f t="shared" si="58"/>
        <v>0</v>
      </c>
      <c r="N100" s="1253">
        <f t="shared" si="58"/>
        <v>0</v>
      </c>
      <c r="O100" s="1000"/>
      <c r="P100" s="517"/>
      <c r="Q100" s="476"/>
      <c r="R100" s="476"/>
    </row>
    <row r="101" spans="2:18" ht="13.15" customHeight="1" x14ac:dyDescent="0.2">
      <c r="B101" s="86"/>
      <c r="C101" s="1000"/>
      <c r="D101" s="1282"/>
      <c r="E101" s="1037"/>
      <c r="F101" s="1221"/>
      <c r="G101" s="1037"/>
      <c r="H101" s="1262">
        <v>0</v>
      </c>
      <c r="I101" s="1253">
        <f t="shared" si="57"/>
        <v>0</v>
      </c>
      <c r="J101" s="1253">
        <f t="shared" si="57"/>
        <v>0</v>
      </c>
      <c r="K101" s="1253">
        <f t="shared" si="57"/>
        <v>0</v>
      </c>
      <c r="L101" s="1253">
        <f t="shared" si="58"/>
        <v>0</v>
      </c>
      <c r="M101" s="1253">
        <f t="shared" si="58"/>
        <v>0</v>
      </c>
      <c r="N101" s="1253">
        <f t="shared" si="58"/>
        <v>0</v>
      </c>
      <c r="O101" s="1000"/>
      <c r="P101" s="517"/>
      <c r="Q101" s="476"/>
      <c r="R101" s="476"/>
    </row>
    <row r="102" spans="2:18" ht="13.15" customHeight="1" x14ac:dyDescent="0.2">
      <c r="B102" s="86"/>
      <c r="C102" s="1000"/>
      <c r="D102" s="1282"/>
      <c r="E102" s="1037"/>
      <c r="F102" s="1221"/>
      <c r="G102" s="1037"/>
      <c r="H102" s="1262">
        <v>0</v>
      </c>
      <c r="I102" s="1253">
        <f t="shared" si="57"/>
        <v>0</v>
      </c>
      <c r="J102" s="1253">
        <f t="shared" si="57"/>
        <v>0</v>
      </c>
      <c r="K102" s="1253">
        <f t="shared" si="57"/>
        <v>0</v>
      </c>
      <c r="L102" s="1253">
        <f t="shared" si="58"/>
        <v>0</v>
      </c>
      <c r="M102" s="1253">
        <f t="shared" si="58"/>
        <v>0</v>
      </c>
      <c r="N102" s="1253">
        <f t="shared" si="58"/>
        <v>0</v>
      </c>
      <c r="O102" s="1000"/>
      <c r="P102" s="517"/>
      <c r="Q102" s="476"/>
      <c r="R102" s="476"/>
    </row>
    <row r="103" spans="2:18" ht="13.15" customHeight="1" x14ac:dyDescent="0.2">
      <c r="B103" s="86"/>
      <c r="C103" s="1000"/>
      <c r="D103" s="1282"/>
      <c r="E103" s="1037"/>
      <c r="F103" s="1221"/>
      <c r="G103" s="1037"/>
      <c r="H103" s="1262">
        <v>0</v>
      </c>
      <c r="I103" s="1253">
        <f t="shared" si="57"/>
        <v>0</v>
      </c>
      <c r="J103" s="1253">
        <f t="shared" si="57"/>
        <v>0</v>
      </c>
      <c r="K103" s="1253">
        <f t="shared" si="57"/>
        <v>0</v>
      </c>
      <c r="L103" s="1253">
        <f t="shared" si="58"/>
        <v>0</v>
      </c>
      <c r="M103" s="1253">
        <f t="shared" si="58"/>
        <v>0</v>
      </c>
      <c r="N103" s="1253">
        <f t="shared" si="58"/>
        <v>0</v>
      </c>
      <c r="O103" s="1000"/>
      <c r="P103" s="517"/>
      <c r="Q103" s="476"/>
      <c r="R103" s="476"/>
    </row>
    <row r="104" spans="2:18" ht="13.15" customHeight="1" x14ac:dyDescent="0.2">
      <c r="B104" s="86"/>
      <c r="C104" s="1000"/>
      <c r="D104" s="1282"/>
      <c r="E104" s="1037"/>
      <c r="F104" s="1221"/>
      <c r="G104" s="1037"/>
      <c r="H104" s="1262">
        <v>0</v>
      </c>
      <c r="I104" s="1253">
        <f t="shared" si="57"/>
        <v>0</v>
      </c>
      <c r="J104" s="1253">
        <f t="shared" si="57"/>
        <v>0</v>
      </c>
      <c r="K104" s="1253">
        <f t="shared" si="57"/>
        <v>0</v>
      </c>
      <c r="L104" s="1253">
        <f t="shared" si="58"/>
        <v>0</v>
      </c>
      <c r="M104" s="1253">
        <f t="shared" si="58"/>
        <v>0</v>
      </c>
      <c r="N104" s="1253">
        <f t="shared" si="58"/>
        <v>0</v>
      </c>
      <c r="O104" s="1000"/>
      <c r="P104" s="517"/>
      <c r="Q104" s="476"/>
      <c r="R104" s="476"/>
    </row>
    <row r="105" spans="2:18" ht="13.15" customHeight="1" x14ac:dyDescent="0.2">
      <c r="B105" s="86"/>
      <c r="C105" s="1000"/>
      <c r="D105" s="1037"/>
      <c r="E105" s="1037"/>
      <c r="F105" s="1039"/>
      <c r="G105" s="1037"/>
      <c r="H105" s="1274">
        <f t="shared" ref="H105:M105" si="59">SUM(H100:H104)</f>
        <v>0</v>
      </c>
      <c r="I105" s="1274">
        <f t="shared" si="59"/>
        <v>0</v>
      </c>
      <c r="J105" s="1274">
        <f t="shared" si="59"/>
        <v>0</v>
      </c>
      <c r="K105" s="1274">
        <f t="shared" si="59"/>
        <v>0</v>
      </c>
      <c r="L105" s="1274">
        <f t="shared" si="59"/>
        <v>0</v>
      </c>
      <c r="M105" s="1274">
        <f t="shared" si="59"/>
        <v>0</v>
      </c>
      <c r="N105" s="1274">
        <f t="shared" ref="N105" si="60">SUM(N100:N104)</f>
        <v>0</v>
      </c>
      <c r="O105" s="1000"/>
      <c r="P105" s="517"/>
      <c r="Q105" s="476"/>
      <c r="R105" s="476"/>
    </row>
    <row r="106" spans="2:18" ht="13.15" customHeight="1" x14ac:dyDescent="0.2">
      <c r="B106" s="86"/>
      <c r="C106" s="1000"/>
      <c r="D106" s="1037"/>
      <c r="E106" s="1037"/>
      <c r="F106" s="1039"/>
      <c r="G106" s="1037"/>
      <c r="H106" s="1037"/>
      <c r="I106" s="1037"/>
      <c r="J106" s="1037"/>
      <c r="K106" s="1037"/>
      <c r="L106" s="1037"/>
      <c r="M106" s="1037"/>
      <c r="N106" s="1037"/>
      <c r="O106" s="1000"/>
      <c r="P106" s="517"/>
      <c r="Q106" s="476"/>
      <c r="R106" s="476"/>
    </row>
    <row r="107" spans="2:18" ht="13.15" customHeight="1" x14ac:dyDescent="0.2">
      <c r="B107" s="86"/>
      <c r="C107" s="478"/>
      <c r="D107" s="915"/>
      <c r="E107" s="915"/>
      <c r="F107" s="916"/>
      <c r="G107" s="915"/>
      <c r="H107" s="917"/>
      <c r="I107" s="917"/>
      <c r="J107" s="917"/>
      <c r="K107" s="917"/>
      <c r="L107" s="917"/>
      <c r="M107" s="917"/>
      <c r="N107" s="917"/>
      <c r="O107" s="478"/>
      <c r="P107" s="517"/>
      <c r="Q107" s="476"/>
      <c r="R107" s="476"/>
    </row>
    <row r="108" spans="2:18" ht="13.15" customHeight="1" x14ac:dyDescent="0.2">
      <c r="B108" s="96"/>
      <c r="C108" s="495"/>
      <c r="D108" s="953"/>
      <c r="E108" s="953"/>
      <c r="F108" s="954"/>
      <c r="G108" s="953"/>
      <c r="H108" s="955"/>
      <c r="I108" s="955"/>
      <c r="J108" s="955"/>
      <c r="K108" s="955"/>
      <c r="L108" s="955"/>
      <c r="M108" s="955"/>
      <c r="N108" s="955"/>
      <c r="O108" s="495"/>
      <c r="P108" s="95"/>
      <c r="Q108" s="476"/>
      <c r="R108" s="476"/>
    </row>
    <row r="109" spans="2:18" ht="13.15" customHeight="1" x14ac:dyDescent="0.2">
      <c r="B109" s="918"/>
      <c r="C109" s="956"/>
      <c r="D109" s="957"/>
      <c r="E109" s="957"/>
      <c r="F109" s="958"/>
      <c r="G109" s="957"/>
      <c r="H109" s="959"/>
      <c r="I109" s="959"/>
      <c r="J109" s="959"/>
      <c r="K109" s="959"/>
      <c r="L109" s="959"/>
      <c r="M109" s="959"/>
      <c r="N109" s="959"/>
      <c r="O109" s="956"/>
      <c r="P109" s="919"/>
      <c r="Q109" s="476"/>
      <c r="R109" s="476"/>
    </row>
    <row r="110" spans="2:18" ht="13.15" customHeight="1" x14ac:dyDescent="0.2">
      <c r="B110" s="86"/>
      <c r="C110" s="478"/>
      <c r="D110" s="915"/>
      <c r="E110" s="915"/>
      <c r="F110" s="916"/>
      <c r="G110" s="915"/>
      <c r="H110" s="917"/>
      <c r="I110" s="917"/>
      <c r="J110" s="917"/>
      <c r="K110" s="917"/>
      <c r="L110" s="917"/>
      <c r="M110" s="917"/>
      <c r="N110" s="917"/>
      <c r="O110" s="478"/>
      <c r="P110" s="517"/>
      <c r="Q110" s="476"/>
      <c r="R110" s="476"/>
    </row>
    <row r="111" spans="2:18" ht="13.15" customHeight="1" x14ac:dyDescent="0.2">
      <c r="B111" s="86"/>
      <c r="C111" s="478"/>
      <c r="D111" s="915"/>
      <c r="E111" s="915"/>
      <c r="F111" s="916"/>
      <c r="G111" s="915"/>
      <c r="H111" s="917"/>
      <c r="I111" s="917"/>
      <c r="J111" s="917"/>
      <c r="K111" s="917"/>
      <c r="L111" s="917"/>
      <c r="M111" s="917"/>
      <c r="N111" s="917"/>
      <c r="O111" s="478"/>
      <c r="P111" s="517"/>
      <c r="Q111" s="476"/>
      <c r="R111" s="476"/>
    </row>
    <row r="112" spans="2:18" ht="13.15" customHeight="1" x14ac:dyDescent="0.2">
      <c r="B112" s="86"/>
      <c r="C112" s="1000"/>
      <c r="D112" s="1179"/>
      <c r="E112" s="1000"/>
      <c r="F112" s="1076"/>
      <c r="G112" s="1000"/>
      <c r="H112" s="1076"/>
      <c r="I112" s="1076"/>
      <c r="J112" s="1076"/>
      <c r="K112" s="1076"/>
      <c r="L112" s="1076"/>
      <c r="M112" s="1076"/>
      <c r="N112" s="1076"/>
      <c r="O112" s="1000"/>
      <c r="P112" s="517"/>
      <c r="Q112" s="476"/>
      <c r="R112" s="476"/>
    </row>
    <row r="113" spans="2:18" ht="13.15" customHeight="1" x14ac:dyDescent="0.2">
      <c r="B113" s="86"/>
      <c r="C113" s="1000"/>
      <c r="D113" s="1281" t="str">
        <f>+pers!D158</f>
        <v>project 6</v>
      </c>
      <c r="E113" s="1000"/>
      <c r="F113" s="1076"/>
      <c r="G113" s="1000"/>
      <c r="H113" s="1076"/>
      <c r="I113" s="1076"/>
      <c r="J113" s="1076"/>
      <c r="K113" s="1076"/>
      <c r="L113" s="1076"/>
      <c r="M113" s="1076"/>
      <c r="N113" s="1076"/>
      <c r="O113" s="1000"/>
      <c r="P113" s="517"/>
      <c r="Q113" s="476"/>
      <c r="R113" s="476"/>
    </row>
    <row r="114" spans="2:18" ht="13.15" customHeight="1" x14ac:dyDescent="0.2">
      <c r="B114" s="86"/>
      <c r="C114" s="1000"/>
      <c r="D114" s="1000"/>
      <c r="E114" s="1000"/>
      <c r="F114" s="1076"/>
      <c r="G114" s="1000"/>
      <c r="H114" s="1076"/>
      <c r="I114" s="1076"/>
      <c r="J114" s="1076"/>
      <c r="K114" s="1076"/>
      <c r="L114" s="1076"/>
      <c r="M114" s="1076"/>
      <c r="N114" s="1076"/>
      <c r="O114" s="1000"/>
      <c r="P114" s="517"/>
      <c r="Q114" s="476"/>
      <c r="R114" s="476"/>
    </row>
    <row r="115" spans="2:18" ht="13.15" customHeight="1" x14ac:dyDescent="0.2">
      <c r="B115" s="86"/>
      <c r="C115" s="1000"/>
      <c r="D115" s="1053" t="s">
        <v>92</v>
      </c>
      <c r="E115" s="1000"/>
      <c r="F115" s="1076"/>
      <c r="G115" s="1000"/>
      <c r="H115" s="1284" t="str">
        <f t="shared" ref="H115:M115" si="61">H91</f>
        <v>2015/16</v>
      </c>
      <c r="I115" s="1284" t="str">
        <f t="shared" si="61"/>
        <v>2016/17</v>
      </c>
      <c r="J115" s="1284" t="str">
        <f t="shared" si="61"/>
        <v>2017/18</v>
      </c>
      <c r="K115" s="1284" t="str">
        <f t="shared" si="61"/>
        <v>2018/19</v>
      </c>
      <c r="L115" s="1284" t="str">
        <f t="shared" si="61"/>
        <v>2019/20</v>
      </c>
      <c r="M115" s="1284" t="str">
        <f t="shared" si="61"/>
        <v>2020/21</v>
      </c>
      <c r="N115" s="1284" t="str">
        <f t="shared" ref="N115" si="62">N91</f>
        <v>2021/22</v>
      </c>
      <c r="O115" s="1000"/>
      <c r="P115" s="517"/>
      <c r="Q115" s="476"/>
      <c r="R115" s="476"/>
    </row>
    <row r="116" spans="2:18" ht="13.15" customHeight="1" x14ac:dyDescent="0.2">
      <c r="B116" s="86"/>
      <c r="C116" s="1000"/>
      <c r="D116" s="1282"/>
      <c r="E116" s="1037"/>
      <c r="F116" s="1221"/>
      <c r="G116" s="1037"/>
      <c r="H116" s="1253">
        <v>0</v>
      </c>
      <c r="I116" s="1253">
        <f t="shared" ref="I116:K120" si="63">H116</f>
        <v>0</v>
      </c>
      <c r="J116" s="1253">
        <f t="shared" si="63"/>
        <v>0</v>
      </c>
      <c r="K116" s="1253">
        <f t="shared" si="63"/>
        <v>0</v>
      </c>
      <c r="L116" s="1253">
        <f t="shared" ref="L116:N120" si="64">K116</f>
        <v>0</v>
      </c>
      <c r="M116" s="1253">
        <f t="shared" si="64"/>
        <v>0</v>
      </c>
      <c r="N116" s="1253">
        <f t="shared" si="64"/>
        <v>0</v>
      </c>
      <c r="O116" s="1000"/>
      <c r="P116" s="517"/>
      <c r="Q116" s="476"/>
      <c r="R116" s="476"/>
    </row>
    <row r="117" spans="2:18" ht="13.15" customHeight="1" x14ac:dyDescent="0.2">
      <c r="B117" s="86"/>
      <c r="C117" s="1000"/>
      <c r="D117" s="1282"/>
      <c r="E117" s="1037"/>
      <c r="F117" s="1221"/>
      <c r="G117" s="1037"/>
      <c r="H117" s="1253">
        <v>0</v>
      </c>
      <c r="I117" s="1253">
        <f t="shared" si="63"/>
        <v>0</v>
      </c>
      <c r="J117" s="1253">
        <f t="shared" si="63"/>
        <v>0</v>
      </c>
      <c r="K117" s="1253">
        <f t="shared" si="63"/>
        <v>0</v>
      </c>
      <c r="L117" s="1253">
        <f t="shared" si="64"/>
        <v>0</v>
      </c>
      <c r="M117" s="1253">
        <f t="shared" si="64"/>
        <v>0</v>
      </c>
      <c r="N117" s="1253">
        <f t="shared" si="64"/>
        <v>0</v>
      </c>
      <c r="O117" s="1000"/>
      <c r="P117" s="517"/>
      <c r="Q117" s="476"/>
      <c r="R117" s="476"/>
    </row>
    <row r="118" spans="2:18" ht="13.15" customHeight="1" x14ac:dyDescent="0.2">
      <c r="B118" s="86"/>
      <c r="C118" s="1000"/>
      <c r="D118" s="1282"/>
      <c r="E118" s="1037"/>
      <c r="F118" s="1221"/>
      <c r="G118" s="1037"/>
      <c r="H118" s="1253">
        <v>0</v>
      </c>
      <c r="I118" s="1253">
        <f t="shared" si="63"/>
        <v>0</v>
      </c>
      <c r="J118" s="1253">
        <f t="shared" si="63"/>
        <v>0</v>
      </c>
      <c r="K118" s="1253">
        <f t="shared" si="63"/>
        <v>0</v>
      </c>
      <c r="L118" s="1253">
        <f t="shared" si="64"/>
        <v>0</v>
      </c>
      <c r="M118" s="1253">
        <f t="shared" si="64"/>
        <v>0</v>
      </c>
      <c r="N118" s="1253">
        <f t="shared" si="64"/>
        <v>0</v>
      </c>
      <c r="O118" s="1000"/>
      <c r="P118" s="517"/>
      <c r="Q118" s="476"/>
      <c r="R118" s="476"/>
    </row>
    <row r="119" spans="2:18" ht="13.15" customHeight="1" x14ac:dyDescent="0.2">
      <c r="B119" s="86"/>
      <c r="C119" s="1000"/>
      <c r="D119" s="1282"/>
      <c r="E119" s="1037"/>
      <c r="F119" s="1221"/>
      <c r="G119" s="1037"/>
      <c r="H119" s="1253">
        <v>0</v>
      </c>
      <c r="I119" s="1253">
        <f t="shared" si="63"/>
        <v>0</v>
      </c>
      <c r="J119" s="1253">
        <f t="shared" si="63"/>
        <v>0</v>
      </c>
      <c r="K119" s="1253">
        <f t="shared" si="63"/>
        <v>0</v>
      </c>
      <c r="L119" s="1253">
        <f t="shared" si="64"/>
        <v>0</v>
      </c>
      <c r="M119" s="1253">
        <f t="shared" si="64"/>
        <v>0</v>
      </c>
      <c r="N119" s="1253">
        <f t="shared" si="64"/>
        <v>0</v>
      </c>
      <c r="O119" s="1245"/>
      <c r="P119" s="517"/>
      <c r="Q119" s="476"/>
      <c r="R119" s="476"/>
    </row>
    <row r="120" spans="2:18" ht="13.15" customHeight="1" x14ac:dyDescent="0.2">
      <c r="B120" s="86"/>
      <c r="C120" s="1000"/>
      <c r="D120" s="1282"/>
      <c r="E120" s="1037"/>
      <c r="F120" s="1221"/>
      <c r="G120" s="1037"/>
      <c r="H120" s="1253">
        <v>0</v>
      </c>
      <c r="I120" s="1253">
        <f t="shared" si="63"/>
        <v>0</v>
      </c>
      <c r="J120" s="1253">
        <f t="shared" si="63"/>
        <v>0</v>
      </c>
      <c r="K120" s="1253">
        <f t="shared" si="63"/>
        <v>0</v>
      </c>
      <c r="L120" s="1253">
        <f t="shared" si="64"/>
        <v>0</v>
      </c>
      <c r="M120" s="1253">
        <f t="shared" si="64"/>
        <v>0</v>
      </c>
      <c r="N120" s="1253">
        <f t="shared" si="64"/>
        <v>0</v>
      </c>
      <c r="O120" s="1245"/>
      <c r="P120" s="517"/>
      <c r="Q120" s="476"/>
      <c r="R120" s="476"/>
    </row>
    <row r="121" spans="2:18" ht="13.15" customHeight="1" x14ac:dyDescent="0.2">
      <c r="B121" s="86"/>
      <c r="C121" s="1000"/>
      <c r="D121" s="1037"/>
      <c r="E121" s="1037"/>
      <c r="F121" s="1039"/>
      <c r="G121" s="1037"/>
      <c r="H121" s="1274">
        <f t="shared" ref="H121:M121" si="65">SUM(H116:H120)</f>
        <v>0</v>
      </c>
      <c r="I121" s="1274">
        <f t="shared" si="65"/>
        <v>0</v>
      </c>
      <c r="J121" s="1274">
        <f t="shared" si="65"/>
        <v>0</v>
      </c>
      <c r="K121" s="1274">
        <f t="shared" si="65"/>
        <v>0</v>
      </c>
      <c r="L121" s="1274">
        <f t="shared" si="65"/>
        <v>0</v>
      </c>
      <c r="M121" s="1274">
        <f t="shared" si="65"/>
        <v>0</v>
      </c>
      <c r="N121" s="1274">
        <f t="shared" ref="N121" si="66">SUM(N116:N120)</f>
        <v>0</v>
      </c>
      <c r="O121" s="1000"/>
      <c r="P121" s="517"/>
      <c r="Q121" s="476"/>
      <c r="R121" s="476"/>
    </row>
    <row r="122" spans="2:18" ht="13.15" customHeight="1" x14ac:dyDescent="0.2">
      <c r="B122" s="86"/>
      <c r="C122" s="1000"/>
      <c r="D122" s="1037"/>
      <c r="E122" s="1037"/>
      <c r="F122" s="1039"/>
      <c r="G122" s="1037"/>
      <c r="H122" s="1037"/>
      <c r="I122" s="1037"/>
      <c r="J122" s="1037"/>
      <c r="K122" s="1037"/>
      <c r="L122" s="1037"/>
      <c r="M122" s="1037"/>
      <c r="N122" s="1037"/>
      <c r="O122" s="1000"/>
      <c r="P122" s="517"/>
      <c r="Q122" s="476"/>
      <c r="R122" s="476"/>
    </row>
    <row r="123" spans="2:18" ht="13.15" customHeight="1" x14ac:dyDescent="0.2">
      <c r="B123" s="86"/>
      <c r="C123" s="1000"/>
      <c r="D123" s="1053" t="s">
        <v>97</v>
      </c>
      <c r="E123" s="1037"/>
      <c r="F123" s="1039"/>
      <c r="G123" s="1037"/>
      <c r="H123" s="1284">
        <f t="shared" ref="H123:M123" si="67">H99</f>
        <v>2015</v>
      </c>
      <c r="I123" s="1284">
        <f t="shared" si="67"/>
        <v>2016</v>
      </c>
      <c r="J123" s="1284">
        <f t="shared" si="67"/>
        <v>2017</v>
      </c>
      <c r="K123" s="1284">
        <f t="shared" si="67"/>
        <v>2018</v>
      </c>
      <c r="L123" s="1284">
        <f t="shared" si="67"/>
        <v>2019</v>
      </c>
      <c r="M123" s="1284">
        <f t="shared" si="67"/>
        <v>2020</v>
      </c>
      <c r="N123" s="1284">
        <f t="shared" ref="N123" si="68">N99</f>
        <v>2021</v>
      </c>
      <c r="O123" s="1000"/>
      <c r="P123" s="517"/>
      <c r="Q123" s="476"/>
      <c r="R123" s="476"/>
    </row>
    <row r="124" spans="2:18" ht="13.15" customHeight="1" x14ac:dyDescent="0.2">
      <c r="B124" s="86"/>
      <c r="C124" s="1000"/>
      <c r="D124" s="1282"/>
      <c r="E124" s="1037"/>
      <c r="F124" s="1221"/>
      <c r="G124" s="1037"/>
      <c r="H124" s="1262">
        <v>0</v>
      </c>
      <c r="I124" s="1253">
        <f t="shared" ref="I124:K128" si="69">H124</f>
        <v>0</v>
      </c>
      <c r="J124" s="1253">
        <f t="shared" si="69"/>
        <v>0</v>
      </c>
      <c r="K124" s="1253">
        <f t="shared" si="69"/>
        <v>0</v>
      </c>
      <c r="L124" s="1253">
        <f t="shared" ref="L124:N128" si="70">K124</f>
        <v>0</v>
      </c>
      <c r="M124" s="1253">
        <f t="shared" si="70"/>
        <v>0</v>
      </c>
      <c r="N124" s="1253">
        <f t="shared" si="70"/>
        <v>0</v>
      </c>
      <c r="O124" s="1000"/>
      <c r="P124" s="517"/>
      <c r="Q124" s="476"/>
      <c r="R124" s="476"/>
    </row>
    <row r="125" spans="2:18" ht="13.15" customHeight="1" x14ac:dyDescent="0.2">
      <c r="B125" s="86"/>
      <c r="C125" s="1000"/>
      <c r="D125" s="1282"/>
      <c r="E125" s="1037"/>
      <c r="F125" s="1221"/>
      <c r="G125" s="1037"/>
      <c r="H125" s="1262">
        <v>0</v>
      </c>
      <c r="I125" s="1253">
        <f t="shared" si="69"/>
        <v>0</v>
      </c>
      <c r="J125" s="1253">
        <f t="shared" si="69"/>
        <v>0</v>
      </c>
      <c r="K125" s="1253">
        <f t="shared" si="69"/>
        <v>0</v>
      </c>
      <c r="L125" s="1253">
        <f t="shared" si="70"/>
        <v>0</v>
      </c>
      <c r="M125" s="1253">
        <f t="shared" si="70"/>
        <v>0</v>
      </c>
      <c r="N125" s="1253">
        <f t="shared" si="70"/>
        <v>0</v>
      </c>
      <c r="O125" s="1000"/>
      <c r="P125" s="517"/>
      <c r="Q125" s="476"/>
      <c r="R125" s="476"/>
    </row>
    <row r="126" spans="2:18" ht="13.15" customHeight="1" x14ac:dyDescent="0.2">
      <c r="B126" s="86"/>
      <c r="C126" s="1000"/>
      <c r="D126" s="1282"/>
      <c r="E126" s="1037"/>
      <c r="F126" s="1221"/>
      <c r="G126" s="1037"/>
      <c r="H126" s="1262">
        <v>0</v>
      </c>
      <c r="I126" s="1253">
        <f t="shared" si="69"/>
        <v>0</v>
      </c>
      <c r="J126" s="1253">
        <f t="shared" si="69"/>
        <v>0</v>
      </c>
      <c r="K126" s="1253">
        <f t="shared" si="69"/>
        <v>0</v>
      </c>
      <c r="L126" s="1253">
        <f t="shared" si="70"/>
        <v>0</v>
      </c>
      <c r="M126" s="1253">
        <f t="shared" si="70"/>
        <v>0</v>
      </c>
      <c r="N126" s="1253">
        <f t="shared" si="70"/>
        <v>0</v>
      </c>
      <c r="O126" s="1000"/>
      <c r="P126" s="517"/>
      <c r="Q126" s="476"/>
      <c r="R126" s="476"/>
    </row>
    <row r="127" spans="2:18" ht="13.15" customHeight="1" x14ac:dyDescent="0.2">
      <c r="B127" s="86"/>
      <c r="C127" s="1000"/>
      <c r="D127" s="1282"/>
      <c r="E127" s="1037"/>
      <c r="F127" s="1221"/>
      <c r="G127" s="1037"/>
      <c r="H127" s="1262">
        <v>0</v>
      </c>
      <c r="I127" s="1253">
        <f t="shared" si="69"/>
        <v>0</v>
      </c>
      <c r="J127" s="1253">
        <f t="shared" si="69"/>
        <v>0</v>
      </c>
      <c r="K127" s="1253">
        <f t="shared" si="69"/>
        <v>0</v>
      </c>
      <c r="L127" s="1253">
        <f t="shared" si="70"/>
        <v>0</v>
      </c>
      <c r="M127" s="1253">
        <f t="shared" si="70"/>
        <v>0</v>
      </c>
      <c r="N127" s="1253">
        <f t="shared" si="70"/>
        <v>0</v>
      </c>
      <c r="O127" s="1000"/>
      <c r="P127" s="517"/>
      <c r="Q127" s="476"/>
      <c r="R127" s="476"/>
    </row>
    <row r="128" spans="2:18" ht="13.15" customHeight="1" x14ac:dyDescent="0.2">
      <c r="B128" s="86"/>
      <c r="C128" s="1000"/>
      <c r="D128" s="1282"/>
      <c r="E128" s="1037"/>
      <c r="F128" s="1221"/>
      <c r="G128" s="1037"/>
      <c r="H128" s="1262">
        <v>0</v>
      </c>
      <c r="I128" s="1253">
        <f t="shared" si="69"/>
        <v>0</v>
      </c>
      <c r="J128" s="1253">
        <f t="shared" si="69"/>
        <v>0</v>
      </c>
      <c r="K128" s="1253">
        <f t="shared" si="69"/>
        <v>0</v>
      </c>
      <c r="L128" s="1253">
        <f t="shared" si="70"/>
        <v>0</v>
      </c>
      <c r="M128" s="1253">
        <f t="shared" si="70"/>
        <v>0</v>
      </c>
      <c r="N128" s="1253">
        <f t="shared" si="70"/>
        <v>0</v>
      </c>
      <c r="O128" s="1000"/>
      <c r="P128" s="517"/>
      <c r="Q128" s="476"/>
      <c r="R128" s="476"/>
    </row>
    <row r="129" spans="2:18" ht="13.15" customHeight="1" x14ac:dyDescent="0.2">
      <c r="B129" s="86"/>
      <c r="C129" s="1000"/>
      <c r="D129" s="1037"/>
      <c r="E129" s="1037"/>
      <c r="F129" s="1039"/>
      <c r="G129" s="1037"/>
      <c r="H129" s="1274">
        <f t="shared" ref="H129:M129" si="71">SUM(H124:H128)</f>
        <v>0</v>
      </c>
      <c r="I129" s="1274">
        <f t="shared" si="71"/>
        <v>0</v>
      </c>
      <c r="J129" s="1274">
        <f t="shared" si="71"/>
        <v>0</v>
      </c>
      <c r="K129" s="1274">
        <f t="shared" si="71"/>
        <v>0</v>
      </c>
      <c r="L129" s="1274">
        <f t="shared" si="71"/>
        <v>0</v>
      </c>
      <c r="M129" s="1274">
        <f t="shared" si="71"/>
        <v>0</v>
      </c>
      <c r="N129" s="1274">
        <f t="shared" ref="N129" si="72">SUM(N124:N128)</f>
        <v>0</v>
      </c>
      <c r="O129" s="1000"/>
      <c r="P129" s="517"/>
      <c r="Q129" s="476"/>
      <c r="R129" s="476"/>
    </row>
    <row r="130" spans="2:18" ht="13.15" customHeight="1" x14ac:dyDescent="0.2">
      <c r="B130" s="86"/>
      <c r="C130" s="1000"/>
      <c r="D130" s="1037"/>
      <c r="E130" s="1037"/>
      <c r="F130" s="1039"/>
      <c r="G130" s="1037"/>
      <c r="H130" s="1037"/>
      <c r="I130" s="1037"/>
      <c r="J130" s="1037"/>
      <c r="K130" s="1037"/>
      <c r="L130" s="1037"/>
      <c r="M130" s="1037"/>
      <c r="N130" s="1037"/>
      <c r="O130" s="1000"/>
      <c r="P130" s="517"/>
      <c r="Q130" s="476"/>
      <c r="R130" s="476"/>
    </row>
    <row r="131" spans="2:18" ht="13.15" customHeight="1" x14ac:dyDescent="0.2">
      <c r="B131" s="86"/>
      <c r="C131" s="478"/>
      <c r="D131" s="915"/>
      <c r="E131" s="915"/>
      <c r="F131" s="916"/>
      <c r="G131" s="915"/>
      <c r="H131" s="917"/>
      <c r="I131" s="917"/>
      <c r="J131" s="917"/>
      <c r="K131" s="917"/>
      <c r="L131" s="917"/>
      <c r="M131" s="917"/>
      <c r="N131" s="917"/>
      <c r="O131" s="478"/>
      <c r="P131" s="517"/>
      <c r="Q131" s="476"/>
      <c r="R131" s="476"/>
    </row>
    <row r="132" spans="2:18" ht="13.15" customHeight="1" x14ac:dyDescent="0.2">
      <c r="B132" s="86"/>
      <c r="C132" s="1000"/>
      <c r="D132" s="1179"/>
      <c r="E132" s="1000"/>
      <c r="F132" s="1076"/>
      <c r="G132" s="1000"/>
      <c r="H132" s="1076"/>
      <c r="I132" s="1076"/>
      <c r="J132" s="1076"/>
      <c r="K132" s="1076"/>
      <c r="L132" s="1076"/>
      <c r="M132" s="1076"/>
      <c r="N132" s="1076"/>
      <c r="O132" s="1000"/>
      <c r="P132" s="517"/>
      <c r="Q132" s="476"/>
      <c r="R132" s="476"/>
    </row>
    <row r="133" spans="2:18" ht="13.15" customHeight="1" x14ac:dyDescent="0.2">
      <c r="B133" s="86"/>
      <c r="C133" s="1000"/>
      <c r="D133" s="1281" t="str">
        <f>+pers!D159</f>
        <v>project 7</v>
      </c>
      <c r="E133" s="1000"/>
      <c r="F133" s="1076"/>
      <c r="G133" s="1000"/>
      <c r="H133" s="1076"/>
      <c r="I133" s="1076"/>
      <c r="J133" s="1076"/>
      <c r="K133" s="1076"/>
      <c r="L133" s="1076"/>
      <c r="M133" s="1076"/>
      <c r="N133" s="1076"/>
      <c r="O133" s="1000"/>
      <c r="P133" s="517"/>
      <c r="Q133" s="476"/>
      <c r="R133" s="476"/>
    </row>
    <row r="134" spans="2:18" ht="13.15" customHeight="1" x14ac:dyDescent="0.2">
      <c r="B134" s="86"/>
      <c r="C134" s="1000"/>
      <c r="D134" s="1000"/>
      <c r="E134" s="1000"/>
      <c r="F134" s="1076"/>
      <c r="G134" s="1000"/>
      <c r="H134" s="1076"/>
      <c r="I134" s="1076"/>
      <c r="J134" s="1076"/>
      <c r="K134" s="1076"/>
      <c r="L134" s="1076"/>
      <c r="M134" s="1076"/>
      <c r="N134" s="1076"/>
      <c r="O134" s="1000"/>
      <c r="P134" s="517"/>
      <c r="Q134" s="476"/>
      <c r="R134" s="476"/>
    </row>
    <row r="135" spans="2:18" ht="13.15" customHeight="1" x14ac:dyDescent="0.2">
      <c r="B135" s="86"/>
      <c r="C135" s="1000"/>
      <c r="D135" s="1053" t="s">
        <v>92</v>
      </c>
      <c r="E135" s="1000"/>
      <c r="F135" s="1076"/>
      <c r="G135" s="1000"/>
      <c r="H135" s="1284" t="str">
        <f t="shared" ref="H135:M135" si="73">H115</f>
        <v>2015/16</v>
      </c>
      <c r="I135" s="1284" t="str">
        <f t="shared" si="73"/>
        <v>2016/17</v>
      </c>
      <c r="J135" s="1284" t="str">
        <f t="shared" si="73"/>
        <v>2017/18</v>
      </c>
      <c r="K135" s="1284" t="str">
        <f t="shared" si="73"/>
        <v>2018/19</v>
      </c>
      <c r="L135" s="1284" t="str">
        <f t="shared" si="73"/>
        <v>2019/20</v>
      </c>
      <c r="M135" s="1284" t="str">
        <f t="shared" si="73"/>
        <v>2020/21</v>
      </c>
      <c r="N135" s="1284" t="str">
        <f t="shared" ref="N135" si="74">N115</f>
        <v>2021/22</v>
      </c>
      <c r="O135" s="1000"/>
      <c r="P135" s="517"/>
      <c r="Q135" s="476"/>
      <c r="R135" s="476"/>
    </row>
    <row r="136" spans="2:18" ht="13.15" customHeight="1" x14ac:dyDescent="0.2">
      <c r="B136" s="86"/>
      <c r="C136" s="1000"/>
      <c r="D136" s="1282"/>
      <c r="E136" s="1037"/>
      <c r="F136" s="1221"/>
      <c r="G136" s="1037"/>
      <c r="H136" s="1253">
        <v>0</v>
      </c>
      <c r="I136" s="1253">
        <f t="shared" ref="I136:K140" si="75">H136</f>
        <v>0</v>
      </c>
      <c r="J136" s="1253">
        <f t="shared" si="75"/>
        <v>0</v>
      </c>
      <c r="K136" s="1253">
        <f t="shared" si="75"/>
        <v>0</v>
      </c>
      <c r="L136" s="1253">
        <f t="shared" ref="L136:N140" si="76">K136</f>
        <v>0</v>
      </c>
      <c r="M136" s="1253">
        <f t="shared" si="76"/>
        <v>0</v>
      </c>
      <c r="N136" s="1253">
        <f t="shared" si="76"/>
        <v>0</v>
      </c>
      <c r="O136" s="1000"/>
      <c r="P136" s="517"/>
      <c r="Q136" s="476"/>
      <c r="R136" s="476"/>
    </row>
    <row r="137" spans="2:18" ht="13.15" customHeight="1" x14ac:dyDescent="0.2">
      <c r="B137" s="86"/>
      <c r="C137" s="1000"/>
      <c r="D137" s="1282"/>
      <c r="E137" s="1037"/>
      <c r="F137" s="1221"/>
      <c r="G137" s="1037"/>
      <c r="H137" s="1253">
        <v>0</v>
      </c>
      <c r="I137" s="1253">
        <f t="shared" si="75"/>
        <v>0</v>
      </c>
      <c r="J137" s="1253">
        <f t="shared" si="75"/>
        <v>0</v>
      </c>
      <c r="K137" s="1253">
        <f t="shared" si="75"/>
        <v>0</v>
      </c>
      <c r="L137" s="1253">
        <f t="shared" si="76"/>
        <v>0</v>
      </c>
      <c r="M137" s="1253">
        <f t="shared" si="76"/>
        <v>0</v>
      </c>
      <c r="N137" s="1253">
        <f t="shared" si="76"/>
        <v>0</v>
      </c>
      <c r="O137" s="1000"/>
      <c r="P137" s="517"/>
      <c r="Q137" s="476"/>
      <c r="R137" s="476"/>
    </row>
    <row r="138" spans="2:18" ht="13.15" customHeight="1" x14ac:dyDescent="0.2">
      <c r="B138" s="86"/>
      <c r="C138" s="1000"/>
      <c r="D138" s="1282"/>
      <c r="E138" s="1037"/>
      <c r="F138" s="1221"/>
      <c r="G138" s="1037"/>
      <c r="H138" s="1253">
        <v>0</v>
      </c>
      <c r="I138" s="1253">
        <f t="shared" si="75"/>
        <v>0</v>
      </c>
      <c r="J138" s="1253">
        <f t="shared" si="75"/>
        <v>0</v>
      </c>
      <c r="K138" s="1253">
        <f t="shared" si="75"/>
        <v>0</v>
      </c>
      <c r="L138" s="1253">
        <f t="shared" si="76"/>
        <v>0</v>
      </c>
      <c r="M138" s="1253">
        <f t="shared" si="76"/>
        <v>0</v>
      </c>
      <c r="N138" s="1253">
        <f t="shared" si="76"/>
        <v>0</v>
      </c>
      <c r="O138" s="1000"/>
      <c r="P138" s="517"/>
      <c r="Q138" s="476"/>
      <c r="R138" s="476"/>
    </row>
    <row r="139" spans="2:18" ht="13.15" customHeight="1" x14ac:dyDescent="0.2">
      <c r="B139" s="86"/>
      <c r="C139" s="1000"/>
      <c r="D139" s="1282"/>
      <c r="E139" s="1037"/>
      <c r="F139" s="1221"/>
      <c r="G139" s="1037"/>
      <c r="H139" s="1253">
        <v>0</v>
      </c>
      <c r="I139" s="1253">
        <f t="shared" si="75"/>
        <v>0</v>
      </c>
      <c r="J139" s="1253">
        <f t="shared" si="75"/>
        <v>0</v>
      </c>
      <c r="K139" s="1253">
        <f t="shared" si="75"/>
        <v>0</v>
      </c>
      <c r="L139" s="1253">
        <f t="shared" si="76"/>
        <v>0</v>
      </c>
      <c r="M139" s="1253">
        <f t="shared" si="76"/>
        <v>0</v>
      </c>
      <c r="N139" s="1253">
        <f t="shared" si="76"/>
        <v>0</v>
      </c>
      <c r="O139" s="1245"/>
      <c r="P139" s="517"/>
      <c r="Q139" s="476"/>
      <c r="R139" s="476"/>
    </row>
    <row r="140" spans="2:18" ht="13.15" customHeight="1" x14ac:dyDescent="0.2">
      <c r="B140" s="86"/>
      <c r="C140" s="1000"/>
      <c r="D140" s="1282"/>
      <c r="E140" s="1037"/>
      <c r="F140" s="1221"/>
      <c r="G140" s="1037"/>
      <c r="H140" s="1253">
        <v>0</v>
      </c>
      <c r="I140" s="1253">
        <f t="shared" si="75"/>
        <v>0</v>
      </c>
      <c r="J140" s="1253">
        <f t="shared" si="75"/>
        <v>0</v>
      </c>
      <c r="K140" s="1253">
        <f t="shared" si="75"/>
        <v>0</v>
      </c>
      <c r="L140" s="1253">
        <f t="shared" si="76"/>
        <v>0</v>
      </c>
      <c r="M140" s="1253">
        <f t="shared" si="76"/>
        <v>0</v>
      </c>
      <c r="N140" s="1253">
        <f t="shared" si="76"/>
        <v>0</v>
      </c>
      <c r="O140" s="1245"/>
      <c r="P140" s="517"/>
      <c r="Q140" s="476"/>
      <c r="R140" s="476"/>
    </row>
    <row r="141" spans="2:18" ht="13.15" customHeight="1" x14ac:dyDescent="0.2">
      <c r="B141" s="86"/>
      <c r="C141" s="1000"/>
      <c r="D141" s="1037"/>
      <c r="E141" s="1037"/>
      <c r="F141" s="1039"/>
      <c r="G141" s="1037"/>
      <c r="H141" s="1274">
        <f t="shared" ref="H141:M141" si="77">SUM(H136:H140)</f>
        <v>0</v>
      </c>
      <c r="I141" s="1274">
        <f t="shared" si="77"/>
        <v>0</v>
      </c>
      <c r="J141" s="1274">
        <f t="shared" si="77"/>
        <v>0</v>
      </c>
      <c r="K141" s="1274">
        <f t="shared" si="77"/>
        <v>0</v>
      </c>
      <c r="L141" s="1274">
        <f t="shared" si="77"/>
        <v>0</v>
      </c>
      <c r="M141" s="1274">
        <f t="shared" si="77"/>
        <v>0</v>
      </c>
      <c r="N141" s="1274">
        <f t="shared" ref="N141" si="78">SUM(N136:N140)</f>
        <v>0</v>
      </c>
      <c r="O141" s="1000"/>
      <c r="P141" s="517"/>
      <c r="Q141" s="476"/>
      <c r="R141" s="476"/>
    </row>
    <row r="142" spans="2:18" ht="13.15" customHeight="1" x14ac:dyDescent="0.2">
      <c r="B142" s="86"/>
      <c r="C142" s="1000"/>
      <c r="D142" s="1037"/>
      <c r="E142" s="1037"/>
      <c r="F142" s="1039"/>
      <c r="G142" s="1037"/>
      <c r="H142" s="1037"/>
      <c r="I142" s="1037"/>
      <c r="J142" s="1037"/>
      <c r="K142" s="1037"/>
      <c r="L142" s="1037"/>
      <c r="M142" s="1037"/>
      <c r="N142" s="1037"/>
      <c r="O142" s="1000"/>
      <c r="P142" s="517"/>
      <c r="Q142" s="476"/>
      <c r="R142" s="476"/>
    </row>
    <row r="143" spans="2:18" ht="13.15" customHeight="1" x14ac:dyDescent="0.2">
      <c r="B143" s="86"/>
      <c r="C143" s="1000"/>
      <c r="D143" s="1053" t="s">
        <v>97</v>
      </c>
      <c r="E143" s="1037"/>
      <c r="F143" s="1039"/>
      <c r="G143" s="1037"/>
      <c r="H143" s="1284">
        <f t="shared" ref="H143:M143" si="79">H123</f>
        <v>2015</v>
      </c>
      <c r="I143" s="1284">
        <f t="shared" si="79"/>
        <v>2016</v>
      </c>
      <c r="J143" s="1284">
        <f t="shared" si="79"/>
        <v>2017</v>
      </c>
      <c r="K143" s="1284">
        <f t="shared" si="79"/>
        <v>2018</v>
      </c>
      <c r="L143" s="1284">
        <f t="shared" si="79"/>
        <v>2019</v>
      </c>
      <c r="M143" s="1284">
        <f t="shared" si="79"/>
        <v>2020</v>
      </c>
      <c r="N143" s="1284">
        <f t="shared" ref="N143" si="80">N123</f>
        <v>2021</v>
      </c>
      <c r="O143" s="1000"/>
      <c r="P143" s="517"/>
      <c r="Q143" s="476"/>
      <c r="R143" s="476"/>
    </row>
    <row r="144" spans="2:18" ht="13.15" customHeight="1" x14ac:dyDescent="0.2">
      <c r="B144" s="86"/>
      <c r="C144" s="1000"/>
      <c r="D144" s="1282"/>
      <c r="E144" s="1037"/>
      <c r="F144" s="1221"/>
      <c r="G144" s="1037"/>
      <c r="H144" s="1262">
        <v>0</v>
      </c>
      <c r="I144" s="1253">
        <f t="shared" ref="I144:K148" si="81">H144</f>
        <v>0</v>
      </c>
      <c r="J144" s="1253">
        <f t="shared" si="81"/>
        <v>0</v>
      </c>
      <c r="K144" s="1253">
        <f t="shared" si="81"/>
        <v>0</v>
      </c>
      <c r="L144" s="1253">
        <f t="shared" ref="L144:N148" si="82">K144</f>
        <v>0</v>
      </c>
      <c r="M144" s="1253">
        <f t="shared" si="82"/>
        <v>0</v>
      </c>
      <c r="N144" s="1253">
        <f t="shared" si="82"/>
        <v>0</v>
      </c>
      <c r="O144" s="1000"/>
      <c r="P144" s="517"/>
      <c r="Q144" s="476"/>
      <c r="R144" s="476"/>
    </row>
    <row r="145" spans="2:18" ht="13.15" customHeight="1" x14ac:dyDescent="0.2">
      <c r="B145" s="86"/>
      <c r="C145" s="1000"/>
      <c r="D145" s="1282"/>
      <c r="E145" s="1037"/>
      <c r="F145" s="1221"/>
      <c r="G145" s="1037"/>
      <c r="H145" s="1262">
        <v>0</v>
      </c>
      <c r="I145" s="1253">
        <f t="shared" si="81"/>
        <v>0</v>
      </c>
      <c r="J145" s="1253">
        <f t="shared" si="81"/>
        <v>0</v>
      </c>
      <c r="K145" s="1253">
        <f t="shared" si="81"/>
        <v>0</v>
      </c>
      <c r="L145" s="1253">
        <f t="shared" si="82"/>
        <v>0</v>
      </c>
      <c r="M145" s="1253">
        <f t="shared" si="82"/>
        <v>0</v>
      </c>
      <c r="N145" s="1253">
        <f t="shared" si="82"/>
        <v>0</v>
      </c>
      <c r="O145" s="1000"/>
      <c r="P145" s="517"/>
      <c r="Q145" s="476"/>
      <c r="R145" s="476"/>
    </row>
    <row r="146" spans="2:18" ht="13.15" customHeight="1" x14ac:dyDescent="0.2">
      <c r="B146" s="86"/>
      <c r="C146" s="1000"/>
      <c r="D146" s="1282"/>
      <c r="E146" s="1037"/>
      <c r="F146" s="1221"/>
      <c r="G146" s="1037"/>
      <c r="H146" s="1262">
        <v>0</v>
      </c>
      <c r="I146" s="1253">
        <f t="shared" si="81"/>
        <v>0</v>
      </c>
      <c r="J146" s="1253">
        <f t="shared" si="81"/>
        <v>0</v>
      </c>
      <c r="K146" s="1253">
        <f t="shared" si="81"/>
        <v>0</v>
      </c>
      <c r="L146" s="1253">
        <f t="shared" si="82"/>
        <v>0</v>
      </c>
      <c r="M146" s="1253">
        <f t="shared" si="82"/>
        <v>0</v>
      </c>
      <c r="N146" s="1253">
        <f t="shared" si="82"/>
        <v>0</v>
      </c>
      <c r="O146" s="1000"/>
      <c r="P146" s="517"/>
      <c r="Q146" s="476"/>
      <c r="R146" s="476"/>
    </row>
    <row r="147" spans="2:18" ht="13.15" customHeight="1" x14ac:dyDescent="0.2">
      <c r="B147" s="86"/>
      <c r="C147" s="1000"/>
      <c r="D147" s="1282"/>
      <c r="E147" s="1037"/>
      <c r="F147" s="1221"/>
      <c r="G147" s="1037"/>
      <c r="H147" s="1262">
        <v>0</v>
      </c>
      <c r="I147" s="1253">
        <f t="shared" si="81"/>
        <v>0</v>
      </c>
      <c r="J147" s="1253">
        <f t="shared" si="81"/>
        <v>0</v>
      </c>
      <c r="K147" s="1253">
        <f t="shared" si="81"/>
        <v>0</v>
      </c>
      <c r="L147" s="1253">
        <f t="shared" si="82"/>
        <v>0</v>
      </c>
      <c r="M147" s="1253">
        <f t="shared" si="82"/>
        <v>0</v>
      </c>
      <c r="N147" s="1253">
        <f t="shared" si="82"/>
        <v>0</v>
      </c>
      <c r="O147" s="1000"/>
      <c r="P147" s="517"/>
      <c r="Q147" s="476"/>
      <c r="R147" s="476"/>
    </row>
    <row r="148" spans="2:18" ht="13.15" customHeight="1" x14ac:dyDescent="0.2">
      <c r="B148" s="86"/>
      <c r="C148" s="1000"/>
      <c r="D148" s="1282"/>
      <c r="E148" s="1037"/>
      <c r="F148" s="1221"/>
      <c r="G148" s="1037"/>
      <c r="H148" s="1262">
        <v>0</v>
      </c>
      <c r="I148" s="1253">
        <f t="shared" si="81"/>
        <v>0</v>
      </c>
      <c r="J148" s="1253">
        <f t="shared" si="81"/>
        <v>0</v>
      </c>
      <c r="K148" s="1253">
        <f t="shared" si="81"/>
        <v>0</v>
      </c>
      <c r="L148" s="1253">
        <f t="shared" si="82"/>
        <v>0</v>
      </c>
      <c r="M148" s="1253">
        <f t="shared" si="82"/>
        <v>0</v>
      </c>
      <c r="N148" s="1253">
        <f t="shared" si="82"/>
        <v>0</v>
      </c>
      <c r="O148" s="1000"/>
      <c r="P148" s="517"/>
      <c r="Q148" s="476"/>
      <c r="R148" s="476"/>
    </row>
    <row r="149" spans="2:18" ht="13.15" customHeight="1" x14ac:dyDescent="0.2">
      <c r="B149" s="86"/>
      <c r="C149" s="1000"/>
      <c r="D149" s="1037"/>
      <c r="E149" s="1037"/>
      <c r="F149" s="1039"/>
      <c r="G149" s="1037"/>
      <c r="H149" s="1246">
        <f t="shared" ref="H149:M149" si="83">SUM(H144:H148)</f>
        <v>0</v>
      </c>
      <c r="I149" s="1246">
        <f t="shared" si="83"/>
        <v>0</v>
      </c>
      <c r="J149" s="1246">
        <f t="shared" si="83"/>
        <v>0</v>
      </c>
      <c r="K149" s="1246">
        <f t="shared" si="83"/>
        <v>0</v>
      </c>
      <c r="L149" s="1246">
        <f t="shared" si="83"/>
        <v>0</v>
      </c>
      <c r="M149" s="1246">
        <f t="shared" si="83"/>
        <v>0</v>
      </c>
      <c r="N149" s="1246">
        <f t="shared" ref="N149" si="84">SUM(N144:N148)</f>
        <v>0</v>
      </c>
      <c r="O149" s="1000"/>
      <c r="P149" s="482"/>
      <c r="Q149" s="476"/>
      <c r="R149" s="476"/>
    </row>
    <row r="150" spans="2:18" ht="13.15" customHeight="1" x14ac:dyDescent="0.2">
      <c r="B150" s="86"/>
      <c r="C150" s="1000"/>
      <c r="D150" s="1037"/>
      <c r="E150" s="1037"/>
      <c r="F150" s="1039"/>
      <c r="G150" s="1037"/>
      <c r="H150" s="1037"/>
      <c r="I150" s="1037"/>
      <c r="J150" s="1037"/>
      <c r="K150" s="1037"/>
      <c r="L150" s="1037"/>
      <c r="M150" s="1037"/>
      <c r="N150" s="1037"/>
      <c r="O150" s="1000"/>
      <c r="P150" s="482"/>
      <c r="Q150" s="476"/>
      <c r="R150" s="476"/>
    </row>
    <row r="151" spans="2:18" ht="13.15" customHeight="1" x14ac:dyDescent="0.2">
      <c r="B151" s="86"/>
      <c r="C151" s="478"/>
      <c r="D151" s="915"/>
      <c r="E151" s="915"/>
      <c r="F151" s="916"/>
      <c r="G151" s="915"/>
      <c r="H151" s="917"/>
      <c r="I151" s="917"/>
      <c r="J151" s="917"/>
      <c r="K151" s="917"/>
      <c r="L151" s="917"/>
      <c r="M151" s="917"/>
      <c r="N151" s="917"/>
      <c r="O151" s="478"/>
      <c r="P151" s="517"/>
      <c r="Q151" s="476"/>
      <c r="R151" s="476"/>
    </row>
    <row r="152" spans="2:18" ht="13.15" customHeight="1" x14ac:dyDescent="0.2">
      <c r="B152" s="86"/>
      <c r="C152" s="1000"/>
      <c r="D152" s="1179"/>
      <c r="E152" s="1000"/>
      <c r="F152" s="1076"/>
      <c r="G152" s="1000"/>
      <c r="H152" s="1076"/>
      <c r="I152" s="1076"/>
      <c r="J152" s="1076"/>
      <c r="K152" s="1076"/>
      <c r="L152" s="1076"/>
      <c r="M152" s="1076"/>
      <c r="N152" s="1076"/>
      <c r="O152" s="1000"/>
      <c r="P152" s="517"/>
      <c r="Q152" s="476"/>
      <c r="R152" s="476"/>
    </row>
    <row r="153" spans="2:18" ht="13.15" customHeight="1" x14ac:dyDescent="0.2">
      <c r="B153" s="86"/>
      <c r="C153" s="1000"/>
      <c r="D153" s="1281" t="str">
        <f>+pers!D160</f>
        <v>project 8</v>
      </c>
      <c r="E153" s="1000"/>
      <c r="F153" s="1076"/>
      <c r="G153" s="1000"/>
      <c r="H153" s="1076"/>
      <c r="I153" s="1076"/>
      <c r="J153" s="1076"/>
      <c r="K153" s="1076"/>
      <c r="L153" s="1076"/>
      <c r="M153" s="1076"/>
      <c r="N153" s="1076"/>
      <c r="O153" s="1000"/>
      <c r="P153" s="517"/>
      <c r="Q153" s="476"/>
      <c r="R153" s="476"/>
    </row>
    <row r="154" spans="2:18" ht="13.15" customHeight="1" x14ac:dyDescent="0.2">
      <c r="B154" s="86"/>
      <c r="C154" s="1000"/>
      <c r="D154" s="1000"/>
      <c r="E154" s="1000"/>
      <c r="F154" s="1076"/>
      <c r="G154" s="1000"/>
      <c r="H154" s="1076"/>
      <c r="I154" s="1076"/>
      <c r="J154" s="1076"/>
      <c r="K154" s="1076"/>
      <c r="L154" s="1076"/>
      <c r="M154" s="1076"/>
      <c r="N154" s="1076"/>
      <c r="O154" s="1000"/>
      <c r="P154" s="517"/>
      <c r="Q154" s="476"/>
      <c r="R154" s="476"/>
    </row>
    <row r="155" spans="2:18" ht="13.15" customHeight="1" x14ac:dyDescent="0.2">
      <c r="B155" s="86"/>
      <c r="C155" s="1000"/>
      <c r="D155" s="1053" t="s">
        <v>92</v>
      </c>
      <c r="E155" s="1000"/>
      <c r="F155" s="1076"/>
      <c r="G155" s="1000"/>
      <c r="H155" s="1284" t="str">
        <f t="shared" ref="H155:M155" si="85">H135</f>
        <v>2015/16</v>
      </c>
      <c r="I155" s="1284" t="str">
        <f t="shared" si="85"/>
        <v>2016/17</v>
      </c>
      <c r="J155" s="1284" t="str">
        <f t="shared" si="85"/>
        <v>2017/18</v>
      </c>
      <c r="K155" s="1284" t="str">
        <f t="shared" si="85"/>
        <v>2018/19</v>
      </c>
      <c r="L155" s="1284" t="str">
        <f t="shared" si="85"/>
        <v>2019/20</v>
      </c>
      <c r="M155" s="1284" t="str">
        <f t="shared" si="85"/>
        <v>2020/21</v>
      </c>
      <c r="N155" s="1284" t="str">
        <f t="shared" ref="N155" si="86">N135</f>
        <v>2021/22</v>
      </c>
      <c r="O155" s="1000"/>
      <c r="P155" s="517"/>
      <c r="Q155" s="476"/>
      <c r="R155" s="476"/>
    </row>
    <row r="156" spans="2:18" ht="13.15" customHeight="1" x14ac:dyDescent="0.2">
      <c r="B156" s="86"/>
      <c r="C156" s="1000"/>
      <c r="D156" s="1282"/>
      <c r="E156" s="1037"/>
      <c r="F156" s="1221"/>
      <c r="G156" s="1037"/>
      <c r="H156" s="1253">
        <v>0</v>
      </c>
      <c r="I156" s="1253">
        <f t="shared" ref="I156:K160" si="87">H156</f>
        <v>0</v>
      </c>
      <c r="J156" s="1253">
        <f t="shared" si="87"/>
        <v>0</v>
      </c>
      <c r="K156" s="1253">
        <f t="shared" si="87"/>
        <v>0</v>
      </c>
      <c r="L156" s="1253">
        <f t="shared" ref="L156:N160" si="88">K156</f>
        <v>0</v>
      </c>
      <c r="M156" s="1253">
        <f t="shared" si="88"/>
        <v>0</v>
      </c>
      <c r="N156" s="1253">
        <f t="shared" si="88"/>
        <v>0</v>
      </c>
      <c r="O156" s="1000"/>
      <c r="P156" s="517"/>
      <c r="Q156" s="476"/>
      <c r="R156" s="476"/>
    </row>
    <row r="157" spans="2:18" ht="13.15" customHeight="1" x14ac:dyDescent="0.2">
      <c r="B157" s="86"/>
      <c r="C157" s="1000"/>
      <c r="D157" s="1282"/>
      <c r="E157" s="1037"/>
      <c r="F157" s="1221"/>
      <c r="G157" s="1037"/>
      <c r="H157" s="1253">
        <v>0</v>
      </c>
      <c r="I157" s="1253">
        <f t="shared" si="87"/>
        <v>0</v>
      </c>
      <c r="J157" s="1253">
        <f t="shared" si="87"/>
        <v>0</v>
      </c>
      <c r="K157" s="1253">
        <f t="shared" si="87"/>
        <v>0</v>
      </c>
      <c r="L157" s="1253">
        <f t="shared" si="88"/>
        <v>0</v>
      </c>
      <c r="M157" s="1253">
        <f t="shared" si="88"/>
        <v>0</v>
      </c>
      <c r="N157" s="1253">
        <f t="shared" si="88"/>
        <v>0</v>
      </c>
      <c r="O157" s="1000"/>
      <c r="P157" s="517"/>
      <c r="Q157" s="476"/>
      <c r="R157" s="476"/>
    </row>
    <row r="158" spans="2:18" ht="13.15" customHeight="1" x14ac:dyDescent="0.2">
      <c r="B158" s="86"/>
      <c r="C158" s="1000"/>
      <c r="D158" s="1282"/>
      <c r="E158" s="1037"/>
      <c r="F158" s="1221"/>
      <c r="G158" s="1037"/>
      <c r="H158" s="1253">
        <v>0</v>
      </c>
      <c r="I158" s="1253">
        <f t="shared" si="87"/>
        <v>0</v>
      </c>
      <c r="J158" s="1253">
        <f t="shared" si="87"/>
        <v>0</v>
      </c>
      <c r="K158" s="1253">
        <f t="shared" si="87"/>
        <v>0</v>
      </c>
      <c r="L158" s="1253">
        <f t="shared" si="88"/>
        <v>0</v>
      </c>
      <c r="M158" s="1253">
        <f t="shared" si="88"/>
        <v>0</v>
      </c>
      <c r="N158" s="1253">
        <f t="shared" si="88"/>
        <v>0</v>
      </c>
      <c r="O158" s="1000"/>
      <c r="P158" s="517"/>
      <c r="Q158" s="476"/>
      <c r="R158" s="476"/>
    </row>
    <row r="159" spans="2:18" ht="13.15" customHeight="1" x14ac:dyDescent="0.2">
      <c r="B159" s="86"/>
      <c r="C159" s="1000"/>
      <c r="D159" s="1282"/>
      <c r="E159" s="1037"/>
      <c r="F159" s="1221"/>
      <c r="G159" s="1037"/>
      <c r="H159" s="1253">
        <v>0</v>
      </c>
      <c r="I159" s="1253">
        <f t="shared" si="87"/>
        <v>0</v>
      </c>
      <c r="J159" s="1253">
        <f t="shared" si="87"/>
        <v>0</v>
      </c>
      <c r="K159" s="1253">
        <f t="shared" si="87"/>
        <v>0</v>
      </c>
      <c r="L159" s="1253">
        <f t="shared" si="88"/>
        <v>0</v>
      </c>
      <c r="M159" s="1253">
        <f t="shared" si="88"/>
        <v>0</v>
      </c>
      <c r="N159" s="1253">
        <f t="shared" si="88"/>
        <v>0</v>
      </c>
      <c r="O159" s="1245"/>
      <c r="P159" s="517"/>
      <c r="Q159" s="476"/>
      <c r="R159" s="476"/>
    </row>
    <row r="160" spans="2:18" ht="13.15" customHeight="1" x14ac:dyDescent="0.2">
      <c r="B160" s="86"/>
      <c r="C160" s="1000"/>
      <c r="D160" s="1282"/>
      <c r="E160" s="1037"/>
      <c r="F160" s="1221"/>
      <c r="G160" s="1037"/>
      <c r="H160" s="1253">
        <v>0</v>
      </c>
      <c r="I160" s="1253">
        <f t="shared" si="87"/>
        <v>0</v>
      </c>
      <c r="J160" s="1253">
        <f t="shared" si="87"/>
        <v>0</v>
      </c>
      <c r="K160" s="1253">
        <f t="shared" si="87"/>
        <v>0</v>
      </c>
      <c r="L160" s="1253">
        <f t="shared" si="88"/>
        <v>0</v>
      </c>
      <c r="M160" s="1253">
        <f t="shared" si="88"/>
        <v>0</v>
      </c>
      <c r="N160" s="1253">
        <f t="shared" si="88"/>
        <v>0</v>
      </c>
      <c r="O160" s="1245"/>
      <c r="P160" s="517"/>
      <c r="Q160" s="476"/>
      <c r="R160" s="476"/>
    </row>
    <row r="161" spans="2:18" ht="13.15" customHeight="1" x14ac:dyDescent="0.2">
      <c r="B161" s="86"/>
      <c r="C161" s="1000"/>
      <c r="D161" s="1037"/>
      <c r="E161" s="1037"/>
      <c r="F161" s="1039"/>
      <c r="G161" s="1037"/>
      <c r="H161" s="1274">
        <f t="shared" ref="H161:M161" si="89">SUM(H156:H160)</f>
        <v>0</v>
      </c>
      <c r="I161" s="1274">
        <f t="shared" si="89"/>
        <v>0</v>
      </c>
      <c r="J161" s="1274">
        <f t="shared" si="89"/>
        <v>0</v>
      </c>
      <c r="K161" s="1274">
        <f t="shared" si="89"/>
        <v>0</v>
      </c>
      <c r="L161" s="1274">
        <f t="shared" si="89"/>
        <v>0</v>
      </c>
      <c r="M161" s="1274">
        <f t="shared" si="89"/>
        <v>0</v>
      </c>
      <c r="N161" s="1274">
        <f t="shared" ref="N161" si="90">SUM(N156:N160)</f>
        <v>0</v>
      </c>
      <c r="O161" s="1000"/>
      <c r="P161" s="517"/>
      <c r="Q161" s="476"/>
      <c r="R161" s="476"/>
    </row>
    <row r="162" spans="2:18" ht="13.15" customHeight="1" x14ac:dyDescent="0.2">
      <c r="B162" s="86"/>
      <c r="C162" s="1000"/>
      <c r="D162" s="1037"/>
      <c r="E162" s="1037"/>
      <c r="F162" s="1039"/>
      <c r="G162" s="1037"/>
      <c r="H162" s="1037"/>
      <c r="I162" s="1037"/>
      <c r="J162" s="1037"/>
      <c r="K162" s="1037"/>
      <c r="L162" s="1037"/>
      <c r="M162" s="1037"/>
      <c r="N162" s="1037"/>
      <c r="O162" s="1000"/>
      <c r="P162" s="517"/>
      <c r="Q162" s="476"/>
      <c r="R162" s="476"/>
    </row>
    <row r="163" spans="2:18" ht="13.15" customHeight="1" x14ac:dyDescent="0.2">
      <c r="B163" s="86"/>
      <c r="C163" s="1000"/>
      <c r="D163" s="1053" t="s">
        <v>97</v>
      </c>
      <c r="E163" s="1037"/>
      <c r="F163" s="1039"/>
      <c r="G163" s="1037"/>
      <c r="H163" s="1284">
        <f t="shared" ref="H163:M163" si="91">H143</f>
        <v>2015</v>
      </c>
      <c r="I163" s="1284">
        <f t="shared" si="91"/>
        <v>2016</v>
      </c>
      <c r="J163" s="1284">
        <f t="shared" si="91"/>
        <v>2017</v>
      </c>
      <c r="K163" s="1284">
        <f t="shared" si="91"/>
        <v>2018</v>
      </c>
      <c r="L163" s="1284">
        <f t="shared" si="91"/>
        <v>2019</v>
      </c>
      <c r="M163" s="1284">
        <f t="shared" si="91"/>
        <v>2020</v>
      </c>
      <c r="N163" s="1284">
        <f t="shared" ref="N163" si="92">N143</f>
        <v>2021</v>
      </c>
      <c r="O163" s="1000"/>
      <c r="P163" s="517"/>
      <c r="Q163" s="476"/>
      <c r="R163" s="476"/>
    </row>
    <row r="164" spans="2:18" ht="13.15" customHeight="1" x14ac:dyDescent="0.2">
      <c r="B164" s="86"/>
      <c r="C164" s="1000"/>
      <c r="D164" s="1282"/>
      <c r="E164" s="1037"/>
      <c r="F164" s="1221"/>
      <c r="G164" s="1037"/>
      <c r="H164" s="1262">
        <v>0</v>
      </c>
      <c r="I164" s="1253">
        <f t="shared" ref="I164:K168" si="93">H164</f>
        <v>0</v>
      </c>
      <c r="J164" s="1253">
        <f t="shared" si="93"/>
        <v>0</v>
      </c>
      <c r="K164" s="1253">
        <f t="shared" si="93"/>
        <v>0</v>
      </c>
      <c r="L164" s="1253">
        <f t="shared" ref="L164:N168" si="94">K164</f>
        <v>0</v>
      </c>
      <c r="M164" s="1253">
        <f t="shared" si="94"/>
        <v>0</v>
      </c>
      <c r="N164" s="1253">
        <f t="shared" si="94"/>
        <v>0</v>
      </c>
      <c r="O164" s="1000"/>
      <c r="P164" s="517"/>
      <c r="Q164" s="476"/>
      <c r="R164" s="476"/>
    </row>
    <row r="165" spans="2:18" ht="13.15" customHeight="1" x14ac:dyDescent="0.2">
      <c r="B165" s="86"/>
      <c r="C165" s="1000"/>
      <c r="D165" s="1282"/>
      <c r="E165" s="1037"/>
      <c r="F165" s="1221"/>
      <c r="G165" s="1037"/>
      <c r="H165" s="1262">
        <v>0</v>
      </c>
      <c r="I165" s="1253">
        <f t="shared" si="93"/>
        <v>0</v>
      </c>
      <c r="J165" s="1253">
        <f t="shared" si="93"/>
        <v>0</v>
      </c>
      <c r="K165" s="1253">
        <f t="shared" si="93"/>
        <v>0</v>
      </c>
      <c r="L165" s="1253">
        <f t="shared" si="94"/>
        <v>0</v>
      </c>
      <c r="M165" s="1253">
        <f t="shared" si="94"/>
        <v>0</v>
      </c>
      <c r="N165" s="1253">
        <f t="shared" si="94"/>
        <v>0</v>
      </c>
      <c r="O165" s="1000"/>
      <c r="P165" s="517"/>
      <c r="Q165" s="476"/>
      <c r="R165" s="476"/>
    </row>
    <row r="166" spans="2:18" ht="13.15" customHeight="1" x14ac:dyDescent="0.2">
      <c r="B166" s="86"/>
      <c r="C166" s="1000"/>
      <c r="D166" s="1282"/>
      <c r="E166" s="1037"/>
      <c r="F166" s="1221"/>
      <c r="G166" s="1037"/>
      <c r="H166" s="1262">
        <v>0</v>
      </c>
      <c r="I166" s="1253">
        <f t="shared" si="93"/>
        <v>0</v>
      </c>
      <c r="J166" s="1253">
        <f t="shared" si="93"/>
        <v>0</v>
      </c>
      <c r="K166" s="1253">
        <f t="shared" si="93"/>
        <v>0</v>
      </c>
      <c r="L166" s="1253">
        <f t="shared" si="94"/>
        <v>0</v>
      </c>
      <c r="M166" s="1253">
        <f t="shared" si="94"/>
        <v>0</v>
      </c>
      <c r="N166" s="1253">
        <f t="shared" si="94"/>
        <v>0</v>
      </c>
      <c r="O166" s="1000"/>
      <c r="P166" s="517"/>
      <c r="Q166" s="476"/>
      <c r="R166" s="476"/>
    </row>
    <row r="167" spans="2:18" ht="13.15" customHeight="1" x14ac:dyDescent="0.2">
      <c r="B167" s="86"/>
      <c r="C167" s="1000"/>
      <c r="D167" s="1282"/>
      <c r="E167" s="1037"/>
      <c r="F167" s="1221"/>
      <c r="G167" s="1037"/>
      <c r="H167" s="1262">
        <v>0</v>
      </c>
      <c r="I167" s="1253">
        <f t="shared" si="93"/>
        <v>0</v>
      </c>
      <c r="J167" s="1253">
        <f t="shared" si="93"/>
        <v>0</v>
      </c>
      <c r="K167" s="1253">
        <f t="shared" si="93"/>
        <v>0</v>
      </c>
      <c r="L167" s="1253">
        <f t="shared" si="94"/>
        <v>0</v>
      </c>
      <c r="M167" s="1253">
        <f t="shared" si="94"/>
        <v>0</v>
      </c>
      <c r="N167" s="1253">
        <f t="shared" si="94"/>
        <v>0</v>
      </c>
      <c r="O167" s="1000"/>
      <c r="P167" s="517"/>
      <c r="Q167" s="476"/>
      <c r="R167" s="476"/>
    </row>
    <row r="168" spans="2:18" ht="13.15" customHeight="1" x14ac:dyDescent="0.2">
      <c r="B168" s="86"/>
      <c r="C168" s="1000"/>
      <c r="D168" s="1282"/>
      <c r="E168" s="1037"/>
      <c r="F168" s="1221"/>
      <c r="G168" s="1037"/>
      <c r="H168" s="1262">
        <v>0</v>
      </c>
      <c r="I168" s="1253">
        <f t="shared" si="93"/>
        <v>0</v>
      </c>
      <c r="J168" s="1253">
        <f t="shared" si="93"/>
        <v>0</v>
      </c>
      <c r="K168" s="1253">
        <f t="shared" si="93"/>
        <v>0</v>
      </c>
      <c r="L168" s="1253">
        <f t="shared" si="94"/>
        <v>0</v>
      </c>
      <c r="M168" s="1253">
        <f t="shared" si="94"/>
        <v>0</v>
      </c>
      <c r="N168" s="1253">
        <f t="shared" si="94"/>
        <v>0</v>
      </c>
      <c r="O168" s="1000"/>
      <c r="P168" s="517"/>
      <c r="Q168" s="476"/>
      <c r="R168" s="476"/>
    </row>
    <row r="169" spans="2:18" ht="13.15" customHeight="1" x14ac:dyDescent="0.2">
      <c r="B169" s="86"/>
      <c r="C169" s="1000"/>
      <c r="D169" s="1037"/>
      <c r="E169" s="1037"/>
      <c r="F169" s="1039"/>
      <c r="G169" s="1037"/>
      <c r="H169" s="1274">
        <f t="shared" ref="H169:M169" si="95">SUM(H164:H168)</f>
        <v>0</v>
      </c>
      <c r="I169" s="1274">
        <f t="shared" si="95"/>
        <v>0</v>
      </c>
      <c r="J169" s="1274">
        <f t="shared" si="95"/>
        <v>0</v>
      </c>
      <c r="K169" s="1274">
        <f t="shared" si="95"/>
        <v>0</v>
      </c>
      <c r="L169" s="1274">
        <f t="shared" si="95"/>
        <v>0</v>
      </c>
      <c r="M169" s="1274">
        <f t="shared" si="95"/>
        <v>0</v>
      </c>
      <c r="N169" s="1274">
        <f t="shared" ref="N169" si="96">SUM(N164:N168)</f>
        <v>0</v>
      </c>
      <c r="O169" s="1000"/>
      <c r="P169" s="517"/>
      <c r="Q169" s="476"/>
      <c r="R169" s="476"/>
    </row>
    <row r="170" spans="2:18" ht="13.15" customHeight="1" x14ac:dyDescent="0.2">
      <c r="B170" s="86"/>
      <c r="C170" s="1000"/>
      <c r="D170" s="1037"/>
      <c r="E170" s="1037"/>
      <c r="F170" s="1039"/>
      <c r="G170" s="1037"/>
      <c r="H170" s="1037"/>
      <c r="I170" s="1037"/>
      <c r="J170" s="1037"/>
      <c r="K170" s="1037"/>
      <c r="L170" s="1037"/>
      <c r="M170" s="1037"/>
      <c r="N170" s="1037"/>
      <c r="O170" s="1000"/>
      <c r="P170" s="517"/>
      <c r="Q170" s="476"/>
      <c r="R170" s="476"/>
    </row>
    <row r="171" spans="2:18" ht="13.15" customHeight="1" x14ac:dyDescent="0.2">
      <c r="B171" s="86"/>
      <c r="C171" s="478"/>
      <c r="D171" s="915"/>
      <c r="E171" s="915"/>
      <c r="F171" s="916"/>
      <c r="G171" s="915"/>
      <c r="H171" s="917"/>
      <c r="I171" s="917"/>
      <c r="J171" s="917"/>
      <c r="K171" s="917"/>
      <c r="L171" s="917"/>
      <c r="M171" s="917"/>
      <c r="N171" s="917"/>
      <c r="O171" s="478"/>
      <c r="P171" s="517"/>
      <c r="Q171" s="476"/>
      <c r="R171" s="476"/>
    </row>
    <row r="172" spans="2:18" ht="13.15" customHeight="1" x14ac:dyDescent="0.2">
      <c r="B172" s="86"/>
      <c r="C172" s="1000"/>
      <c r="D172" s="1179"/>
      <c r="E172" s="1000"/>
      <c r="F172" s="1076"/>
      <c r="G172" s="1000"/>
      <c r="H172" s="1076"/>
      <c r="I172" s="1076"/>
      <c r="J172" s="1076"/>
      <c r="K172" s="1076"/>
      <c r="L172" s="1076"/>
      <c r="M172" s="1076"/>
      <c r="N172" s="1076"/>
      <c r="O172" s="1000"/>
      <c r="P172" s="517"/>
      <c r="Q172" s="476"/>
      <c r="R172" s="476"/>
    </row>
    <row r="173" spans="2:18" ht="13.15" customHeight="1" x14ac:dyDescent="0.2">
      <c r="B173" s="86"/>
      <c r="C173" s="1000"/>
      <c r="D173" s="1281" t="str">
        <f>+pers!D161</f>
        <v>project 9</v>
      </c>
      <c r="E173" s="1000"/>
      <c r="F173" s="1076"/>
      <c r="G173" s="1000"/>
      <c r="H173" s="1076"/>
      <c r="I173" s="1076"/>
      <c r="J173" s="1076"/>
      <c r="K173" s="1076"/>
      <c r="L173" s="1076"/>
      <c r="M173" s="1076"/>
      <c r="N173" s="1076"/>
      <c r="O173" s="1000"/>
      <c r="P173" s="517"/>
      <c r="Q173" s="476"/>
      <c r="R173" s="476"/>
    </row>
    <row r="174" spans="2:18" ht="13.15" customHeight="1" x14ac:dyDescent="0.2">
      <c r="B174" s="86"/>
      <c r="C174" s="1000"/>
      <c r="D174" s="1000"/>
      <c r="E174" s="1000"/>
      <c r="F174" s="1076"/>
      <c r="G174" s="1000"/>
      <c r="H174" s="1076"/>
      <c r="I174" s="1076"/>
      <c r="J174" s="1076"/>
      <c r="K174" s="1076"/>
      <c r="L174" s="1076"/>
      <c r="M174" s="1076"/>
      <c r="N174" s="1076"/>
      <c r="O174" s="1000"/>
      <c r="P174" s="517"/>
      <c r="Q174" s="476"/>
      <c r="R174" s="476"/>
    </row>
    <row r="175" spans="2:18" ht="13.15" customHeight="1" x14ac:dyDescent="0.2">
      <c r="B175" s="86"/>
      <c r="C175" s="1000"/>
      <c r="D175" s="1053" t="s">
        <v>92</v>
      </c>
      <c r="E175" s="1000"/>
      <c r="F175" s="1076"/>
      <c r="G175" s="1000"/>
      <c r="H175" s="1284" t="str">
        <f t="shared" ref="H175:M175" si="97">H155</f>
        <v>2015/16</v>
      </c>
      <c r="I175" s="1284" t="str">
        <f t="shared" si="97"/>
        <v>2016/17</v>
      </c>
      <c r="J175" s="1284" t="str">
        <f t="shared" si="97"/>
        <v>2017/18</v>
      </c>
      <c r="K175" s="1284" t="str">
        <f t="shared" si="97"/>
        <v>2018/19</v>
      </c>
      <c r="L175" s="1284" t="str">
        <f t="shared" si="97"/>
        <v>2019/20</v>
      </c>
      <c r="M175" s="1284" t="str">
        <f t="shared" si="97"/>
        <v>2020/21</v>
      </c>
      <c r="N175" s="1284" t="str">
        <f t="shared" ref="N175" si="98">N155</f>
        <v>2021/22</v>
      </c>
      <c r="O175" s="1000"/>
      <c r="P175" s="517"/>
      <c r="Q175" s="476"/>
      <c r="R175" s="476"/>
    </row>
    <row r="176" spans="2:18" ht="13.15" customHeight="1" x14ac:dyDescent="0.2">
      <c r="B176" s="86"/>
      <c r="C176" s="1000"/>
      <c r="D176" s="1282"/>
      <c r="E176" s="1037"/>
      <c r="F176" s="1221"/>
      <c r="G176" s="1037"/>
      <c r="H176" s="1253">
        <v>0</v>
      </c>
      <c r="I176" s="1253">
        <f t="shared" ref="I176:K180" si="99">H176</f>
        <v>0</v>
      </c>
      <c r="J176" s="1253">
        <f t="shared" si="99"/>
        <v>0</v>
      </c>
      <c r="K176" s="1253">
        <f t="shared" si="99"/>
        <v>0</v>
      </c>
      <c r="L176" s="1253">
        <f t="shared" ref="L176:N180" si="100">K176</f>
        <v>0</v>
      </c>
      <c r="M176" s="1253">
        <f t="shared" si="100"/>
        <v>0</v>
      </c>
      <c r="N176" s="1253">
        <f t="shared" si="100"/>
        <v>0</v>
      </c>
      <c r="O176" s="1000"/>
      <c r="P176" s="517"/>
      <c r="Q176" s="476"/>
      <c r="R176" s="476"/>
    </row>
    <row r="177" spans="2:18" ht="13.15" customHeight="1" x14ac:dyDescent="0.2">
      <c r="B177" s="86"/>
      <c r="C177" s="1000"/>
      <c r="D177" s="1282"/>
      <c r="E177" s="1037"/>
      <c r="F177" s="1221"/>
      <c r="G177" s="1037"/>
      <c r="H177" s="1253">
        <v>0</v>
      </c>
      <c r="I177" s="1253">
        <f t="shared" si="99"/>
        <v>0</v>
      </c>
      <c r="J177" s="1253">
        <f t="shared" si="99"/>
        <v>0</v>
      </c>
      <c r="K177" s="1253">
        <f t="shared" si="99"/>
        <v>0</v>
      </c>
      <c r="L177" s="1253">
        <f t="shared" si="100"/>
        <v>0</v>
      </c>
      <c r="M177" s="1253">
        <f t="shared" si="100"/>
        <v>0</v>
      </c>
      <c r="N177" s="1253">
        <f t="shared" si="100"/>
        <v>0</v>
      </c>
      <c r="O177" s="1000"/>
      <c r="P177" s="517"/>
      <c r="Q177" s="476"/>
      <c r="R177" s="476"/>
    </row>
    <row r="178" spans="2:18" ht="13.15" customHeight="1" x14ac:dyDescent="0.2">
      <c r="B178" s="86"/>
      <c r="C178" s="1000"/>
      <c r="D178" s="1282"/>
      <c r="E178" s="1037"/>
      <c r="F178" s="1221"/>
      <c r="G178" s="1037"/>
      <c r="H178" s="1253">
        <v>0</v>
      </c>
      <c r="I178" s="1253">
        <f t="shared" si="99"/>
        <v>0</v>
      </c>
      <c r="J178" s="1253">
        <f t="shared" si="99"/>
        <v>0</v>
      </c>
      <c r="K178" s="1253">
        <f t="shared" si="99"/>
        <v>0</v>
      </c>
      <c r="L178" s="1253">
        <f t="shared" si="100"/>
        <v>0</v>
      </c>
      <c r="M178" s="1253">
        <f t="shared" si="100"/>
        <v>0</v>
      </c>
      <c r="N178" s="1253">
        <f t="shared" si="100"/>
        <v>0</v>
      </c>
      <c r="O178" s="1000"/>
      <c r="P178" s="517"/>
      <c r="Q178" s="476"/>
      <c r="R178" s="476"/>
    </row>
    <row r="179" spans="2:18" ht="13.15" customHeight="1" x14ac:dyDescent="0.2">
      <c r="B179" s="86"/>
      <c r="C179" s="1000"/>
      <c r="D179" s="1282"/>
      <c r="E179" s="1037"/>
      <c r="F179" s="1221"/>
      <c r="G179" s="1037"/>
      <c r="H179" s="1253">
        <v>0</v>
      </c>
      <c r="I179" s="1253">
        <f t="shared" si="99"/>
        <v>0</v>
      </c>
      <c r="J179" s="1253">
        <f t="shared" si="99"/>
        <v>0</v>
      </c>
      <c r="K179" s="1253">
        <f t="shared" si="99"/>
        <v>0</v>
      </c>
      <c r="L179" s="1253">
        <f t="shared" si="100"/>
        <v>0</v>
      </c>
      <c r="M179" s="1253">
        <f t="shared" si="100"/>
        <v>0</v>
      </c>
      <c r="N179" s="1253">
        <f t="shared" si="100"/>
        <v>0</v>
      </c>
      <c r="O179" s="1245"/>
      <c r="P179" s="517"/>
      <c r="Q179" s="476"/>
      <c r="R179" s="476"/>
    </row>
    <row r="180" spans="2:18" ht="13.15" customHeight="1" x14ac:dyDescent="0.2">
      <c r="B180" s="86"/>
      <c r="C180" s="1000"/>
      <c r="D180" s="1282"/>
      <c r="E180" s="1037"/>
      <c r="F180" s="1221"/>
      <c r="G180" s="1037"/>
      <c r="H180" s="1253">
        <v>0</v>
      </c>
      <c r="I180" s="1253">
        <f t="shared" si="99"/>
        <v>0</v>
      </c>
      <c r="J180" s="1253">
        <f t="shared" si="99"/>
        <v>0</v>
      </c>
      <c r="K180" s="1253">
        <f t="shared" si="99"/>
        <v>0</v>
      </c>
      <c r="L180" s="1253">
        <f t="shared" si="100"/>
        <v>0</v>
      </c>
      <c r="M180" s="1253">
        <f t="shared" si="100"/>
        <v>0</v>
      </c>
      <c r="N180" s="1253">
        <f t="shared" si="100"/>
        <v>0</v>
      </c>
      <c r="O180" s="1245"/>
      <c r="P180" s="517"/>
      <c r="Q180" s="476"/>
      <c r="R180" s="476"/>
    </row>
    <row r="181" spans="2:18" ht="13.15" customHeight="1" x14ac:dyDescent="0.2">
      <c r="B181" s="86"/>
      <c r="C181" s="1000"/>
      <c r="D181" s="1037"/>
      <c r="E181" s="1037"/>
      <c r="F181" s="1039"/>
      <c r="G181" s="1037"/>
      <c r="H181" s="1274">
        <f t="shared" ref="H181:M181" si="101">SUM(H176:H180)</f>
        <v>0</v>
      </c>
      <c r="I181" s="1274">
        <f t="shared" si="101"/>
        <v>0</v>
      </c>
      <c r="J181" s="1274">
        <f t="shared" si="101"/>
        <v>0</v>
      </c>
      <c r="K181" s="1274">
        <f t="shared" si="101"/>
        <v>0</v>
      </c>
      <c r="L181" s="1274">
        <f t="shared" si="101"/>
        <v>0</v>
      </c>
      <c r="M181" s="1274">
        <f t="shared" si="101"/>
        <v>0</v>
      </c>
      <c r="N181" s="1274">
        <f t="shared" ref="N181" si="102">SUM(N176:N180)</f>
        <v>0</v>
      </c>
      <c r="O181" s="1000"/>
      <c r="P181" s="517"/>
      <c r="Q181" s="476"/>
      <c r="R181" s="476"/>
    </row>
    <row r="182" spans="2:18" ht="13.15" customHeight="1" x14ac:dyDescent="0.2">
      <c r="B182" s="86"/>
      <c r="C182" s="1000"/>
      <c r="D182" s="1037"/>
      <c r="E182" s="1037"/>
      <c r="F182" s="1039"/>
      <c r="G182" s="1037"/>
      <c r="H182" s="1037"/>
      <c r="I182" s="1037"/>
      <c r="J182" s="1037"/>
      <c r="K182" s="1037"/>
      <c r="L182" s="1037"/>
      <c r="M182" s="1037"/>
      <c r="N182" s="1037"/>
      <c r="O182" s="1000"/>
      <c r="P182" s="517"/>
      <c r="Q182" s="476"/>
      <c r="R182" s="476"/>
    </row>
    <row r="183" spans="2:18" ht="13.15" customHeight="1" x14ac:dyDescent="0.2">
      <c r="B183" s="86"/>
      <c r="C183" s="1000"/>
      <c r="D183" s="1053" t="s">
        <v>97</v>
      </c>
      <c r="E183" s="1037"/>
      <c r="F183" s="1039"/>
      <c r="G183" s="1037"/>
      <c r="H183" s="1284">
        <f t="shared" ref="H183:M183" si="103">H163</f>
        <v>2015</v>
      </c>
      <c r="I183" s="1284">
        <f t="shared" si="103"/>
        <v>2016</v>
      </c>
      <c r="J183" s="1284">
        <f t="shared" si="103"/>
        <v>2017</v>
      </c>
      <c r="K183" s="1284">
        <f t="shared" si="103"/>
        <v>2018</v>
      </c>
      <c r="L183" s="1284">
        <f t="shared" si="103"/>
        <v>2019</v>
      </c>
      <c r="M183" s="1284">
        <f t="shared" si="103"/>
        <v>2020</v>
      </c>
      <c r="N183" s="1284">
        <f t="shared" ref="N183" si="104">N163</f>
        <v>2021</v>
      </c>
      <c r="O183" s="1000"/>
      <c r="P183" s="517"/>
      <c r="Q183" s="476"/>
      <c r="R183" s="476"/>
    </row>
    <row r="184" spans="2:18" ht="13.15" customHeight="1" x14ac:dyDescent="0.2">
      <c r="B184" s="86"/>
      <c r="C184" s="1000"/>
      <c r="D184" s="1282"/>
      <c r="E184" s="1037"/>
      <c r="F184" s="1221"/>
      <c r="G184" s="1037"/>
      <c r="H184" s="1262">
        <v>0</v>
      </c>
      <c r="I184" s="1253">
        <f t="shared" ref="I184:K188" si="105">H184</f>
        <v>0</v>
      </c>
      <c r="J184" s="1253">
        <f t="shared" si="105"/>
        <v>0</v>
      </c>
      <c r="K184" s="1253">
        <f t="shared" si="105"/>
        <v>0</v>
      </c>
      <c r="L184" s="1253">
        <f t="shared" ref="L184:N188" si="106">K184</f>
        <v>0</v>
      </c>
      <c r="M184" s="1253">
        <f t="shared" si="106"/>
        <v>0</v>
      </c>
      <c r="N184" s="1253">
        <f t="shared" si="106"/>
        <v>0</v>
      </c>
      <c r="O184" s="1000"/>
      <c r="P184" s="517"/>
      <c r="Q184" s="476"/>
      <c r="R184" s="476"/>
    </row>
    <row r="185" spans="2:18" ht="13.15" customHeight="1" x14ac:dyDescent="0.2">
      <c r="B185" s="86"/>
      <c r="C185" s="1000"/>
      <c r="D185" s="1282"/>
      <c r="E185" s="1037"/>
      <c r="F185" s="1221"/>
      <c r="G185" s="1037"/>
      <c r="H185" s="1262">
        <v>0</v>
      </c>
      <c r="I185" s="1253">
        <f t="shared" si="105"/>
        <v>0</v>
      </c>
      <c r="J185" s="1253">
        <f t="shared" si="105"/>
        <v>0</v>
      </c>
      <c r="K185" s="1253">
        <f t="shared" si="105"/>
        <v>0</v>
      </c>
      <c r="L185" s="1253">
        <f t="shared" si="106"/>
        <v>0</v>
      </c>
      <c r="M185" s="1253">
        <f t="shared" si="106"/>
        <v>0</v>
      </c>
      <c r="N185" s="1253">
        <f t="shared" si="106"/>
        <v>0</v>
      </c>
      <c r="O185" s="1000"/>
      <c r="P185" s="517"/>
      <c r="Q185" s="476"/>
      <c r="R185" s="476"/>
    </row>
    <row r="186" spans="2:18" ht="13.15" customHeight="1" x14ac:dyDescent="0.2">
      <c r="B186" s="86"/>
      <c r="C186" s="1000"/>
      <c r="D186" s="1282"/>
      <c r="E186" s="1037"/>
      <c r="F186" s="1221"/>
      <c r="G186" s="1037"/>
      <c r="H186" s="1262">
        <v>0</v>
      </c>
      <c r="I186" s="1253">
        <f t="shared" si="105"/>
        <v>0</v>
      </c>
      <c r="J186" s="1253">
        <f t="shared" si="105"/>
        <v>0</v>
      </c>
      <c r="K186" s="1253">
        <f t="shared" si="105"/>
        <v>0</v>
      </c>
      <c r="L186" s="1253">
        <f t="shared" si="106"/>
        <v>0</v>
      </c>
      <c r="M186" s="1253">
        <f t="shared" si="106"/>
        <v>0</v>
      </c>
      <c r="N186" s="1253">
        <f t="shared" si="106"/>
        <v>0</v>
      </c>
      <c r="O186" s="1000"/>
      <c r="P186" s="517"/>
      <c r="Q186" s="476"/>
      <c r="R186" s="476"/>
    </row>
    <row r="187" spans="2:18" ht="13.15" customHeight="1" x14ac:dyDescent="0.2">
      <c r="B187" s="86"/>
      <c r="C187" s="1000"/>
      <c r="D187" s="1282"/>
      <c r="E187" s="1037"/>
      <c r="F187" s="1221"/>
      <c r="G187" s="1037"/>
      <c r="H187" s="1262">
        <v>0</v>
      </c>
      <c r="I187" s="1253">
        <f t="shared" si="105"/>
        <v>0</v>
      </c>
      <c r="J187" s="1253">
        <f t="shared" si="105"/>
        <v>0</v>
      </c>
      <c r="K187" s="1253">
        <f t="shared" si="105"/>
        <v>0</v>
      </c>
      <c r="L187" s="1253">
        <f t="shared" si="106"/>
        <v>0</v>
      </c>
      <c r="M187" s="1253">
        <f t="shared" si="106"/>
        <v>0</v>
      </c>
      <c r="N187" s="1253">
        <f t="shared" si="106"/>
        <v>0</v>
      </c>
      <c r="O187" s="1000"/>
      <c r="P187" s="517"/>
      <c r="Q187" s="476"/>
      <c r="R187" s="476"/>
    </row>
    <row r="188" spans="2:18" ht="13.15" customHeight="1" x14ac:dyDescent="0.2">
      <c r="B188" s="86"/>
      <c r="C188" s="1000"/>
      <c r="D188" s="1282"/>
      <c r="E188" s="1037"/>
      <c r="F188" s="1221"/>
      <c r="G188" s="1037"/>
      <c r="H188" s="1262">
        <v>0</v>
      </c>
      <c r="I188" s="1253">
        <f t="shared" si="105"/>
        <v>0</v>
      </c>
      <c r="J188" s="1253">
        <f t="shared" si="105"/>
        <v>0</v>
      </c>
      <c r="K188" s="1253">
        <f t="shared" si="105"/>
        <v>0</v>
      </c>
      <c r="L188" s="1253">
        <f t="shared" si="106"/>
        <v>0</v>
      </c>
      <c r="M188" s="1253">
        <f t="shared" si="106"/>
        <v>0</v>
      </c>
      <c r="N188" s="1253">
        <f t="shared" si="106"/>
        <v>0</v>
      </c>
      <c r="O188" s="1000"/>
      <c r="P188" s="517"/>
      <c r="Q188" s="476"/>
      <c r="R188" s="476"/>
    </row>
    <row r="189" spans="2:18" ht="13.15" customHeight="1" x14ac:dyDescent="0.2">
      <c r="B189" s="86"/>
      <c r="C189" s="1000"/>
      <c r="D189" s="1037"/>
      <c r="E189" s="1037"/>
      <c r="F189" s="1039"/>
      <c r="G189" s="1037"/>
      <c r="H189" s="1274">
        <f t="shared" ref="H189:M189" si="107">SUM(H184:H188)</f>
        <v>0</v>
      </c>
      <c r="I189" s="1274">
        <f t="shared" si="107"/>
        <v>0</v>
      </c>
      <c r="J189" s="1274">
        <f t="shared" si="107"/>
        <v>0</v>
      </c>
      <c r="K189" s="1274">
        <f t="shared" si="107"/>
        <v>0</v>
      </c>
      <c r="L189" s="1274">
        <f t="shared" si="107"/>
        <v>0</v>
      </c>
      <c r="M189" s="1274">
        <f t="shared" si="107"/>
        <v>0</v>
      </c>
      <c r="N189" s="1274">
        <f t="shared" ref="N189" si="108">SUM(N184:N188)</f>
        <v>0</v>
      </c>
      <c r="O189" s="1000"/>
      <c r="P189" s="517"/>
      <c r="Q189" s="476"/>
      <c r="R189" s="476"/>
    </row>
    <row r="190" spans="2:18" ht="13.15" customHeight="1" x14ac:dyDescent="0.2">
      <c r="B190" s="86"/>
      <c r="C190" s="1000"/>
      <c r="D190" s="1037"/>
      <c r="E190" s="1037"/>
      <c r="F190" s="1039"/>
      <c r="G190" s="1037"/>
      <c r="H190" s="1037"/>
      <c r="I190" s="1037"/>
      <c r="J190" s="1037"/>
      <c r="K190" s="1037"/>
      <c r="L190" s="1037"/>
      <c r="M190" s="1037"/>
      <c r="N190" s="1037"/>
      <c r="O190" s="1000"/>
      <c r="P190" s="517"/>
      <c r="Q190" s="476"/>
      <c r="R190" s="476"/>
    </row>
    <row r="191" spans="2:18" ht="13.15" customHeight="1" x14ac:dyDescent="0.2">
      <c r="B191" s="86"/>
      <c r="C191" s="478"/>
      <c r="D191" s="915"/>
      <c r="E191" s="915"/>
      <c r="F191" s="916"/>
      <c r="G191" s="915"/>
      <c r="H191" s="917"/>
      <c r="I191" s="917"/>
      <c r="J191" s="917"/>
      <c r="K191" s="917"/>
      <c r="L191" s="917"/>
      <c r="M191" s="917"/>
      <c r="N191" s="917"/>
      <c r="O191" s="478"/>
      <c r="P191" s="517"/>
      <c r="Q191" s="476"/>
      <c r="R191" s="476"/>
    </row>
    <row r="192" spans="2:18" ht="13.15" customHeight="1" x14ac:dyDescent="0.2">
      <c r="B192" s="86"/>
      <c r="C192" s="1000"/>
      <c r="D192" s="1179"/>
      <c r="E192" s="1000"/>
      <c r="F192" s="1076"/>
      <c r="G192" s="1000"/>
      <c r="H192" s="1076"/>
      <c r="I192" s="1076"/>
      <c r="J192" s="1076"/>
      <c r="K192" s="1076"/>
      <c r="L192" s="1076"/>
      <c r="M192" s="1076"/>
      <c r="N192" s="1076"/>
      <c r="O192" s="1000"/>
      <c r="P192" s="517"/>
      <c r="Q192" s="476"/>
      <c r="R192" s="476"/>
    </row>
    <row r="193" spans="2:18" ht="13.15" customHeight="1" x14ac:dyDescent="0.2">
      <c r="B193" s="86"/>
      <c r="C193" s="1000"/>
      <c r="D193" s="1281" t="str">
        <f>+pers!D162</f>
        <v>project 10</v>
      </c>
      <c r="E193" s="1000"/>
      <c r="F193" s="1076"/>
      <c r="G193" s="1000"/>
      <c r="H193" s="1076"/>
      <c r="I193" s="1076"/>
      <c r="J193" s="1076"/>
      <c r="K193" s="1076"/>
      <c r="L193" s="1076"/>
      <c r="M193" s="1076"/>
      <c r="N193" s="1076"/>
      <c r="O193" s="1000"/>
      <c r="P193" s="517"/>
      <c r="Q193" s="476"/>
      <c r="R193" s="476"/>
    </row>
    <row r="194" spans="2:18" ht="13.15" customHeight="1" x14ac:dyDescent="0.2">
      <c r="B194" s="86"/>
      <c r="C194" s="1000"/>
      <c r="D194" s="1000"/>
      <c r="E194" s="1000"/>
      <c r="F194" s="1076"/>
      <c r="G194" s="1000"/>
      <c r="H194" s="1076"/>
      <c r="I194" s="1076"/>
      <c r="J194" s="1076"/>
      <c r="K194" s="1076"/>
      <c r="L194" s="1076"/>
      <c r="M194" s="1076"/>
      <c r="N194" s="1076"/>
      <c r="O194" s="1000"/>
      <c r="P194" s="517"/>
      <c r="Q194" s="476"/>
      <c r="R194" s="476"/>
    </row>
    <row r="195" spans="2:18" ht="13.15" customHeight="1" x14ac:dyDescent="0.2">
      <c r="B195" s="86"/>
      <c r="C195" s="1000"/>
      <c r="D195" s="1053" t="s">
        <v>92</v>
      </c>
      <c r="E195" s="1000"/>
      <c r="F195" s="1076"/>
      <c r="G195" s="1000"/>
      <c r="H195" s="1284" t="str">
        <f t="shared" ref="H195:M195" si="109">H175</f>
        <v>2015/16</v>
      </c>
      <c r="I195" s="1284" t="str">
        <f t="shared" si="109"/>
        <v>2016/17</v>
      </c>
      <c r="J195" s="1284" t="str">
        <f t="shared" si="109"/>
        <v>2017/18</v>
      </c>
      <c r="K195" s="1284" t="str">
        <f t="shared" si="109"/>
        <v>2018/19</v>
      </c>
      <c r="L195" s="1284" t="str">
        <f t="shared" si="109"/>
        <v>2019/20</v>
      </c>
      <c r="M195" s="1284" t="str">
        <f t="shared" si="109"/>
        <v>2020/21</v>
      </c>
      <c r="N195" s="1284" t="str">
        <f t="shared" ref="N195" si="110">N175</f>
        <v>2021/22</v>
      </c>
      <c r="O195" s="1000"/>
      <c r="P195" s="517"/>
      <c r="Q195" s="476"/>
      <c r="R195" s="476"/>
    </row>
    <row r="196" spans="2:18" ht="13.15" customHeight="1" x14ac:dyDescent="0.2">
      <c r="B196" s="86"/>
      <c r="C196" s="1000"/>
      <c r="D196" s="1282"/>
      <c r="E196" s="1037"/>
      <c r="F196" s="1221"/>
      <c r="G196" s="1037"/>
      <c r="H196" s="1253">
        <v>0</v>
      </c>
      <c r="I196" s="1253">
        <f t="shared" ref="I196:K200" si="111">H196</f>
        <v>0</v>
      </c>
      <c r="J196" s="1253">
        <f t="shared" si="111"/>
        <v>0</v>
      </c>
      <c r="K196" s="1253">
        <f t="shared" si="111"/>
        <v>0</v>
      </c>
      <c r="L196" s="1253">
        <f t="shared" ref="L196:N200" si="112">K196</f>
        <v>0</v>
      </c>
      <c r="M196" s="1253">
        <f t="shared" si="112"/>
        <v>0</v>
      </c>
      <c r="N196" s="1253">
        <f t="shared" si="112"/>
        <v>0</v>
      </c>
      <c r="O196" s="1000"/>
      <c r="P196" s="517"/>
      <c r="Q196" s="476"/>
      <c r="R196" s="476"/>
    </row>
    <row r="197" spans="2:18" ht="13.15" customHeight="1" x14ac:dyDescent="0.2">
      <c r="B197" s="86"/>
      <c r="C197" s="1000"/>
      <c r="D197" s="1282"/>
      <c r="E197" s="1037"/>
      <c r="F197" s="1221"/>
      <c r="G197" s="1037"/>
      <c r="H197" s="1253">
        <v>0</v>
      </c>
      <c r="I197" s="1253">
        <f t="shared" si="111"/>
        <v>0</v>
      </c>
      <c r="J197" s="1253">
        <f t="shared" si="111"/>
        <v>0</v>
      </c>
      <c r="K197" s="1253">
        <f t="shared" si="111"/>
        <v>0</v>
      </c>
      <c r="L197" s="1253">
        <f t="shared" si="112"/>
        <v>0</v>
      </c>
      <c r="M197" s="1253">
        <f t="shared" si="112"/>
        <v>0</v>
      </c>
      <c r="N197" s="1253">
        <f t="shared" si="112"/>
        <v>0</v>
      </c>
      <c r="O197" s="1000"/>
      <c r="P197" s="517"/>
      <c r="Q197" s="476"/>
      <c r="R197" s="476"/>
    </row>
    <row r="198" spans="2:18" ht="13.15" customHeight="1" x14ac:dyDescent="0.2">
      <c r="B198" s="86"/>
      <c r="C198" s="1000"/>
      <c r="D198" s="1282"/>
      <c r="E198" s="1037"/>
      <c r="F198" s="1221"/>
      <c r="G198" s="1037"/>
      <c r="H198" s="1253">
        <v>0</v>
      </c>
      <c r="I198" s="1253">
        <f t="shared" si="111"/>
        <v>0</v>
      </c>
      <c r="J198" s="1253">
        <f t="shared" si="111"/>
        <v>0</v>
      </c>
      <c r="K198" s="1253">
        <f t="shared" si="111"/>
        <v>0</v>
      </c>
      <c r="L198" s="1253">
        <f t="shared" si="112"/>
        <v>0</v>
      </c>
      <c r="M198" s="1253">
        <f t="shared" si="112"/>
        <v>0</v>
      </c>
      <c r="N198" s="1253">
        <f t="shared" si="112"/>
        <v>0</v>
      </c>
      <c r="O198" s="1000"/>
      <c r="P198" s="517"/>
      <c r="Q198" s="476"/>
      <c r="R198" s="476"/>
    </row>
    <row r="199" spans="2:18" ht="13.15" customHeight="1" x14ac:dyDescent="0.2">
      <c r="B199" s="86"/>
      <c r="C199" s="1000"/>
      <c r="D199" s="1282"/>
      <c r="E199" s="1037"/>
      <c r="F199" s="1221"/>
      <c r="G199" s="1037"/>
      <c r="H199" s="1253">
        <v>0</v>
      </c>
      <c r="I199" s="1253">
        <f t="shared" si="111"/>
        <v>0</v>
      </c>
      <c r="J199" s="1253">
        <f t="shared" si="111"/>
        <v>0</v>
      </c>
      <c r="K199" s="1253">
        <f t="shared" si="111"/>
        <v>0</v>
      </c>
      <c r="L199" s="1253">
        <f t="shared" si="112"/>
        <v>0</v>
      </c>
      <c r="M199" s="1253">
        <f t="shared" si="112"/>
        <v>0</v>
      </c>
      <c r="N199" s="1253">
        <f t="shared" si="112"/>
        <v>0</v>
      </c>
      <c r="O199" s="1245"/>
      <c r="P199" s="517"/>
      <c r="Q199" s="476"/>
      <c r="R199" s="476"/>
    </row>
    <row r="200" spans="2:18" ht="13.15" customHeight="1" x14ac:dyDescent="0.2">
      <c r="B200" s="86"/>
      <c r="C200" s="1000"/>
      <c r="D200" s="1282"/>
      <c r="E200" s="1037"/>
      <c r="F200" s="1221"/>
      <c r="G200" s="1037"/>
      <c r="H200" s="1253">
        <v>0</v>
      </c>
      <c r="I200" s="1253">
        <f t="shared" si="111"/>
        <v>0</v>
      </c>
      <c r="J200" s="1253">
        <f t="shared" si="111"/>
        <v>0</v>
      </c>
      <c r="K200" s="1253">
        <f t="shared" si="111"/>
        <v>0</v>
      </c>
      <c r="L200" s="1253">
        <f t="shared" si="112"/>
        <v>0</v>
      </c>
      <c r="M200" s="1253">
        <f t="shared" si="112"/>
        <v>0</v>
      </c>
      <c r="N200" s="1253">
        <f t="shared" si="112"/>
        <v>0</v>
      </c>
      <c r="O200" s="1245"/>
      <c r="P200" s="517"/>
      <c r="Q200" s="476"/>
      <c r="R200" s="476"/>
    </row>
    <row r="201" spans="2:18" ht="13.15" customHeight="1" x14ac:dyDescent="0.2">
      <c r="B201" s="86"/>
      <c r="C201" s="1000"/>
      <c r="D201" s="1037"/>
      <c r="E201" s="1037"/>
      <c r="F201" s="1039"/>
      <c r="G201" s="1037"/>
      <c r="H201" s="1274">
        <f t="shared" ref="H201:M201" si="113">SUM(H196:H200)</f>
        <v>0</v>
      </c>
      <c r="I201" s="1274">
        <f t="shared" si="113"/>
        <v>0</v>
      </c>
      <c r="J201" s="1274">
        <f t="shared" si="113"/>
        <v>0</v>
      </c>
      <c r="K201" s="1274">
        <f t="shared" si="113"/>
        <v>0</v>
      </c>
      <c r="L201" s="1274">
        <f t="shared" si="113"/>
        <v>0</v>
      </c>
      <c r="M201" s="1274">
        <f t="shared" si="113"/>
        <v>0</v>
      </c>
      <c r="N201" s="1274">
        <f t="shared" ref="N201" si="114">SUM(N196:N200)</f>
        <v>0</v>
      </c>
      <c r="O201" s="1000"/>
      <c r="P201" s="517"/>
      <c r="Q201" s="476"/>
      <c r="R201" s="476"/>
    </row>
    <row r="202" spans="2:18" ht="13.15" customHeight="1" x14ac:dyDescent="0.2">
      <c r="B202" s="86"/>
      <c r="C202" s="1000"/>
      <c r="D202" s="1037"/>
      <c r="E202" s="1037"/>
      <c r="F202" s="1039"/>
      <c r="G202" s="1037"/>
      <c r="H202" s="1037"/>
      <c r="I202" s="1037"/>
      <c r="J202" s="1037"/>
      <c r="K202" s="1037"/>
      <c r="L202" s="1037"/>
      <c r="M202" s="1037"/>
      <c r="N202" s="1037"/>
      <c r="O202" s="1000"/>
      <c r="P202" s="517"/>
      <c r="Q202" s="476"/>
      <c r="R202" s="476"/>
    </row>
    <row r="203" spans="2:18" ht="13.15" customHeight="1" x14ac:dyDescent="0.2">
      <c r="B203" s="86"/>
      <c r="C203" s="1000"/>
      <c r="D203" s="1053" t="s">
        <v>97</v>
      </c>
      <c r="E203" s="1037"/>
      <c r="F203" s="1039"/>
      <c r="G203" s="1037"/>
      <c r="H203" s="1284">
        <f t="shared" ref="H203:M203" si="115">H183</f>
        <v>2015</v>
      </c>
      <c r="I203" s="1284">
        <f t="shared" si="115"/>
        <v>2016</v>
      </c>
      <c r="J203" s="1284">
        <f t="shared" si="115"/>
        <v>2017</v>
      </c>
      <c r="K203" s="1284">
        <f t="shared" si="115"/>
        <v>2018</v>
      </c>
      <c r="L203" s="1284">
        <f t="shared" si="115"/>
        <v>2019</v>
      </c>
      <c r="M203" s="1284">
        <f t="shared" si="115"/>
        <v>2020</v>
      </c>
      <c r="N203" s="1284">
        <f t="shared" ref="N203" si="116">N183</f>
        <v>2021</v>
      </c>
      <c r="O203" s="1000"/>
      <c r="P203" s="517"/>
      <c r="Q203" s="476"/>
      <c r="R203" s="476"/>
    </row>
    <row r="204" spans="2:18" ht="13.15" customHeight="1" x14ac:dyDescent="0.2">
      <c r="B204" s="86"/>
      <c r="C204" s="1000"/>
      <c r="D204" s="1282"/>
      <c r="E204" s="1037"/>
      <c r="F204" s="1221"/>
      <c r="G204" s="1037"/>
      <c r="H204" s="1262">
        <v>0</v>
      </c>
      <c r="I204" s="1253">
        <f t="shared" ref="I204:K208" si="117">H204</f>
        <v>0</v>
      </c>
      <c r="J204" s="1253">
        <f t="shared" si="117"/>
        <v>0</v>
      </c>
      <c r="K204" s="1253">
        <f t="shared" si="117"/>
        <v>0</v>
      </c>
      <c r="L204" s="1253">
        <f t="shared" ref="L204:N208" si="118">K204</f>
        <v>0</v>
      </c>
      <c r="M204" s="1253">
        <f t="shared" si="118"/>
        <v>0</v>
      </c>
      <c r="N204" s="1253">
        <f t="shared" si="118"/>
        <v>0</v>
      </c>
      <c r="O204" s="1000"/>
      <c r="P204" s="517"/>
      <c r="Q204" s="476"/>
      <c r="R204" s="476"/>
    </row>
    <row r="205" spans="2:18" ht="13.15" customHeight="1" x14ac:dyDescent="0.2">
      <c r="B205" s="86"/>
      <c r="C205" s="1000"/>
      <c r="D205" s="1282"/>
      <c r="E205" s="1037"/>
      <c r="F205" s="1221"/>
      <c r="G205" s="1037"/>
      <c r="H205" s="1262">
        <v>0</v>
      </c>
      <c r="I205" s="1253">
        <f t="shared" si="117"/>
        <v>0</v>
      </c>
      <c r="J205" s="1253">
        <f t="shared" si="117"/>
        <v>0</v>
      </c>
      <c r="K205" s="1253">
        <f t="shared" si="117"/>
        <v>0</v>
      </c>
      <c r="L205" s="1253">
        <f t="shared" si="118"/>
        <v>0</v>
      </c>
      <c r="M205" s="1253">
        <f t="shared" si="118"/>
        <v>0</v>
      </c>
      <c r="N205" s="1253">
        <f t="shared" si="118"/>
        <v>0</v>
      </c>
      <c r="O205" s="1000"/>
      <c r="P205" s="517"/>
      <c r="Q205" s="476"/>
      <c r="R205" s="476"/>
    </row>
    <row r="206" spans="2:18" ht="13.15" customHeight="1" x14ac:dyDescent="0.2">
      <c r="B206" s="86"/>
      <c r="C206" s="1000"/>
      <c r="D206" s="1282"/>
      <c r="E206" s="1037"/>
      <c r="F206" s="1221"/>
      <c r="G206" s="1037"/>
      <c r="H206" s="1262">
        <v>0</v>
      </c>
      <c r="I206" s="1253">
        <f t="shared" si="117"/>
        <v>0</v>
      </c>
      <c r="J206" s="1253">
        <f t="shared" si="117"/>
        <v>0</v>
      </c>
      <c r="K206" s="1253">
        <f t="shared" si="117"/>
        <v>0</v>
      </c>
      <c r="L206" s="1253">
        <f t="shared" si="118"/>
        <v>0</v>
      </c>
      <c r="M206" s="1253">
        <f t="shared" si="118"/>
        <v>0</v>
      </c>
      <c r="N206" s="1253">
        <f t="shared" si="118"/>
        <v>0</v>
      </c>
      <c r="O206" s="1000"/>
      <c r="P206" s="517"/>
      <c r="Q206" s="476"/>
      <c r="R206" s="476"/>
    </row>
    <row r="207" spans="2:18" ht="13.15" customHeight="1" x14ac:dyDescent="0.2">
      <c r="B207" s="86"/>
      <c r="C207" s="1000"/>
      <c r="D207" s="1282"/>
      <c r="E207" s="1037"/>
      <c r="F207" s="1221"/>
      <c r="G207" s="1037"/>
      <c r="H207" s="1262">
        <v>0</v>
      </c>
      <c r="I207" s="1253">
        <f t="shared" si="117"/>
        <v>0</v>
      </c>
      <c r="J207" s="1253">
        <f t="shared" si="117"/>
        <v>0</v>
      </c>
      <c r="K207" s="1253">
        <f t="shared" si="117"/>
        <v>0</v>
      </c>
      <c r="L207" s="1253">
        <f t="shared" si="118"/>
        <v>0</v>
      </c>
      <c r="M207" s="1253">
        <f t="shared" si="118"/>
        <v>0</v>
      </c>
      <c r="N207" s="1253">
        <f t="shared" si="118"/>
        <v>0</v>
      </c>
      <c r="O207" s="1000"/>
      <c r="P207" s="517"/>
      <c r="Q207" s="476"/>
      <c r="R207" s="476"/>
    </row>
    <row r="208" spans="2:18" ht="13.15" customHeight="1" x14ac:dyDescent="0.2">
      <c r="B208" s="86"/>
      <c r="C208" s="1000"/>
      <c r="D208" s="1282"/>
      <c r="E208" s="1037"/>
      <c r="F208" s="1221"/>
      <c r="G208" s="1037"/>
      <c r="H208" s="1262">
        <v>0</v>
      </c>
      <c r="I208" s="1253">
        <f t="shared" si="117"/>
        <v>0</v>
      </c>
      <c r="J208" s="1253">
        <f t="shared" si="117"/>
        <v>0</v>
      </c>
      <c r="K208" s="1253">
        <f t="shared" si="117"/>
        <v>0</v>
      </c>
      <c r="L208" s="1253">
        <f t="shared" si="118"/>
        <v>0</v>
      </c>
      <c r="M208" s="1253">
        <f t="shared" si="118"/>
        <v>0</v>
      </c>
      <c r="N208" s="1253">
        <f t="shared" si="118"/>
        <v>0</v>
      </c>
      <c r="O208" s="1000"/>
      <c r="P208" s="517"/>
      <c r="Q208" s="476"/>
      <c r="R208" s="476"/>
    </row>
    <row r="209" spans="2:18" ht="13.15" customHeight="1" x14ac:dyDescent="0.2">
      <c r="B209" s="86"/>
      <c r="C209" s="1000"/>
      <c r="D209" s="1037"/>
      <c r="E209" s="1037"/>
      <c r="F209" s="1039"/>
      <c r="G209" s="1037"/>
      <c r="H209" s="1274">
        <f t="shared" ref="H209:M209" si="119">SUM(H204:H208)</f>
        <v>0</v>
      </c>
      <c r="I209" s="1274">
        <f t="shared" si="119"/>
        <v>0</v>
      </c>
      <c r="J209" s="1274">
        <f t="shared" si="119"/>
        <v>0</v>
      </c>
      <c r="K209" s="1274">
        <f t="shared" si="119"/>
        <v>0</v>
      </c>
      <c r="L209" s="1274">
        <f t="shared" si="119"/>
        <v>0</v>
      </c>
      <c r="M209" s="1274">
        <f t="shared" si="119"/>
        <v>0</v>
      </c>
      <c r="N209" s="1274">
        <f t="shared" ref="N209" si="120">SUM(N204:N208)</f>
        <v>0</v>
      </c>
      <c r="O209" s="1000"/>
      <c r="P209" s="517"/>
      <c r="Q209" s="476"/>
      <c r="R209" s="476"/>
    </row>
    <row r="210" spans="2:18" ht="13.15" customHeight="1" x14ac:dyDescent="0.2">
      <c r="B210" s="86"/>
      <c r="C210" s="1000"/>
      <c r="D210" s="1037"/>
      <c r="E210" s="1037"/>
      <c r="F210" s="1039"/>
      <c r="G210" s="1037"/>
      <c r="H210" s="1037"/>
      <c r="I210" s="1037"/>
      <c r="J210" s="1037"/>
      <c r="K210" s="1037"/>
      <c r="L210" s="1037"/>
      <c r="M210" s="1037"/>
      <c r="N210" s="1037"/>
      <c r="O210" s="1000"/>
      <c r="P210" s="517"/>
      <c r="Q210" s="476"/>
      <c r="R210" s="476"/>
    </row>
    <row r="211" spans="2:18" ht="13.15" customHeight="1" x14ac:dyDescent="0.2">
      <c r="B211" s="86"/>
      <c r="C211" s="478"/>
      <c r="D211" s="915"/>
      <c r="E211" s="915"/>
      <c r="F211" s="916"/>
      <c r="G211" s="915"/>
      <c r="H211" s="917"/>
      <c r="I211" s="917"/>
      <c r="J211" s="917"/>
      <c r="K211" s="917"/>
      <c r="L211" s="917"/>
      <c r="M211" s="917"/>
      <c r="N211" s="917"/>
      <c r="O211" s="478"/>
      <c r="P211" s="517"/>
      <c r="Q211" s="476"/>
      <c r="R211" s="476"/>
    </row>
    <row r="212" spans="2:18" ht="13.15" customHeight="1" x14ac:dyDescent="0.2">
      <c r="B212" s="86"/>
      <c r="C212" s="1000"/>
      <c r="D212" s="1000"/>
      <c r="E212" s="1000"/>
      <c r="F212" s="1076"/>
      <c r="G212" s="1000"/>
      <c r="H212" s="1245"/>
      <c r="I212" s="1245"/>
      <c r="J212" s="1245"/>
      <c r="K212" s="1245"/>
      <c r="L212" s="1245"/>
      <c r="M212" s="1245"/>
      <c r="N212" s="1245"/>
      <c r="O212" s="1000"/>
      <c r="P212" s="517"/>
      <c r="Q212" s="476"/>
      <c r="R212" s="476"/>
    </row>
    <row r="213" spans="2:18" ht="13.15" customHeight="1" x14ac:dyDescent="0.2">
      <c r="B213" s="86"/>
      <c r="C213" s="1000"/>
      <c r="D213" s="1000"/>
      <c r="E213" s="1000"/>
      <c r="F213" s="1076"/>
      <c r="G213" s="1000"/>
      <c r="H213" s="1286" t="str">
        <f t="shared" ref="H213:M213" si="121">+H11</f>
        <v>2015/16</v>
      </c>
      <c r="I213" s="1286" t="str">
        <f t="shared" si="121"/>
        <v>2016/17</v>
      </c>
      <c r="J213" s="1286" t="str">
        <f t="shared" si="121"/>
        <v>2017/18</v>
      </c>
      <c r="K213" s="1286" t="str">
        <f t="shared" si="121"/>
        <v>2018/19</v>
      </c>
      <c r="L213" s="1286" t="str">
        <f t="shared" si="121"/>
        <v>2019/20</v>
      </c>
      <c r="M213" s="1286" t="str">
        <f t="shared" si="121"/>
        <v>2020/21</v>
      </c>
      <c r="N213" s="1286" t="str">
        <f t="shared" ref="N213" si="122">+N11</f>
        <v>2021/22</v>
      </c>
      <c r="O213" s="1000"/>
      <c r="P213" s="517"/>
      <c r="Q213" s="476"/>
      <c r="R213" s="476"/>
    </row>
    <row r="214" spans="2:18" ht="13.15" customHeight="1" x14ac:dyDescent="0.2">
      <c r="B214" s="86"/>
      <c r="C214" s="1000"/>
      <c r="D214" s="1000"/>
      <c r="E214" s="1000"/>
      <c r="F214" s="1076"/>
      <c r="G214" s="1000"/>
      <c r="H214" s="1287">
        <f t="shared" ref="H214:M214" si="123">+H19</f>
        <v>2015</v>
      </c>
      <c r="I214" s="1287">
        <f t="shared" si="123"/>
        <v>2016</v>
      </c>
      <c r="J214" s="1287">
        <f t="shared" si="123"/>
        <v>2017</v>
      </c>
      <c r="K214" s="1287">
        <f t="shared" si="123"/>
        <v>2018</v>
      </c>
      <c r="L214" s="1287">
        <f t="shared" si="123"/>
        <v>2019</v>
      </c>
      <c r="M214" s="1287">
        <f t="shared" si="123"/>
        <v>2020</v>
      </c>
      <c r="N214" s="1287">
        <f t="shared" ref="N214" si="124">+N19</f>
        <v>2021</v>
      </c>
      <c r="O214" s="1000"/>
      <c r="P214" s="517"/>
      <c r="Q214" s="476"/>
      <c r="R214" s="476"/>
    </row>
    <row r="215" spans="2:18" ht="12.6" customHeight="1" x14ac:dyDescent="0.2">
      <c r="B215" s="86"/>
      <c r="C215" s="1000"/>
      <c r="D215" s="1000" t="s">
        <v>909</v>
      </c>
      <c r="E215" s="1075"/>
      <c r="F215" s="1055"/>
      <c r="G215" s="1075"/>
      <c r="H215" s="1268">
        <f t="shared" ref="H215:M215" si="125">+H17+H37+H57+H77+H97+H121+H141+H161+H181+H201</f>
        <v>0</v>
      </c>
      <c r="I215" s="1268">
        <f t="shared" si="125"/>
        <v>0</v>
      </c>
      <c r="J215" s="1268">
        <f t="shared" si="125"/>
        <v>0</v>
      </c>
      <c r="K215" s="1268">
        <f t="shared" si="125"/>
        <v>0</v>
      </c>
      <c r="L215" s="1268">
        <f t="shared" si="125"/>
        <v>0</v>
      </c>
      <c r="M215" s="1268">
        <f t="shared" si="125"/>
        <v>0</v>
      </c>
      <c r="N215" s="1268">
        <f t="shared" ref="N215" si="126">+N17+N37+N57+N77+N97+N121+N141+N161+N181+N201</f>
        <v>0</v>
      </c>
      <c r="O215" s="1000"/>
      <c r="P215" s="517"/>
      <c r="Q215" s="476"/>
      <c r="R215" s="476"/>
    </row>
    <row r="216" spans="2:18" ht="13.15" customHeight="1" x14ac:dyDescent="0.2">
      <c r="B216" s="86"/>
      <c r="C216" s="1183"/>
      <c r="D216" s="1000" t="s">
        <v>910</v>
      </c>
      <c r="E216" s="1000"/>
      <c r="F216" s="1076"/>
      <c r="G216" s="1000"/>
      <c r="H216" s="1268">
        <f t="shared" ref="H216:M216" si="127">+H25+H45+H65+H85+H105+H129+H149+H169+H189+H209</f>
        <v>0</v>
      </c>
      <c r="I216" s="1268">
        <f t="shared" si="127"/>
        <v>0</v>
      </c>
      <c r="J216" s="1268">
        <f t="shared" si="127"/>
        <v>0</v>
      </c>
      <c r="K216" s="1268">
        <f t="shared" si="127"/>
        <v>0</v>
      </c>
      <c r="L216" s="1268">
        <f t="shared" si="127"/>
        <v>0</v>
      </c>
      <c r="M216" s="1268">
        <f t="shared" si="127"/>
        <v>0</v>
      </c>
      <c r="N216" s="1268">
        <f t="shared" ref="N216" si="128">+N25+N45+N65+N85+N105+N129+N149+N169+N189+N209</f>
        <v>0</v>
      </c>
      <c r="O216" s="1183"/>
      <c r="P216" s="517"/>
      <c r="Q216" s="476"/>
      <c r="R216" s="476"/>
    </row>
    <row r="217" spans="2:18" ht="13.15" customHeight="1" x14ac:dyDescent="0.2">
      <c r="B217" s="86"/>
      <c r="C217" s="1183"/>
      <c r="D217" s="1075" t="s">
        <v>690</v>
      </c>
      <c r="E217" s="1288"/>
      <c r="F217" s="1288"/>
      <c r="G217" s="1288"/>
      <c r="H217" s="1255">
        <f>+H215+5/12*H216+7/12*I216</f>
        <v>0</v>
      </c>
      <c r="I217" s="1255">
        <f>+I215+5/12*I216+7/12*J216</f>
        <v>0</v>
      </c>
      <c r="J217" s="1255">
        <f>+J215+5/12*J216+7/12*K216</f>
        <v>0</v>
      </c>
      <c r="K217" s="1255">
        <f>+K215+5/12*K216+7/12*L216</f>
        <v>0</v>
      </c>
      <c r="L217" s="1255">
        <f>+L215+5/12*L216+7/12*M216</f>
        <v>0</v>
      </c>
      <c r="M217" s="1255">
        <f>+M215+M216</f>
        <v>0</v>
      </c>
      <c r="N217" s="1255">
        <f>+N215+N216</f>
        <v>0</v>
      </c>
      <c r="O217" s="1183"/>
      <c r="P217" s="517"/>
      <c r="Q217" s="476"/>
      <c r="R217" s="476"/>
    </row>
    <row r="218" spans="2:18" ht="13.15" customHeight="1" x14ac:dyDescent="0.2">
      <c r="B218" s="86"/>
      <c r="C218" s="1183"/>
      <c r="D218" s="1075" t="s">
        <v>691</v>
      </c>
      <c r="E218" s="1288"/>
      <c r="F218" s="1288"/>
      <c r="G218" s="1288"/>
      <c r="H218" s="1247"/>
      <c r="I218" s="1255">
        <f t="shared" ref="I218:N218" si="129">+I216+7/12*H215+5/12*I215</f>
        <v>0</v>
      </c>
      <c r="J218" s="1255">
        <f t="shared" si="129"/>
        <v>0</v>
      </c>
      <c r="K218" s="1255">
        <f t="shared" si="129"/>
        <v>0</v>
      </c>
      <c r="L218" s="1255">
        <f t="shared" si="129"/>
        <v>0</v>
      </c>
      <c r="M218" s="1255">
        <f t="shared" si="129"/>
        <v>0</v>
      </c>
      <c r="N218" s="1255">
        <f t="shared" si="129"/>
        <v>0</v>
      </c>
      <c r="O218" s="1183"/>
      <c r="P218" s="517"/>
      <c r="Q218" s="476"/>
      <c r="R218" s="476"/>
    </row>
    <row r="219" spans="2:18" ht="13.15" customHeight="1" x14ac:dyDescent="0.2">
      <c r="B219" s="86"/>
      <c r="C219" s="1183"/>
      <c r="D219" s="1183"/>
      <c r="E219" s="1183"/>
      <c r="F219" s="1183"/>
      <c r="G219" s="1183"/>
      <c r="H219" s="1183"/>
      <c r="I219" s="1183"/>
      <c r="J219" s="1183"/>
      <c r="K219" s="1183"/>
      <c r="L219" s="1183"/>
      <c r="M219" s="1183"/>
      <c r="N219" s="1183"/>
      <c r="O219" s="1183"/>
      <c r="P219" s="517"/>
      <c r="Q219" s="476"/>
      <c r="R219" s="476"/>
    </row>
    <row r="220" spans="2:18" ht="13.15" customHeight="1" x14ac:dyDescent="0.2">
      <c r="B220" s="86"/>
      <c r="C220" s="87"/>
      <c r="D220" s="87"/>
      <c r="E220" s="87"/>
      <c r="F220" s="80"/>
      <c r="G220" s="87"/>
      <c r="H220" s="80"/>
      <c r="I220" s="80"/>
      <c r="J220" s="80"/>
      <c r="K220" s="80"/>
      <c r="L220" s="80"/>
      <c r="M220" s="80"/>
      <c r="N220" s="80"/>
      <c r="O220" s="87"/>
      <c r="P220" s="517"/>
      <c r="Q220" s="476"/>
      <c r="R220" s="476"/>
    </row>
    <row r="221" spans="2:18" ht="13.15" customHeight="1" x14ac:dyDescent="0.2">
      <c r="B221" s="96"/>
      <c r="C221" s="93"/>
      <c r="D221" s="93"/>
      <c r="E221" s="93"/>
      <c r="F221" s="94"/>
      <c r="G221" s="93"/>
      <c r="H221" s="94"/>
      <c r="I221" s="94"/>
      <c r="J221" s="94"/>
      <c r="K221" s="94"/>
      <c r="L221" s="94"/>
      <c r="M221" s="94"/>
      <c r="N221" s="94"/>
      <c r="O221" s="93"/>
      <c r="P221" s="95"/>
      <c r="Q221" s="476"/>
      <c r="R221" s="476"/>
    </row>
    <row r="222" spans="2:18" s="914" customFormat="1" ht="13.15" customHeight="1" x14ac:dyDescent="0.2"/>
    <row r="223" spans="2:18" s="914" customFormat="1" ht="13.15" customHeight="1" x14ac:dyDescent="0.2"/>
    <row r="224" spans="2:18" s="914" customFormat="1" ht="13.15" customHeight="1" x14ac:dyDescent="0.2"/>
    <row r="225" spans="1:49" s="914" customFormat="1" ht="13.15" customHeight="1" x14ac:dyDescent="0.2"/>
    <row r="226" spans="1:49" s="427" customFormat="1" ht="13.15" customHeight="1" x14ac:dyDescent="0.2">
      <c r="A226" s="914"/>
      <c r="B226" s="914"/>
      <c r="C226" s="914"/>
      <c r="D226" s="914"/>
      <c r="E226" s="914"/>
      <c r="F226" s="914"/>
      <c r="G226" s="914"/>
      <c r="H226" s="914"/>
      <c r="I226" s="914"/>
      <c r="J226" s="914"/>
      <c r="K226" s="914"/>
      <c r="L226" s="914"/>
      <c r="M226" s="914"/>
      <c r="N226" s="914"/>
      <c r="O226" s="914"/>
      <c r="P226" s="914"/>
      <c r="Q226" s="914"/>
      <c r="R226" s="914"/>
      <c r="S226" s="914"/>
      <c r="T226" s="914"/>
      <c r="U226" s="914"/>
      <c r="V226" s="914"/>
      <c r="W226" s="914"/>
      <c r="X226" s="914"/>
      <c r="Y226" s="914"/>
      <c r="Z226" s="914"/>
      <c r="AA226" s="914"/>
      <c r="AB226" s="914"/>
      <c r="AC226" s="914"/>
      <c r="AD226" s="914"/>
      <c r="AE226" s="914"/>
      <c r="AF226" s="914"/>
      <c r="AG226" s="914"/>
      <c r="AH226" s="914"/>
      <c r="AI226" s="914"/>
      <c r="AJ226" s="914"/>
      <c r="AK226" s="914"/>
      <c r="AL226" s="914"/>
      <c r="AM226" s="914"/>
      <c r="AN226" s="914"/>
      <c r="AO226" s="914"/>
      <c r="AP226" s="914"/>
      <c r="AQ226" s="914"/>
      <c r="AR226" s="914"/>
      <c r="AS226" s="914"/>
      <c r="AT226" s="914"/>
      <c r="AU226" s="914"/>
      <c r="AV226" s="914"/>
      <c r="AW226" s="914"/>
    </row>
    <row r="227" spans="1:49" s="427" customFormat="1" ht="13.15" customHeight="1" x14ac:dyDescent="0.2">
      <c r="A227" s="914"/>
      <c r="B227" s="914"/>
      <c r="C227" s="914"/>
      <c r="D227" s="914"/>
      <c r="E227" s="914"/>
      <c r="F227" s="914"/>
      <c r="G227" s="914"/>
      <c r="H227" s="914"/>
      <c r="I227" s="914"/>
      <c r="J227" s="914"/>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4"/>
      <c r="AK227" s="914"/>
      <c r="AL227" s="914"/>
      <c r="AM227" s="914"/>
      <c r="AN227" s="914"/>
      <c r="AO227" s="914"/>
      <c r="AP227" s="914"/>
      <c r="AQ227" s="914"/>
      <c r="AR227" s="914"/>
      <c r="AS227" s="914"/>
      <c r="AT227" s="914"/>
      <c r="AU227" s="914"/>
      <c r="AV227" s="914"/>
      <c r="AW227" s="914"/>
    </row>
    <row r="228" spans="1:49" s="427" customFormat="1" ht="13.15" customHeight="1" x14ac:dyDescent="0.2">
      <c r="A228" s="914"/>
      <c r="B228" s="914"/>
      <c r="C228" s="914"/>
      <c r="D228" s="914"/>
      <c r="E228" s="914"/>
      <c r="F228" s="914"/>
      <c r="G228" s="914"/>
      <c r="H228" s="914"/>
      <c r="I228" s="914"/>
      <c r="J228" s="914"/>
      <c r="K228" s="914"/>
      <c r="L228" s="914"/>
      <c r="M228" s="914"/>
      <c r="N228" s="914"/>
      <c r="O228" s="914"/>
      <c r="P228" s="914"/>
      <c r="Q228" s="914"/>
      <c r="R228" s="914"/>
      <c r="S228" s="914"/>
      <c r="T228" s="914"/>
      <c r="U228" s="914"/>
      <c r="V228" s="914"/>
      <c r="W228" s="914"/>
      <c r="X228" s="914"/>
      <c r="Y228" s="914"/>
      <c r="Z228" s="914"/>
      <c r="AA228" s="914"/>
      <c r="AB228" s="914"/>
      <c r="AC228" s="914"/>
      <c r="AD228" s="914"/>
      <c r="AE228" s="914"/>
      <c r="AF228" s="914"/>
      <c r="AG228" s="914"/>
      <c r="AH228" s="914"/>
      <c r="AI228" s="914"/>
      <c r="AJ228" s="914"/>
      <c r="AK228" s="914"/>
      <c r="AL228" s="914"/>
      <c r="AM228" s="914"/>
      <c r="AN228" s="914"/>
      <c r="AO228" s="914"/>
      <c r="AP228" s="914"/>
      <c r="AQ228" s="914"/>
      <c r="AR228" s="914"/>
      <c r="AS228" s="914"/>
      <c r="AT228" s="914"/>
      <c r="AU228" s="914"/>
      <c r="AV228" s="914"/>
      <c r="AW228" s="914"/>
    </row>
    <row r="229" spans="1:49" s="427" customFormat="1" ht="13.15" customHeight="1" x14ac:dyDescent="0.2">
      <c r="A229" s="914"/>
      <c r="B229" s="914"/>
      <c r="C229" s="914"/>
      <c r="D229" s="914"/>
      <c r="E229" s="914"/>
      <c r="F229" s="914"/>
      <c r="G229" s="914"/>
      <c r="H229" s="914"/>
      <c r="I229" s="914"/>
      <c r="J229" s="914"/>
      <c r="K229" s="914"/>
      <c r="L229" s="914"/>
      <c r="M229" s="914"/>
      <c r="N229" s="914"/>
      <c r="O229" s="914"/>
      <c r="P229" s="914"/>
      <c r="Q229" s="914"/>
      <c r="R229" s="914"/>
      <c r="S229" s="914"/>
      <c r="T229" s="914"/>
      <c r="U229" s="914"/>
      <c r="V229" s="914"/>
      <c r="W229" s="914"/>
      <c r="X229" s="914"/>
      <c r="Y229" s="914"/>
      <c r="Z229" s="914"/>
      <c r="AA229" s="914"/>
      <c r="AB229" s="914"/>
      <c r="AC229" s="914"/>
      <c r="AD229" s="914"/>
      <c r="AE229" s="914"/>
      <c r="AF229" s="914"/>
      <c r="AG229" s="914"/>
      <c r="AH229" s="914"/>
      <c r="AI229" s="914"/>
      <c r="AJ229" s="914"/>
      <c r="AK229" s="914"/>
      <c r="AL229" s="914"/>
      <c r="AM229" s="914"/>
      <c r="AN229" s="914"/>
      <c r="AO229" s="914"/>
      <c r="AP229" s="914"/>
      <c r="AQ229" s="914"/>
      <c r="AR229" s="914"/>
      <c r="AS229" s="914"/>
      <c r="AT229" s="914"/>
      <c r="AU229" s="914"/>
      <c r="AV229" s="914"/>
      <c r="AW229" s="914"/>
    </row>
    <row r="230" spans="1:49" s="427" customFormat="1" ht="13.15" customHeight="1" x14ac:dyDescent="0.2">
      <c r="A230" s="914"/>
      <c r="B230" s="914"/>
      <c r="C230" s="914"/>
      <c r="D230" s="914"/>
      <c r="E230" s="914"/>
      <c r="F230" s="914"/>
      <c r="G230" s="914"/>
      <c r="H230" s="914"/>
      <c r="I230" s="914"/>
      <c r="J230" s="914"/>
      <c r="K230" s="914"/>
      <c r="L230" s="914"/>
      <c r="M230" s="914"/>
      <c r="N230" s="914"/>
      <c r="O230" s="914"/>
      <c r="P230" s="914"/>
      <c r="Q230" s="914"/>
      <c r="R230" s="914"/>
      <c r="S230" s="914"/>
      <c r="T230" s="914"/>
      <c r="U230" s="914"/>
      <c r="V230" s="914"/>
      <c r="W230" s="914"/>
      <c r="X230" s="914"/>
      <c r="Y230" s="914"/>
      <c r="Z230" s="914"/>
      <c r="AA230" s="914"/>
      <c r="AB230" s="914"/>
      <c r="AC230" s="914"/>
      <c r="AD230" s="914"/>
      <c r="AE230" s="914"/>
      <c r="AF230" s="914"/>
      <c r="AG230" s="914"/>
      <c r="AH230" s="914"/>
      <c r="AI230" s="914"/>
      <c r="AJ230" s="914"/>
      <c r="AK230" s="914"/>
      <c r="AL230" s="914"/>
      <c r="AM230" s="914"/>
      <c r="AN230" s="914"/>
      <c r="AO230" s="914"/>
      <c r="AP230" s="914"/>
      <c r="AQ230" s="914"/>
      <c r="AR230" s="914"/>
      <c r="AS230" s="914"/>
      <c r="AT230" s="914"/>
      <c r="AU230" s="914"/>
      <c r="AV230" s="914"/>
      <c r="AW230" s="914"/>
    </row>
    <row r="231" spans="1:49" s="427" customFormat="1" ht="13.15" customHeight="1" x14ac:dyDescent="0.2">
      <c r="A231" s="914"/>
      <c r="B231" s="914"/>
      <c r="C231" s="914"/>
      <c r="D231" s="914"/>
      <c r="E231" s="914"/>
      <c r="F231" s="914"/>
      <c r="G231" s="914"/>
      <c r="H231" s="914"/>
      <c r="I231" s="914"/>
      <c r="J231" s="914"/>
      <c r="K231" s="914"/>
      <c r="L231" s="914"/>
      <c r="M231" s="914"/>
      <c r="N231" s="914"/>
      <c r="O231" s="914"/>
      <c r="P231" s="914"/>
      <c r="Q231" s="914"/>
      <c r="R231" s="914"/>
      <c r="S231" s="914"/>
      <c r="T231" s="914"/>
      <c r="U231" s="914"/>
      <c r="V231" s="914"/>
      <c r="W231" s="914"/>
      <c r="X231" s="914"/>
      <c r="Y231" s="914"/>
      <c r="Z231" s="914"/>
      <c r="AA231" s="914"/>
      <c r="AB231" s="914"/>
      <c r="AC231" s="914"/>
      <c r="AD231" s="914"/>
      <c r="AE231" s="914"/>
      <c r="AF231" s="914"/>
      <c r="AG231" s="914"/>
      <c r="AH231" s="914"/>
      <c r="AI231" s="914"/>
      <c r="AJ231" s="914"/>
      <c r="AK231" s="914"/>
      <c r="AL231" s="914"/>
      <c r="AM231" s="914"/>
      <c r="AN231" s="914"/>
      <c r="AO231" s="914"/>
      <c r="AP231" s="914"/>
      <c r="AQ231" s="914"/>
      <c r="AR231" s="914"/>
      <c r="AS231" s="914"/>
      <c r="AT231" s="914"/>
      <c r="AU231" s="914"/>
      <c r="AV231" s="914"/>
      <c r="AW231" s="914"/>
    </row>
    <row r="232" spans="1:49" s="427" customFormat="1" ht="13.15" customHeight="1" x14ac:dyDescent="0.2">
      <c r="A232" s="914"/>
      <c r="B232" s="914"/>
      <c r="C232" s="914"/>
      <c r="D232" s="914"/>
      <c r="E232" s="914"/>
      <c r="F232" s="914"/>
      <c r="G232" s="914"/>
      <c r="H232" s="914"/>
      <c r="I232" s="914"/>
      <c r="J232" s="914"/>
      <c r="K232" s="914"/>
      <c r="L232" s="914"/>
      <c r="M232" s="914"/>
      <c r="N232" s="914"/>
      <c r="O232" s="914"/>
      <c r="P232" s="914"/>
      <c r="Q232" s="914"/>
      <c r="R232" s="914"/>
      <c r="S232" s="914"/>
      <c r="T232" s="914"/>
      <c r="U232" s="914"/>
      <c r="V232" s="914"/>
      <c r="W232" s="914"/>
      <c r="X232" s="914"/>
      <c r="Y232" s="914"/>
      <c r="Z232" s="914"/>
      <c r="AA232" s="914"/>
      <c r="AB232" s="914"/>
      <c r="AC232" s="914"/>
      <c r="AD232" s="914"/>
      <c r="AE232" s="914"/>
      <c r="AF232" s="914"/>
      <c r="AG232" s="914"/>
      <c r="AH232" s="914"/>
      <c r="AI232" s="914"/>
      <c r="AJ232" s="914"/>
      <c r="AK232" s="914"/>
      <c r="AL232" s="914"/>
      <c r="AM232" s="914"/>
      <c r="AN232" s="914"/>
      <c r="AO232" s="914"/>
      <c r="AP232" s="914"/>
      <c r="AQ232" s="914"/>
      <c r="AR232" s="914"/>
      <c r="AS232" s="914"/>
      <c r="AT232" s="914"/>
      <c r="AU232" s="914"/>
      <c r="AV232" s="914"/>
      <c r="AW232" s="914"/>
    </row>
    <row r="233" spans="1:49" ht="13.15" customHeight="1" x14ac:dyDescent="0.2">
      <c r="B233" s="476"/>
      <c r="C233" s="476"/>
      <c r="D233" s="476"/>
      <c r="E233" s="476"/>
      <c r="F233" s="614"/>
      <c r="G233" s="476"/>
      <c r="H233" s="614"/>
      <c r="I233" s="614"/>
      <c r="J233" s="614"/>
      <c r="K233" s="614"/>
      <c r="L233" s="614"/>
      <c r="M233" s="614"/>
      <c r="N233" s="614"/>
      <c r="O233" s="476"/>
      <c r="P233" s="476"/>
      <c r="Q233" s="476"/>
      <c r="R233" s="476"/>
    </row>
    <row r="234" spans="1:49" ht="13.15" customHeight="1" x14ac:dyDescent="0.2">
      <c r="B234" s="476"/>
      <c r="C234" s="476"/>
      <c r="D234" s="476"/>
      <c r="E234" s="476"/>
      <c r="F234" s="614"/>
      <c r="G234" s="476"/>
      <c r="H234" s="614"/>
      <c r="I234" s="614"/>
      <c r="J234" s="614"/>
      <c r="K234" s="614"/>
      <c r="L234" s="614"/>
      <c r="M234" s="614"/>
      <c r="N234" s="614"/>
      <c r="O234" s="476"/>
      <c r="P234" s="476"/>
      <c r="Q234" s="476"/>
      <c r="R234" s="476"/>
    </row>
    <row r="235" spans="1:49" ht="13.15" customHeight="1" x14ac:dyDescent="0.2">
      <c r="B235" s="476"/>
      <c r="C235" s="476"/>
      <c r="D235" s="476"/>
      <c r="E235" s="476"/>
      <c r="F235" s="614"/>
      <c r="G235" s="476"/>
      <c r="H235" s="614"/>
      <c r="I235" s="614"/>
      <c r="J235" s="614"/>
      <c r="K235" s="614"/>
      <c r="L235" s="614"/>
      <c r="M235" s="614"/>
      <c r="N235" s="614"/>
      <c r="O235" s="476"/>
      <c r="P235" s="476"/>
      <c r="Q235" s="476"/>
      <c r="R235" s="476"/>
    </row>
    <row r="236" spans="1:49" ht="13.15" customHeight="1" x14ac:dyDescent="0.2">
      <c r="B236" s="476"/>
      <c r="C236" s="476"/>
      <c r="D236" s="476"/>
      <c r="E236" s="476"/>
      <c r="F236" s="614"/>
      <c r="G236" s="476"/>
      <c r="H236" s="614"/>
      <c r="I236" s="614"/>
      <c r="J236" s="614"/>
      <c r="K236" s="614"/>
      <c r="L236" s="614"/>
      <c r="M236" s="614"/>
      <c r="N236" s="614"/>
      <c r="O236" s="476"/>
      <c r="P236" s="476"/>
      <c r="Q236" s="476"/>
      <c r="R236" s="476"/>
    </row>
    <row r="237" spans="1:49" ht="13.15" customHeight="1" x14ac:dyDescent="0.2">
      <c r="B237" s="476"/>
      <c r="C237" s="476"/>
      <c r="D237" s="476"/>
      <c r="E237" s="476"/>
      <c r="F237" s="614"/>
      <c r="G237" s="476"/>
      <c r="H237" s="614"/>
      <c r="I237" s="614"/>
      <c r="J237" s="614"/>
      <c r="K237" s="614"/>
      <c r="L237" s="614"/>
      <c r="M237" s="614"/>
      <c r="N237" s="614"/>
      <c r="O237" s="476"/>
      <c r="P237" s="476"/>
      <c r="Q237" s="476"/>
      <c r="R237" s="476"/>
    </row>
    <row r="238" spans="1:49" ht="13.15" customHeight="1" x14ac:dyDescent="0.2">
      <c r="B238" s="476"/>
      <c r="C238" s="476"/>
      <c r="D238" s="476"/>
      <c r="E238" s="476"/>
      <c r="F238" s="614"/>
      <c r="G238" s="476"/>
      <c r="H238" s="614"/>
      <c r="I238" s="614"/>
      <c r="J238" s="614"/>
      <c r="K238" s="614"/>
      <c r="L238" s="614"/>
      <c r="M238" s="614"/>
      <c r="N238" s="614"/>
      <c r="O238" s="476"/>
      <c r="P238" s="476"/>
      <c r="Q238" s="476"/>
      <c r="R238" s="476"/>
    </row>
    <row r="239" spans="1:49" ht="13.15" customHeight="1" x14ac:dyDescent="0.2">
      <c r="B239" s="476"/>
      <c r="C239" s="476"/>
      <c r="D239" s="476"/>
      <c r="E239" s="476"/>
      <c r="F239" s="614"/>
      <c r="G239" s="476"/>
      <c r="H239" s="614"/>
      <c r="I239" s="614"/>
      <c r="J239" s="614"/>
      <c r="K239" s="614"/>
      <c r="L239" s="614"/>
      <c r="M239" s="614"/>
      <c r="N239" s="614"/>
      <c r="O239" s="476"/>
      <c r="P239" s="476"/>
      <c r="Q239" s="476"/>
      <c r="R239" s="476"/>
    </row>
    <row r="240" spans="1:49" ht="13.15" customHeight="1" x14ac:dyDescent="0.2">
      <c r="B240" s="476"/>
      <c r="C240" s="476"/>
      <c r="D240" s="476"/>
      <c r="E240" s="476"/>
      <c r="F240" s="614"/>
      <c r="G240" s="476"/>
      <c r="H240" s="614"/>
      <c r="I240" s="614"/>
      <c r="J240" s="614"/>
      <c r="K240" s="614"/>
      <c r="L240" s="614"/>
      <c r="M240" s="614"/>
      <c r="N240" s="614"/>
      <c r="O240" s="476"/>
      <c r="P240" s="476"/>
      <c r="Q240" s="476"/>
      <c r="R240" s="476"/>
    </row>
    <row r="241" spans="2:18" ht="13.15" customHeight="1" x14ac:dyDescent="0.2">
      <c r="B241" s="476"/>
      <c r="C241" s="476"/>
      <c r="D241" s="476"/>
      <c r="E241" s="476"/>
      <c r="F241" s="614"/>
      <c r="G241" s="476"/>
      <c r="H241" s="614"/>
      <c r="I241" s="614"/>
      <c r="J241" s="614"/>
      <c r="K241" s="614"/>
      <c r="L241" s="614"/>
      <c r="M241" s="614"/>
      <c r="N241" s="614"/>
      <c r="O241" s="476"/>
      <c r="P241" s="476"/>
      <c r="Q241" s="476"/>
      <c r="R241" s="476"/>
    </row>
    <row r="242" spans="2:18" ht="13.15" customHeight="1" x14ac:dyDescent="0.2">
      <c r="B242" s="476"/>
      <c r="C242" s="476"/>
      <c r="D242" s="476"/>
      <c r="E242" s="476"/>
      <c r="F242" s="614"/>
      <c r="G242" s="476"/>
      <c r="H242" s="614"/>
      <c r="I242" s="614"/>
      <c r="J242" s="614"/>
      <c r="K242" s="614"/>
      <c r="L242" s="614"/>
      <c r="M242" s="614"/>
      <c r="N242" s="614"/>
      <c r="O242" s="476"/>
      <c r="P242" s="476"/>
      <c r="Q242" s="476"/>
      <c r="R242" s="476"/>
    </row>
    <row r="243" spans="2:18" ht="13.15" customHeight="1" x14ac:dyDescent="0.2">
      <c r="B243" s="476"/>
      <c r="C243" s="476"/>
      <c r="D243" s="476"/>
      <c r="E243" s="476"/>
      <c r="F243" s="614"/>
      <c r="G243" s="476"/>
      <c r="H243" s="614"/>
      <c r="I243" s="614"/>
      <c r="J243" s="614"/>
      <c r="K243" s="614"/>
      <c r="L243" s="614"/>
      <c r="M243" s="614"/>
      <c r="N243" s="614"/>
      <c r="O243" s="476"/>
      <c r="P243" s="476"/>
      <c r="Q243" s="476"/>
      <c r="R243" s="476"/>
    </row>
    <row r="244" spans="2:18" ht="13.15" customHeight="1" x14ac:dyDescent="0.2">
      <c r="B244" s="476"/>
      <c r="C244" s="476"/>
      <c r="D244" s="476"/>
      <c r="E244" s="476"/>
      <c r="F244" s="614"/>
      <c r="G244" s="476"/>
      <c r="H244" s="614"/>
      <c r="I244" s="614"/>
      <c r="J244" s="614"/>
      <c r="K244" s="614"/>
      <c r="L244" s="614"/>
      <c r="M244" s="614"/>
      <c r="N244" s="614"/>
      <c r="O244" s="476"/>
      <c r="P244" s="476"/>
      <c r="Q244" s="476"/>
      <c r="R244" s="476"/>
    </row>
    <row r="245" spans="2:18" ht="13.15" customHeight="1" x14ac:dyDescent="0.2">
      <c r="B245" s="476"/>
      <c r="C245" s="476"/>
      <c r="D245" s="476"/>
      <c r="E245" s="476"/>
      <c r="F245" s="614"/>
      <c r="G245" s="476"/>
      <c r="H245" s="614"/>
      <c r="I245" s="614"/>
      <c r="J245" s="614"/>
      <c r="K245" s="614"/>
      <c r="L245" s="614"/>
      <c r="M245" s="614"/>
      <c r="N245" s="614"/>
      <c r="O245" s="476"/>
      <c r="P245" s="476"/>
      <c r="Q245" s="476"/>
      <c r="R245" s="476"/>
    </row>
    <row r="246" spans="2:18" ht="13.15" customHeight="1" x14ac:dyDescent="0.2">
      <c r="B246" s="476"/>
      <c r="C246" s="476"/>
      <c r="D246" s="476"/>
      <c r="E246" s="476"/>
      <c r="F246" s="614"/>
      <c r="G246" s="476"/>
      <c r="H246" s="614"/>
      <c r="I246" s="614"/>
      <c r="J246" s="614"/>
      <c r="K246" s="614"/>
      <c r="L246" s="614"/>
      <c r="M246" s="614"/>
      <c r="N246" s="614"/>
      <c r="O246" s="476"/>
      <c r="P246" s="476"/>
      <c r="Q246" s="476"/>
      <c r="R246" s="476"/>
    </row>
    <row r="247" spans="2:18" ht="13.15" customHeight="1" x14ac:dyDescent="0.2">
      <c r="B247" s="476"/>
      <c r="C247" s="476"/>
      <c r="D247" s="476"/>
      <c r="E247" s="476"/>
      <c r="F247" s="614"/>
      <c r="G247" s="476"/>
      <c r="H247" s="614"/>
      <c r="I247" s="614"/>
      <c r="J247" s="614"/>
      <c r="K247" s="614"/>
      <c r="L247" s="614"/>
      <c r="M247" s="614"/>
      <c r="N247" s="614"/>
      <c r="O247" s="476"/>
      <c r="P247" s="476"/>
      <c r="Q247" s="476"/>
      <c r="R247" s="476"/>
    </row>
    <row r="248" spans="2:18" ht="13.15" customHeight="1" x14ac:dyDescent="0.2">
      <c r="B248" s="476"/>
      <c r="C248" s="476"/>
      <c r="D248" s="476"/>
      <c r="E248" s="476"/>
      <c r="F248" s="614"/>
      <c r="G248" s="476"/>
      <c r="H248" s="614"/>
      <c r="I248" s="614"/>
      <c r="J248" s="614"/>
      <c r="K248" s="614"/>
      <c r="L248" s="614"/>
      <c r="M248" s="614"/>
      <c r="N248" s="614"/>
      <c r="O248" s="476"/>
      <c r="P248" s="476"/>
      <c r="Q248" s="476"/>
      <c r="R248" s="476"/>
    </row>
    <row r="249" spans="2:18" ht="13.15" customHeight="1" x14ac:dyDescent="0.2">
      <c r="B249" s="476"/>
      <c r="C249" s="476"/>
      <c r="D249" s="476"/>
      <c r="E249" s="476"/>
      <c r="F249" s="614"/>
      <c r="G249" s="476"/>
      <c r="H249" s="614"/>
      <c r="I249" s="614"/>
      <c r="J249" s="614"/>
      <c r="K249" s="614"/>
      <c r="L249" s="614"/>
      <c r="M249" s="614"/>
      <c r="N249" s="614"/>
      <c r="O249" s="476"/>
      <c r="P249" s="476"/>
      <c r="Q249" s="476"/>
      <c r="R249" s="476"/>
    </row>
    <row r="250" spans="2:18" ht="13.15" customHeight="1" x14ac:dyDescent="0.2">
      <c r="B250" s="476"/>
      <c r="C250" s="476"/>
      <c r="D250" s="476"/>
      <c r="E250" s="476"/>
      <c r="F250" s="614"/>
      <c r="G250" s="476"/>
      <c r="H250" s="614"/>
      <c r="I250" s="614"/>
      <c r="J250" s="614"/>
      <c r="K250" s="614"/>
      <c r="L250" s="614"/>
      <c r="M250" s="614"/>
      <c r="N250" s="614"/>
      <c r="O250" s="476"/>
      <c r="P250" s="476"/>
      <c r="Q250" s="476"/>
      <c r="R250" s="476"/>
    </row>
    <row r="251" spans="2:18" ht="13.15" customHeight="1" x14ac:dyDescent="0.2">
      <c r="B251" s="476"/>
      <c r="C251" s="476"/>
      <c r="D251" s="476"/>
      <c r="E251" s="476"/>
      <c r="F251" s="614"/>
      <c r="G251" s="476"/>
      <c r="H251" s="614"/>
      <c r="I251" s="614"/>
      <c r="J251" s="614"/>
      <c r="K251" s="614"/>
      <c r="L251" s="614"/>
      <c r="M251" s="614"/>
      <c r="N251" s="614"/>
      <c r="O251" s="476"/>
      <c r="P251" s="476"/>
      <c r="Q251" s="476"/>
      <c r="R251" s="476"/>
    </row>
    <row r="252" spans="2:18" ht="13.15" customHeight="1" x14ac:dyDescent="0.2">
      <c r="B252" s="476"/>
      <c r="C252" s="476"/>
      <c r="D252" s="476"/>
      <c r="E252" s="476"/>
      <c r="F252" s="614"/>
      <c r="G252" s="476"/>
      <c r="H252" s="614"/>
      <c r="I252" s="614"/>
      <c r="J252" s="614"/>
      <c r="K252" s="614"/>
      <c r="L252" s="614"/>
      <c r="M252" s="614"/>
      <c r="N252" s="614"/>
      <c r="O252" s="476"/>
      <c r="P252" s="476"/>
      <c r="Q252" s="476"/>
      <c r="R252" s="476"/>
    </row>
    <row r="253" spans="2:18" ht="13.15" customHeight="1" x14ac:dyDescent="0.2">
      <c r="B253" s="476"/>
      <c r="C253" s="476"/>
      <c r="D253" s="476"/>
      <c r="E253" s="476"/>
      <c r="F253" s="614"/>
      <c r="G253" s="476"/>
      <c r="H253" s="614"/>
      <c r="I253" s="614"/>
      <c r="J253" s="614"/>
      <c r="K253" s="614"/>
      <c r="L253" s="614"/>
      <c r="M253" s="614"/>
      <c r="N253" s="614"/>
      <c r="O253" s="476"/>
      <c r="P253" s="476"/>
      <c r="Q253" s="476"/>
      <c r="R253" s="476"/>
    </row>
    <row r="254" spans="2:18" ht="13.15" customHeight="1" x14ac:dyDescent="0.2">
      <c r="B254" s="476"/>
      <c r="C254" s="476"/>
      <c r="D254" s="476"/>
      <c r="E254" s="476"/>
      <c r="F254" s="614"/>
      <c r="G254" s="476"/>
      <c r="H254" s="614"/>
      <c r="I254" s="614"/>
      <c r="J254" s="614"/>
      <c r="K254" s="614"/>
      <c r="L254" s="614"/>
      <c r="M254" s="614"/>
      <c r="N254" s="614"/>
      <c r="O254" s="476"/>
      <c r="P254" s="476"/>
      <c r="Q254" s="476"/>
      <c r="R254" s="476"/>
    </row>
    <row r="255" spans="2:18" ht="13.15" customHeight="1" x14ac:dyDescent="0.2">
      <c r="B255" s="476"/>
      <c r="C255" s="476"/>
      <c r="D255" s="476"/>
      <c r="E255" s="476"/>
      <c r="F255" s="614"/>
      <c r="G255" s="476"/>
      <c r="H255" s="614"/>
      <c r="I255" s="614"/>
      <c r="J255" s="614"/>
      <c r="K255" s="614"/>
      <c r="L255" s="614"/>
      <c r="M255" s="614"/>
      <c r="N255" s="614"/>
      <c r="O255" s="476"/>
      <c r="P255" s="476"/>
      <c r="Q255" s="476"/>
      <c r="R255" s="476"/>
    </row>
    <row r="256" spans="2:18" ht="13.15" customHeight="1" x14ac:dyDescent="0.2">
      <c r="B256" s="476"/>
      <c r="C256" s="476"/>
      <c r="D256" s="476"/>
      <c r="E256" s="476"/>
      <c r="F256" s="614"/>
      <c r="G256" s="476"/>
      <c r="H256" s="614"/>
      <c r="I256" s="614"/>
      <c r="J256" s="614"/>
      <c r="K256" s="614"/>
      <c r="L256" s="614"/>
      <c r="M256" s="614"/>
      <c r="N256" s="614"/>
      <c r="O256" s="476"/>
      <c r="P256" s="476"/>
      <c r="Q256" s="476"/>
      <c r="R256" s="476"/>
    </row>
    <row r="257" spans="2:18" ht="13.15" customHeight="1" x14ac:dyDescent="0.2">
      <c r="B257" s="476"/>
      <c r="C257" s="476"/>
      <c r="D257" s="476"/>
      <c r="E257" s="476"/>
      <c r="F257" s="614"/>
      <c r="G257" s="476"/>
      <c r="H257" s="614"/>
      <c r="I257" s="614"/>
      <c r="J257" s="614"/>
      <c r="K257" s="614"/>
      <c r="L257" s="614"/>
      <c r="M257" s="614"/>
      <c r="N257" s="614"/>
      <c r="O257" s="476"/>
      <c r="P257" s="476"/>
      <c r="Q257" s="476"/>
      <c r="R257" s="476"/>
    </row>
    <row r="258" spans="2:18" ht="13.15" customHeight="1" x14ac:dyDescent="0.2">
      <c r="B258" s="476"/>
      <c r="C258" s="476"/>
      <c r="D258" s="476"/>
      <c r="E258" s="476"/>
      <c r="F258" s="614"/>
      <c r="G258" s="476"/>
      <c r="H258" s="614"/>
      <c r="I258" s="614"/>
      <c r="J258" s="614"/>
      <c r="K258" s="614"/>
      <c r="L258" s="614"/>
      <c r="M258" s="614"/>
      <c r="N258" s="614"/>
      <c r="O258" s="476"/>
      <c r="P258" s="476"/>
      <c r="Q258" s="476"/>
      <c r="R258" s="476"/>
    </row>
    <row r="259" spans="2:18" ht="13.15" customHeight="1" x14ac:dyDescent="0.2">
      <c r="B259" s="476"/>
      <c r="C259" s="476"/>
      <c r="D259" s="476"/>
      <c r="E259" s="476"/>
      <c r="F259" s="614"/>
      <c r="G259" s="476"/>
      <c r="H259" s="614"/>
      <c r="I259" s="614"/>
      <c r="J259" s="614"/>
      <c r="K259" s="614"/>
      <c r="L259" s="614"/>
      <c r="M259" s="614"/>
      <c r="N259" s="614"/>
      <c r="O259" s="476"/>
      <c r="P259" s="476"/>
      <c r="Q259" s="476"/>
      <c r="R259" s="476"/>
    </row>
    <row r="260" spans="2:18" ht="13.15" customHeight="1" x14ac:dyDescent="0.2">
      <c r="B260" s="476"/>
      <c r="C260" s="476"/>
      <c r="D260" s="476"/>
      <c r="E260" s="476"/>
      <c r="F260" s="614"/>
      <c r="G260" s="476"/>
      <c r="H260" s="614"/>
      <c r="I260" s="614"/>
      <c r="J260" s="614"/>
      <c r="K260" s="614"/>
      <c r="L260" s="614"/>
      <c r="M260" s="614"/>
      <c r="N260" s="614"/>
      <c r="O260" s="476"/>
      <c r="P260" s="476"/>
      <c r="Q260" s="476"/>
      <c r="R260" s="476"/>
    </row>
    <row r="261" spans="2:18" ht="13.15" customHeight="1" x14ac:dyDescent="0.2">
      <c r="B261" s="476"/>
      <c r="C261" s="476"/>
      <c r="D261" s="476"/>
      <c r="E261" s="476"/>
      <c r="F261" s="614"/>
      <c r="G261" s="476"/>
      <c r="H261" s="614"/>
      <c r="I261" s="614"/>
      <c r="J261" s="614"/>
      <c r="K261" s="614"/>
      <c r="L261" s="614"/>
      <c r="M261" s="614"/>
      <c r="N261" s="614"/>
      <c r="O261" s="476"/>
      <c r="P261" s="476"/>
      <c r="Q261" s="476"/>
      <c r="R261" s="476"/>
    </row>
    <row r="262" spans="2:18" ht="13.15" customHeight="1" x14ac:dyDescent="0.2">
      <c r="B262" s="476"/>
      <c r="C262" s="476"/>
      <c r="D262" s="476"/>
      <c r="E262" s="476"/>
      <c r="F262" s="614"/>
      <c r="G262" s="476"/>
      <c r="H262" s="614"/>
      <c r="I262" s="614"/>
      <c r="J262" s="614"/>
      <c r="K262" s="614"/>
      <c r="L262" s="614"/>
      <c r="M262" s="614"/>
      <c r="N262" s="614"/>
      <c r="O262" s="476"/>
      <c r="P262" s="476"/>
      <c r="Q262" s="476"/>
      <c r="R262" s="476"/>
    </row>
    <row r="263" spans="2:18" ht="13.15" customHeight="1" x14ac:dyDescent="0.2">
      <c r="B263" s="476"/>
      <c r="C263" s="476"/>
      <c r="D263" s="476"/>
      <c r="E263" s="476"/>
      <c r="F263" s="614"/>
      <c r="G263" s="476"/>
      <c r="H263" s="614"/>
      <c r="I263" s="614"/>
      <c r="J263" s="614"/>
      <c r="K263" s="614"/>
      <c r="L263" s="614"/>
      <c r="M263" s="614"/>
      <c r="N263" s="614"/>
      <c r="O263" s="476"/>
      <c r="P263" s="476"/>
      <c r="Q263" s="476"/>
      <c r="R263" s="476"/>
    </row>
    <row r="264" spans="2:18" ht="13.15" customHeight="1" x14ac:dyDescent="0.2">
      <c r="B264" s="476"/>
      <c r="C264" s="476"/>
      <c r="D264" s="476"/>
      <c r="E264" s="476"/>
      <c r="F264" s="614"/>
      <c r="G264" s="476"/>
      <c r="H264" s="614"/>
      <c r="I264" s="614"/>
      <c r="J264" s="614"/>
      <c r="K264" s="614"/>
      <c r="L264" s="614"/>
      <c r="M264" s="614"/>
      <c r="N264" s="614"/>
      <c r="O264" s="476"/>
      <c r="P264" s="476"/>
      <c r="Q264" s="476"/>
      <c r="R264" s="476"/>
    </row>
    <row r="265" spans="2:18" ht="13.15" customHeight="1" x14ac:dyDescent="0.2">
      <c r="B265" s="476"/>
      <c r="C265" s="476"/>
      <c r="D265" s="476"/>
      <c r="E265" s="476"/>
      <c r="F265" s="614"/>
      <c r="G265" s="476"/>
      <c r="H265" s="614"/>
      <c r="I265" s="614"/>
      <c r="J265" s="614"/>
      <c r="K265" s="614"/>
      <c r="L265" s="614"/>
      <c r="M265" s="614"/>
      <c r="N265" s="614"/>
      <c r="O265" s="476"/>
      <c r="P265" s="476"/>
      <c r="Q265" s="476"/>
      <c r="R265" s="476"/>
    </row>
    <row r="266" spans="2:18" ht="13.15" customHeight="1" x14ac:dyDescent="0.2">
      <c r="B266" s="476"/>
      <c r="C266" s="476"/>
      <c r="D266" s="476"/>
      <c r="E266" s="476"/>
      <c r="F266" s="614"/>
      <c r="G266" s="476"/>
      <c r="H266" s="614"/>
      <c r="I266" s="614"/>
      <c r="J266" s="614"/>
      <c r="K266" s="614"/>
      <c r="L266" s="614"/>
      <c r="M266" s="614"/>
      <c r="N266" s="614"/>
      <c r="O266" s="476"/>
      <c r="P266" s="476"/>
      <c r="Q266" s="476"/>
      <c r="R266" s="476"/>
    </row>
    <row r="267" spans="2:18" ht="13.15" customHeight="1" x14ac:dyDescent="0.2">
      <c r="B267" s="476"/>
      <c r="C267" s="476"/>
      <c r="D267" s="476"/>
      <c r="E267" s="476"/>
      <c r="F267" s="614"/>
      <c r="G267" s="476"/>
      <c r="H267" s="614"/>
      <c r="I267" s="614"/>
      <c r="J267" s="614"/>
      <c r="K267" s="614"/>
      <c r="L267" s="614"/>
      <c r="M267" s="614"/>
      <c r="N267" s="614"/>
      <c r="O267" s="476"/>
      <c r="P267" s="476"/>
      <c r="Q267" s="476"/>
      <c r="R267" s="476"/>
    </row>
    <row r="268" spans="2:18" ht="13.15" customHeight="1" x14ac:dyDescent="0.2">
      <c r="B268" s="476"/>
      <c r="C268" s="476"/>
      <c r="D268" s="476"/>
      <c r="E268" s="476"/>
      <c r="F268" s="614"/>
      <c r="G268" s="476"/>
      <c r="H268" s="614"/>
      <c r="I268" s="614"/>
      <c r="J268" s="614"/>
      <c r="K268" s="614"/>
      <c r="L268" s="614"/>
      <c r="M268" s="614"/>
      <c r="N268" s="614"/>
      <c r="O268" s="476"/>
      <c r="P268" s="476"/>
      <c r="Q268" s="476"/>
      <c r="R268" s="476"/>
    </row>
    <row r="269" spans="2:18" ht="13.15" customHeight="1" x14ac:dyDescent="0.2">
      <c r="B269" s="476"/>
      <c r="C269" s="476"/>
      <c r="D269" s="476"/>
      <c r="E269" s="476"/>
      <c r="F269" s="614"/>
      <c r="G269" s="476"/>
      <c r="H269" s="614"/>
      <c r="I269" s="614"/>
      <c r="J269" s="614"/>
      <c r="K269" s="614"/>
      <c r="L269" s="614"/>
      <c r="M269" s="614"/>
      <c r="N269" s="614"/>
      <c r="O269" s="476"/>
      <c r="P269" s="476"/>
      <c r="Q269" s="476"/>
      <c r="R269" s="476"/>
    </row>
    <row r="270" spans="2:18" ht="13.15" customHeight="1" x14ac:dyDescent="0.2">
      <c r="B270" s="476"/>
      <c r="C270" s="476"/>
      <c r="D270" s="476"/>
      <c r="E270" s="476"/>
      <c r="F270" s="614"/>
      <c r="G270" s="476"/>
      <c r="H270" s="614"/>
      <c r="I270" s="614"/>
      <c r="J270" s="614"/>
      <c r="K270" s="614"/>
      <c r="L270" s="614"/>
      <c r="M270" s="614"/>
      <c r="N270" s="614"/>
      <c r="O270" s="476"/>
      <c r="P270" s="476"/>
      <c r="Q270" s="476"/>
      <c r="R270" s="476"/>
    </row>
    <row r="271" spans="2:18" ht="13.15" customHeight="1" x14ac:dyDescent="0.2">
      <c r="B271" s="476"/>
      <c r="C271" s="476"/>
      <c r="D271" s="476"/>
      <c r="E271" s="476"/>
      <c r="F271" s="614"/>
      <c r="G271" s="476"/>
      <c r="H271" s="614"/>
      <c r="I271" s="614"/>
      <c r="J271" s="614"/>
      <c r="K271" s="614"/>
      <c r="L271" s="614"/>
      <c r="M271" s="614"/>
      <c r="N271" s="614"/>
      <c r="O271" s="476"/>
      <c r="P271" s="476"/>
      <c r="Q271" s="476"/>
      <c r="R271" s="476"/>
    </row>
    <row r="272" spans="2:18" ht="13.15" customHeight="1" x14ac:dyDescent="0.2">
      <c r="B272" s="476"/>
      <c r="C272" s="476"/>
      <c r="D272" s="476"/>
      <c r="E272" s="476"/>
      <c r="F272" s="614"/>
      <c r="G272" s="476"/>
      <c r="H272" s="614"/>
      <c r="I272" s="614"/>
      <c r="J272" s="614"/>
      <c r="K272" s="614"/>
      <c r="L272" s="614"/>
      <c r="M272" s="614"/>
      <c r="N272" s="614"/>
      <c r="O272" s="476"/>
      <c r="P272" s="476"/>
      <c r="Q272" s="476"/>
      <c r="R272" s="476"/>
    </row>
    <row r="273" spans="2:18" ht="13.15" customHeight="1" x14ac:dyDescent="0.2">
      <c r="B273" s="476"/>
      <c r="C273" s="476"/>
      <c r="D273" s="476"/>
      <c r="E273" s="476"/>
      <c r="F273" s="614"/>
      <c r="G273" s="476"/>
      <c r="H273" s="614"/>
      <c r="I273" s="614"/>
      <c r="J273" s="614"/>
      <c r="K273" s="614"/>
      <c r="L273" s="614"/>
      <c r="M273" s="614"/>
      <c r="N273" s="614"/>
      <c r="O273" s="476"/>
      <c r="P273" s="476"/>
      <c r="Q273" s="476"/>
      <c r="R273" s="476"/>
    </row>
    <row r="274" spans="2:18" ht="13.15" customHeight="1" x14ac:dyDescent="0.2">
      <c r="B274" s="476"/>
      <c r="C274" s="476"/>
      <c r="D274" s="476"/>
      <c r="E274" s="476"/>
      <c r="F274" s="614"/>
      <c r="G274" s="476"/>
      <c r="H274" s="614"/>
      <c r="I274" s="614"/>
      <c r="J274" s="614"/>
      <c r="K274" s="614"/>
      <c r="L274" s="614"/>
      <c r="M274" s="614"/>
      <c r="N274" s="614"/>
      <c r="O274" s="476"/>
      <c r="P274" s="476"/>
      <c r="Q274" s="476"/>
      <c r="R274" s="476"/>
    </row>
    <row r="275" spans="2:18" ht="13.15" customHeight="1" x14ac:dyDescent="0.2">
      <c r="B275" s="476"/>
      <c r="C275" s="476"/>
      <c r="D275" s="476"/>
      <c r="E275" s="476"/>
      <c r="F275" s="614"/>
      <c r="G275" s="476"/>
      <c r="H275" s="614"/>
      <c r="I275" s="614"/>
      <c r="J275" s="614"/>
      <c r="K275" s="614"/>
      <c r="L275" s="614"/>
      <c r="M275" s="614"/>
      <c r="N275" s="614"/>
      <c r="O275" s="476"/>
      <c r="P275" s="476"/>
      <c r="Q275" s="476"/>
      <c r="R275" s="476"/>
    </row>
    <row r="276" spans="2:18" ht="13.15" customHeight="1" x14ac:dyDescent="0.2">
      <c r="B276" s="476"/>
      <c r="C276" s="476"/>
      <c r="D276" s="476"/>
      <c r="E276" s="476"/>
      <c r="F276" s="614"/>
      <c r="G276" s="476"/>
      <c r="H276" s="614"/>
      <c r="I276" s="614"/>
      <c r="J276" s="614"/>
      <c r="K276" s="614"/>
      <c r="L276" s="614"/>
      <c r="M276" s="614"/>
      <c r="N276" s="614"/>
      <c r="O276" s="476"/>
      <c r="P276" s="476"/>
      <c r="Q276" s="476"/>
      <c r="R276" s="476"/>
    </row>
    <row r="277" spans="2:18" ht="13.15" customHeight="1" x14ac:dyDescent="0.2">
      <c r="B277" s="476"/>
      <c r="C277" s="476"/>
      <c r="D277" s="476"/>
      <c r="E277" s="476"/>
      <c r="F277" s="614"/>
      <c r="G277" s="476"/>
      <c r="H277" s="614"/>
      <c r="I277" s="614"/>
      <c r="J277" s="614"/>
      <c r="K277" s="614"/>
      <c r="L277" s="614"/>
      <c r="M277" s="614"/>
      <c r="N277" s="614"/>
      <c r="O277" s="476"/>
      <c r="P277" s="476"/>
      <c r="Q277" s="476"/>
      <c r="R277" s="476"/>
    </row>
    <row r="278" spans="2:18" ht="13.15" customHeight="1" x14ac:dyDescent="0.2">
      <c r="B278" s="476"/>
      <c r="C278" s="476"/>
      <c r="D278" s="476"/>
      <c r="E278" s="476"/>
      <c r="F278" s="614"/>
      <c r="G278" s="476"/>
      <c r="H278" s="614"/>
      <c r="I278" s="614"/>
      <c r="J278" s="614"/>
      <c r="K278" s="614"/>
      <c r="L278" s="614"/>
      <c r="M278" s="614"/>
      <c r="N278" s="614"/>
      <c r="O278" s="476"/>
      <c r="P278" s="476"/>
      <c r="Q278" s="476"/>
      <c r="R278" s="476"/>
    </row>
    <row r="279" spans="2:18" ht="13.15" customHeight="1" x14ac:dyDescent="0.2">
      <c r="B279" s="601"/>
      <c r="C279" s="601"/>
      <c r="D279" s="601"/>
      <c r="E279" s="601"/>
      <c r="F279" s="665"/>
      <c r="G279" s="601"/>
      <c r="H279" s="665"/>
      <c r="I279" s="665"/>
      <c r="J279" s="665"/>
      <c r="K279" s="665"/>
      <c r="L279" s="665"/>
      <c r="M279" s="665"/>
      <c r="N279" s="665"/>
      <c r="O279" s="601"/>
      <c r="P279" s="601"/>
    </row>
    <row r="280" spans="2:18" ht="13.15" customHeight="1" x14ac:dyDescent="0.2">
      <c r="B280" s="601"/>
      <c r="C280" s="601"/>
      <c r="D280" s="601"/>
      <c r="E280" s="601"/>
      <c r="F280" s="665"/>
      <c r="G280" s="601"/>
      <c r="H280" s="665"/>
      <c r="I280" s="665"/>
      <c r="J280" s="665"/>
      <c r="K280" s="665"/>
      <c r="L280" s="665"/>
      <c r="M280" s="665"/>
      <c r="N280" s="665"/>
      <c r="O280" s="601"/>
      <c r="P280" s="601"/>
    </row>
    <row r="281" spans="2:18" ht="13.15" customHeight="1" x14ac:dyDescent="0.2">
      <c r="B281" s="601"/>
      <c r="C281" s="601"/>
      <c r="D281" s="601"/>
      <c r="E281" s="601"/>
      <c r="F281" s="665"/>
      <c r="G281" s="601"/>
      <c r="H281" s="665"/>
      <c r="I281" s="665"/>
      <c r="J281" s="665"/>
      <c r="K281" s="665"/>
      <c r="L281" s="665"/>
      <c r="M281" s="665"/>
      <c r="N281" s="665"/>
      <c r="O281" s="601"/>
      <c r="P281" s="601"/>
    </row>
    <row r="282" spans="2:18" ht="13.15" customHeight="1" x14ac:dyDescent="0.2">
      <c r="B282" s="601"/>
      <c r="C282" s="601"/>
      <c r="D282" s="601"/>
      <c r="E282" s="601"/>
      <c r="F282" s="665"/>
      <c r="G282" s="601"/>
      <c r="H282" s="665"/>
      <c r="I282" s="665"/>
      <c r="J282" s="665"/>
      <c r="K282" s="665"/>
      <c r="L282" s="665"/>
      <c r="M282" s="665"/>
      <c r="N282" s="665"/>
      <c r="O282" s="601"/>
      <c r="P282" s="601"/>
    </row>
    <row r="283" spans="2:18" ht="13.15" customHeight="1" x14ac:dyDescent="0.2">
      <c r="B283" s="601"/>
      <c r="C283" s="601"/>
      <c r="D283" s="601"/>
      <c r="E283" s="601"/>
      <c r="F283" s="665"/>
      <c r="G283" s="601"/>
      <c r="H283" s="665"/>
      <c r="I283" s="665"/>
      <c r="J283" s="665"/>
      <c r="K283" s="665"/>
      <c r="L283" s="665"/>
      <c r="M283" s="665"/>
      <c r="N283" s="665"/>
      <c r="O283" s="601"/>
      <c r="P283" s="601"/>
    </row>
    <row r="284" spans="2:18" ht="13.15" customHeight="1" x14ac:dyDescent="0.2">
      <c r="B284" s="601"/>
      <c r="C284" s="601"/>
      <c r="D284" s="601"/>
      <c r="E284" s="601"/>
      <c r="F284" s="665"/>
      <c r="G284" s="601"/>
      <c r="H284" s="665"/>
      <c r="I284" s="665"/>
      <c r="J284" s="665"/>
      <c r="K284" s="665"/>
      <c r="L284" s="665"/>
      <c r="M284" s="665"/>
      <c r="N284" s="665"/>
      <c r="O284" s="601"/>
      <c r="P284" s="601"/>
    </row>
    <row r="285" spans="2:18" ht="13.15" customHeight="1" x14ac:dyDescent="0.2">
      <c r="B285" s="601"/>
      <c r="C285" s="601"/>
      <c r="D285" s="601"/>
      <c r="E285" s="601"/>
      <c r="F285" s="665"/>
      <c r="G285" s="601"/>
      <c r="H285" s="665"/>
      <c r="I285" s="665"/>
      <c r="J285" s="665"/>
      <c r="K285" s="665"/>
      <c r="L285" s="665"/>
      <c r="M285" s="665"/>
      <c r="N285" s="665"/>
      <c r="O285" s="601"/>
      <c r="P285" s="601"/>
    </row>
    <row r="286" spans="2:18" ht="13.15" customHeight="1" x14ac:dyDescent="0.2">
      <c r="B286" s="601"/>
      <c r="C286" s="601"/>
      <c r="D286" s="601"/>
      <c r="E286" s="601"/>
      <c r="F286" s="665"/>
      <c r="G286" s="601"/>
      <c r="H286" s="665"/>
      <c r="I286" s="665"/>
      <c r="J286" s="665"/>
      <c r="K286" s="665"/>
      <c r="L286" s="665"/>
      <c r="M286" s="665"/>
      <c r="N286" s="665"/>
      <c r="O286" s="601"/>
      <c r="P286" s="601"/>
    </row>
    <row r="287" spans="2:18" ht="13.15" customHeight="1" x14ac:dyDescent="0.2">
      <c r="B287" s="601"/>
      <c r="C287" s="601"/>
      <c r="D287" s="601"/>
      <c r="E287" s="601"/>
      <c r="F287" s="665"/>
      <c r="G287" s="601"/>
      <c r="H287" s="665"/>
      <c r="I287" s="665"/>
      <c r="J287" s="665"/>
      <c r="K287" s="665"/>
      <c r="L287" s="665"/>
      <c r="M287" s="665"/>
      <c r="N287" s="665"/>
      <c r="O287" s="601"/>
      <c r="P287" s="601"/>
    </row>
    <row r="288" spans="2:18" ht="13.15" customHeight="1" x14ac:dyDescent="0.2">
      <c r="B288" s="601"/>
      <c r="C288" s="601"/>
      <c r="D288" s="601"/>
      <c r="E288" s="601"/>
      <c r="F288" s="665"/>
      <c r="G288" s="601"/>
      <c r="H288" s="665"/>
      <c r="I288" s="665"/>
      <c r="J288" s="665"/>
      <c r="K288" s="665"/>
      <c r="L288" s="665"/>
      <c r="M288" s="665"/>
      <c r="N288" s="665"/>
      <c r="O288" s="601"/>
      <c r="P288" s="601"/>
    </row>
    <row r="289" spans="2:16" ht="13.15" customHeight="1" x14ac:dyDescent="0.2">
      <c r="B289" s="601"/>
      <c r="C289" s="601"/>
      <c r="D289" s="601"/>
      <c r="E289" s="601"/>
      <c r="F289" s="665"/>
      <c r="G289" s="601"/>
      <c r="H289" s="665"/>
      <c r="I289" s="665"/>
      <c r="J289" s="665"/>
      <c r="K289" s="665"/>
      <c r="L289" s="665"/>
      <c r="M289" s="665"/>
      <c r="N289" s="665"/>
      <c r="O289" s="601"/>
      <c r="P289" s="601"/>
    </row>
    <row r="290" spans="2:16" ht="13.15" customHeight="1" x14ac:dyDescent="0.2">
      <c r="B290" s="601"/>
      <c r="C290" s="601"/>
      <c r="D290" s="601"/>
      <c r="E290" s="601"/>
      <c r="F290" s="665"/>
      <c r="G290" s="601"/>
      <c r="H290" s="665"/>
      <c r="I290" s="665"/>
      <c r="J290" s="665"/>
      <c r="K290" s="665"/>
      <c r="L290" s="665"/>
      <c r="M290" s="665"/>
      <c r="N290" s="665"/>
      <c r="O290" s="601"/>
      <c r="P290" s="601"/>
    </row>
    <row r="291" spans="2:16" ht="13.15" customHeight="1" x14ac:dyDescent="0.2">
      <c r="B291" s="601"/>
      <c r="C291" s="601"/>
      <c r="D291" s="601"/>
      <c r="E291" s="601"/>
      <c r="F291" s="665"/>
      <c r="G291" s="601"/>
      <c r="H291" s="665"/>
      <c r="I291" s="665"/>
      <c r="J291" s="665"/>
      <c r="K291" s="665"/>
      <c r="L291" s="665"/>
      <c r="M291" s="665"/>
      <c r="N291" s="665"/>
      <c r="O291" s="601"/>
      <c r="P291" s="601"/>
    </row>
    <row r="292" spans="2:16" ht="13.15" customHeight="1" x14ac:dyDescent="0.2">
      <c r="B292" s="601"/>
      <c r="C292" s="601"/>
      <c r="D292" s="601"/>
      <c r="E292" s="601"/>
      <c r="F292" s="665"/>
      <c r="G292" s="601"/>
      <c r="H292" s="665"/>
      <c r="I292" s="665"/>
      <c r="J292" s="665"/>
      <c r="K292" s="665"/>
      <c r="L292" s="665"/>
      <c r="M292" s="665"/>
      <c r="N292" s="665"/>
      <c r="O292" s="601"/>
      <c r="P292" s="601"/>
    </row>
    <row r="293" spans="2:16" ht="13.15" customHeight="1" x14ac:dyDescent="0.2">
      <c r="B293" s="601"/>
      <c r="C293" s="601"/>
      <c r="D293" s="601"/>
      <c r="E293" s="601"/>
      <c r="F293" s="665"/>
      <c r="G293" s="601"/>
      <c r="H293" s="665"/>
      <c r="I293" s="665"/>
      <c r="J293" s="665"/>
      <c r="K293" s="665"/>
      <c r="L293" s="665"/>
      <c r="M293" s="665"/>
      <c r="N293" s="665"/>
      <c r="O293" s="601"/>
      <c r="P293" s="601"/>
    </row>
    <row r="294" spans="2:16" ht="13.15" customHeight="1" x14ac:dyDescent="0.2">
      <c r="B294" s="601"/>
      <c r="C294" s="601"/>
      <c r="D294" s="601"/>
      <c r="E294" s="601"/>
      <c r="F294" s="665"/>
      <c r="G294" s="601"/>
      <c r="H294" s="665"/>
      <c r="I294" s="665"/>
      <c r="J294" s="665"/>
      <c r="K294" s="665"/>
      <c r="L294" s="665"/>
      <c r="M294" s="665"/>
      <c r="N294" s="665"/>
      <c r="O294" s="601"/>
      <c r="P294" s="601"/>
    </row>
    <row r="295" spans="2:16" ht="13.15" customHeight="1" x14ac:dyDescent="0.2">
      <c r="B295" s="601"/>
      <c r="C295" s="601"/>
      <c r="D295" s="601"/>
      <c r="E295" s="601"/>
      <c r="F295" s="665"/>
      <c r="G295" s="601"/>
      <c r="H295" s="665"/>
      <c r="I295" s="665"/>
      <c r="J295" s="665"/>
      <c r="K295" s="665"/>
      <c r="L295" s="665"/>
      <c r="M295" s="665"/>
      <c r="N295" s="665"/>
      <c r="O295" s="601"/>
      <c r="P295" s="601"/>
    </row>
    <row r="296" spans="2:16" ht="13.15" customHeight="1" x14ac:dyDescent="0.2">
      <c r="B296" s="601"/>
      <c r="C296" s="601"/>
      <c r="D296" s="601"/>
      <c r="E296" s="601"/>
      <c r="F296" s="665"/>
      <c r="G296" s="601"/>
      <c r="H296" s="665"/>
      <c r="I296" s="665"/>
      <c r="J296" s="665"/>
      <c r="K296" s="665"/>
      <c r="L296" s="665"/>
      <c r="M296" s="665"/>
      <c r="N296" s="665"/>
      <c r="O296" s="601"/>
      <c r="P296" s="601"/>
    </row>
    <row r="297" spans="2:16" ht="13.15" customHeight="1" x14ac:dyDescent="0.2">
      <c r="B297" s="601"/>
      <c r="C297" s="601"/>
      <c r="D297" s="601"/>
      <c r="E297" s="601"/>
      <c r="F297" s="665"/>
      <c r="G297" s="601"/>
      <c r="H297" s="665"/>
      <c r="I297" s="665"/>
      <c r="J297" s="665"/>
      <c r="K297" s="665"/>
      <c r="L297" s="665"/>
      <c r="M297" s="665"/>
      <c r="N297" s="665"/>
      <c r="O297" s="601"/>
      <c r="P297" s="601"/>
    </row>
    <row r="298" spans="2:16" ht="13.15" customHeight="1" x14ac:dyDescent="0.2">
      <c r="B298" s="601"/>
      <c r="C298" s="601"/>
      <c r="D298" s="601"/>
      <c r="E298" s="601"/>
      <c r="F298" s="665"/>
      <c r="G298" s="601"/>
      <c r="H298" s="665"/>
      <c r="I298" s="665"/>
      <c r="J298" s="665"/>
      <c r="K298" s="665"/>
      <c r="L298" s="665"/>
      <c r="M298" s="665"/>
      <c r="N298" s="665"/>
      <c r="O298" s="601"/>
      <c r="P298" s="601"/>
    </row>
    <row r="299" spans="2:16" ht="13.15" customHeight="1" x14ac:dyDescent="0.2">
      <c r="B299" s="601"/>
      <c r="C299" s="601"/>
      <c r="D299" s="601"/>
      <c r="E299" s="601"/>
      <c r="F299" s="665"/>
      <c r="G299" s="601"/>
      <c r="H299" s="665"/>
      <c r="I299" s="665"/>
      <c r="J299" s="665"/>
      <c r="K299" s="665"/>
      <c r="L299" s="665"/>
      <c r="M299" s="665"/>
      <c r="N299" s="665"/>
      <c r="O299" s="601"/>
      <c r="P299" s="601"/>
    </row>
    <row r="300" spans="2:16" ht="13.15" customHeight="1" x14ac:dyDescent="0.2">
      <c r="B300" s="601"/>
      <c r="C300" s="601"/>
      <c r="D300" s="601"/>
      <c r="E300" s="601"/>
      <c r="F300" s="665"/>
      <c r="G300" s="601"/>
      <c r="H300" s="665"/>
      <c r="I300" s="665"/>
      <c r="J300" s="665"/>
      <c r="K300" s="665"/>
      <c r="L300" s="665"/>
      <c r="M300" s="665"/>
      <c r="N300" s="665"/>
      <c r="O300" s="601"/>
      <c r="P300" s="601"/>
    </row>
    <row r="301" spans="2:16" ht="13.15" customHeight="1" x14ac:dyDescent="0.2">
      <c r="B301" s="601"/>
      <c r="C301" s="601"/>
      <c r="D301" s="601"/>
      <c r="E301" s="601"/>
      <c r="F301" s="665"/>
      <c r="G301" s="601"/>
      <c r="H301" s="665"/>
      <c r="I301" s="665"/>
      <c r="J301" s="665"/>
      <c r="K301" s="665"/>
      <c r="L301" s="665"/>
      <c r="M301" s="665"/>
      <c r="N301" s="665"/>
      <c r="O301" s="601"/>
      <c r="P301" s="601"/>
    </row>
    <row r="302" spans="2:16" ht="13.15" customHeight="1" x14ac:dyDescent="0.2">
      <c r="B302" s="601"/>
      <c r="C302" s="601"/>
      <c r="D302" s="601"/>
      <c r="E302" s="601"/>
      <c r="F302" s="665"/>
      <c r="G302" s="601"/>
      <c r="H302" s="665"/>
      <c r="I302" s="665"/>
      <c r="J302" s="665"/>
      <c r="K302" s="665"/>
      <c r="L302" s="665"/>
      <c r="M302" s="665"/>
      <c r="N302" s="665"/>
      <c r="O302" s="601"/>
      <c r="P302" s="601"/>
    </row>
    <row r="303" spans="2:16" ht="13.15" customHeight="1" x14ac:dyDescent="0.2">
      <c r="B303" s="601"/>
      <c r="C303" s="601"/>
      <c r="D303" s="601"/>
      <c r="E303" s="601"/>
      <c r="F303" s="665"/>
      <c r="G303" s="601"/>
      <c r="H303" s="665"/>
      <c r="I303" s="665"/>
      <c r="J303" s="665"/>
      <c r="K303" s="665"/>
      <c r="L303" s="665"/>
      <c r="M303" s="665"/>
      <c r="N303" s="665"/>
      <c r="O303" s="601"/>
      <c r="P303" s="601"/>
    </row>
    <row r="304" spans="2:16" ht="13.15" customHeight="1" x14ac:dyDescent="0.2">
      <c r="B304" s="601"/>
      <c r="C304" s="601"/>
      <c r="D304" s="601"/>
      <c r="E304" s="601"/>
      <c r="F304" s="665"/>
      <c r="G304" s="601"/>
      <c r="H304" s="665"/>
      <c r="I304" s="665"/>
      <c r="J304" s="665"/>
      <c r="K304" s="665"/>
      <c r="L304" s="665"/>
      <c r="M304" s="665"/>
      <c r="N304" s="665"/>
      <c r="O304" s="601"/>
      <c r="P304" s="601"/>
    </row>
    <row r="305" spans="2:16" ht="13.15" customHeight="1" x14ac:dyDescent="0.2">
      <c r="B305" s="601"/>
      <c r="C305" s="601"/>
      <c r="D305" s="601"/>
      <c r="E305" s="601"/>
      <c r="F305" s="665"/>
      <c r="G305" s="601"/>
      <c r="H305" s="665"/>
      <c r="I305" s="665"/>
      <c r="J305" s="665"/>
      <c r="K305" s="665"/>
      <c r="L305" s="665"/>
      <c r="M305" s="665"/>
      <c r="N305" s="665"/>
      <c r="O305" s="601"/>
      <c r="P305" s="601"/>
    </row>
    <row r="306" spans="2:16" ht="13.15" customHeight="1" x14ac:dyDescent="0.2">
      <c r="B306" s="601"/>
      <c r="C306" s="601"/>
      <c r="D306" s="601"/>
      <c r="E306" s="601"/>
      <c r="F306" s="665"/>
      <c r="G306" s="601"/>
      <c r="H306" s="665"/>
      <c r="I306" s="665"/>
      <c r="J306" s="665"/>
      <c r="K306" s="665"/>
      <c r="L306" s="665"/>
      <c r="M306" s="665"/>
      <c r="N306" s="665"/>
      <c r="O306" s="601"/>
      <c r="P306" s="601"/>
    </row>
    <row r="307" spans="2:16" ht="13.15" customHeight="1" x14ac:dyDescent="0.2">
      <c r="B307" s="601"/>
      <c r="C307" s="601"/>
      <c r="D307" s="601"/>
      <c r="E307" s="601"/>
      <c r="F307" s="665"/>
      <c r="G307" s="601"/>
      <c r="H307" s="665"/>
      <c r="I307" s="665"/>
      <c r="J307" s="665"/>
      <c r="K307" s="665"/>
      <c r="L307" s="665"/>
      <c r="M307" s="665"/>
      <c r="N307" s="665"/>
      <c r="O307" s="601"/>
      <c r="P307" s="601"/>
    </row>
    <row r="308" spans="2:16" ht="13.15" customHeight="1" x14ac:dyDescent="0.2">
      <c r="B308" s="601"/>
      <c r="C308" s="601"/>
      <c r="D308" s="601"/>
      <c r="E308" s="601"/>
      <c r="F308" s="665"/>
      <c r="G308" s="601"/>
      <c r="H308" s="665"/>
      <c r="I308" s="665"/>
      <c r="J308" s="665"/>
      <c r="K308" s="665"/>
      <c r="L308" s="665"/>
      <c r="M308" s="665"/>
      <c r="N308" s="665"/>
      <c r="O308" s="601"/>
      <c r="P308" s="601"/>
    </row>
    <row r="309" spans="2:16" ht="13.15" customHeight="1" x14ac:dyDescent="0.2">
      <c r="B309" s="601"/>
      <c r="C309" s="601"/>
      <c r="D309" s="601"/>
      <c r="E309" s="601"/>
      <c r="F309" s="665"/>
      <c r="G309" s="601"/>
      <c r="H309" s="665"/>
      <c r="I309" s="665"/>
      <c r="J309" s="665"/>
      <c r="K309" s="665"/>
      <c r="L309" s="665"/>
      <c r="M309" s="665"/>
      <c r="N309" s="665"/>
      <c r="O309" s="601"/>
      <c r="P309" s="601"/>
    </row>
    <row r="310" spans="2:16" ht="13.15" customHeight="1" x14ac:dyDescent="0.2">
      <c r="B310" s="601"/>
      <c r="C310" s="601"/>
      <c r="D310" s="601"/>
      <c r="E310" s="601"/>
      <c r="F310" s="665"/>
      <c r="G310" s="601"/>
      <c r="H310" s="665"/>
      <c r="I310" s="665"/>
      <c r="J310" s="665"/>
      <c r="K310" s="665"/>
      <c r="L310" s="665"/>
      <c r="M310" s="665"/>
      <c r="N310" s="665"/>
      <c r="O310" s="601"/>
      <c r="P310" s="601"/>
    </row>
    <row r="311" spans="2:16" ht="13.15" customHeight="1" x14ac:dyDescent="0.2">
      <c r="B311" s="601"/>
      <c r="C311" s="601"/>
      <c r="D311" s="601"/>
      <c r="E311" s="601"/>
      <c r="F311" s="665"/>
      <c r="G311" s="601"/>
      <c r="H311" s="665"/>
      <c r="I311" s="665"/>
      <c r="J311" s="665"/>
      <c r="K311" s="665"/>
      <c r="L311" s="665"/>
      <c r="M311" s="665"/>
      <c r="N311" s="665"/>
      <c r="O311" s="601"/>
      <c r="P311" s="601"/>
    </row>
    <row r="312" spans="2:16" ht="13.15" customHeight="1" x14ac:dyDescent="0.2">
      <c r="B312" s="601"/>
      <c r="C312" s="601"/>
      <c r="D312" s="601"/>
      <c r="E312" s="601"/>
      <c r="F312" s="665"/>
      <c r="G312" s="601"/>
      <c r="H312" s="665"/>
      <c r="I312" s="665"/>
      <c r="J312" s="665"/>
      <c r="K312" s="665"/>
      <c r="L312" s="665"/>
      <c r="M312" s="665"/>
      <c r="N312" s="665"/>
      <c r="O312" s="601"/>
      <c r="P312" s="601"/>
    </row>
    <row r="313" spans="2:16" ht="13.15" customHeight="1" x14ac:dyDescent="0.2">
      <c r="B313" s="601"/>
      <c r="C313" s="601"/>
      <c r="D313" s="601"/>
      <c r="E313" s="601"/>
      <c r="F313" s="665"/>
      <c r="G313" s="601"/>
      <c r="H313" s="665"/>
      <c r="I313" s="665"/>
      <c r="J313" s="665"/>
      <c r="K313" s="665"/>
      <c r="L313" s="665"/>
      <c r="M313" s="665"/>
      <c r="N313" s="665"/>
      <c r="O313" s="601"/>
      <c r="P313" s="601"/>
    </row>
    <row r="314" spans="2:16" ht="13.15" customHeight="1" x14ac:dyDescent="0.2">
      <c r="B314" s="601"/>
      <c r="C314" s="601"/>
      <c r="D314" s="601"/>
      <c r="E314" s="601"/>
      <c r="F314" s="665"/>
      <c r="G314" s="601"/>
      <c r="H314" s="665"/>
      <c r="I314" s="665"/>
      <c r="J314" s="665"/>
      <c r="K314" s="665"/>
      <c r="L314" s="665"/>
      <c r="M314" s="665"/>
      <c r="N314" s="665"/>
      <c r="O314" s="601"/>
      <c r="P314" s="601"/>
    </row>
    <row r="315" spans="2:16" ht="13.15" customHeight="1" x14ac:dyDescent="0.2">
      <c r="B315" s="601"/>
      <c r="C315" s="601"/>
      <c r="D315" s="601"/>
      <c r="E315" s="601"/>
      <c r="F315" s="665"/>
      <c r="G315" s="601"/>
      <c r="H315" s="665"/>
      <c r="I315" s="665"/>
      <c r="J315" s="665"/>
      <c r="K315" s="665"/>
      <c r="L315" s="665"/>
      <c r="M315" s="665"/>
      <c r="N315" s="665"/>
      <c r="O315" s="601"/>
      <c r="P315" s="601"/>
    </row>
    <row r="316" spans="2:16" ht="13.15" customHeight="1" x14ac:dyDescent="0.2">
      <c r="B316" s="601"/>
      <c r="C316" s="601"/>
      <c r="D316" s="601"/>
      <c r="E316" s="601"/>
      <c r="F316" s="665"/>
      <c r="G316" s="601"/>
      <c r="H316" s="665"/>
      <c r="I316" s="665"/>
      <c r="J316" s="665"/>
      <c r="K316" s="665"/>
      <c r="L316" s="665"/>
      <c r="M316" s="665"/>
      <c r="N316" s="665"/>
      <c r="O316" s="601"/>
      <c r="P316" s="601"/>
    </row>
    <row r="317" spans="2:16" ht="13.15" customHeight="1" x14ac:dyDescent="0.2">
      <c r="B317" s="601"/>
      <c r="C317" s="601"/>
      <c r="D317" s="601"/>
      <c r="E317" s="601"/>
      <c r="F317" s="665"/>
      <c r="G317" s="601"/>
      <c r="H317" s="665"/>
      <c r="I317" s="665"/>
      <c r="J317" s="665"/>
      <c r="K317" s="665"/>
      <c r="L317" s="665"/>
      <c r="M317" s="665"/>
      <c r="N317" s="665"/>
      <c r="O317" s="601"/>
      <c r="P317" s="601"/>
    </row>
    <row r="318" spans="2:16" ht="13.15" customHeight="1" x14ac:dyDescent="0.2">
      <c r="B318" s="601"/>
      <c r="C318" s="601"/>
      <c r="D318" s="601"/>
      <c r="E318" s="601"/>
      <c r="F318" s="665"/>
      <c r="G318" s="601"/>
      <c r="H318" s="665"/>
      <c r="I318" s="665"/>
      <c r="J318" s="665"/>
      <c r="K318" s="665"/>
      <c r="L318" s="665"/>
      <c r="M318" s="665"/>
      <c r="N318" s="665"/>
      <c r="O318" s="601"/>
      <c r="P318" s="601"/>
    </row>
    <row r="319" spans="2:16" ht="13.15" customHeight="1" x14ac:dyDescent="0.2">
      <c r="B319" s="601"/>
      <c r="C319" s="601"/>
      <c r="D319" s="601"/>
      <c r="E319" s="601"/>
      <c r="F319" s="665"/>
      <c r="G319" s="601"/>
      <c r="H319" s="665"/>
      <c r="I319" s="665"/>
      <c r="J319" s="665"/>
      <c r="K319" s="665"/>
      <c r="L319" s="665"/>
      <c r="M319" s="665"/>
      <c r="N319" s="665"/>
      <c r="O319" s="601"/>
      <c r="P319" s="601"/>
    </row>
    <row r="320" spans="2:16" ht="13.15" customHeight="1" x14ac:dyDescent="0.2">
      <c r="B320" s="601"/>
      <c r="C320" s="601"/>
      <c r="D320" s="601"/>
      <c r="E320" s="601"/>
      <c r="F320" s="665"/>
      <c r="G320" s="601"/>
      <c r="H320" s="665"/>
      <c r="I320" s="665"/>
      <c r="J320" s="665"/>
      <c r="K320" s="665"/>
      <c r="L320" s="665"/>
      <c r="M320" s="665"/>
      <c r="N320" s="665"/>
      <c r="O320" s="601"/>
      <c r="P320" s="601"/>
    </row>
    <row r="321" spans="2:16" ht="13.15" customHeight="1" x14ac:dyDescent="0.2">
      <c r="B321" s="601"/>
      <c r="C321" s="601"/>
      <c r="D321" s="601"/>
      <c r="E321" s="601"/>
      <c r="F321" s="665"/>
      <c r="G321" s="601"/>
      <c r="H321" s="665"/>
      <c r="I321" s="665"/>
      <c r="J321" s="665"/>
      <c r="K321" s="665"/>
      <c r="L321" s="665"/>
      <c r="M321" s="665"/>
      <c r="N321" s="665"/>
      <c r="O321" s="601"/>
      <c r="P321" s="601"/>
    </row>
    <row r="322" spans="2:16" ht="13.15" customHeight="1" x14ac:dyDescent="0.2">
      <c r="B322" s="601"/>
      <c r="C322" s="601"/>
      <c r="D322" s="601"/>
      <c r="E322" s="601"/>
      <c r="F322" s="665"/>
      <c r="G322" s="601"/>
      <c r="H322" s="665"/>
      <c r="I322" s="665"/>
      <c r="J322" s="665"/>
      <c r="K322" s="665"/>
      <c r="L322" s="665"/>
      <c r="M322" s="665"/>
      <c r="N322" s="665"/>
      <c r="O322" s="601"/>
      <c r="P322" s="601"/>
    </row>
    <row r="323" spans="2:16" ht="13.15" customHeight="1" x14ac:dyDescent="0.2">
      <c r="B323" s="601"/>
      <c r="C323" s="601"/>
      <c r="D323" s="601"/>
      <c r="E323" s="601"/>
      <c r="F323" s="665"/>
      <c r="G323" s="601"/>
      <c r="H323" s="665"/>
      <c r="I323" s="665"/>
      <c r="J323" s="665"/>
      <c r="K323" s="665"/>
      <c r="L323" s="665"/>
      <c r="M323" s="665"/>
      <c r="N323" s="665"/>
      <c r="O323" s="601"/>
      <c r="P323" s="601"/>
    </row>
    <row r="324" spans="2:16" ht="13.15" customHeight="1" x14ac:dyDescent="0.2">
      <c r="B324" s="601"/>
      <c r="C324" s="601"/>
      <c r="D324" s="601"/>
      <c r="E324" s="601"/>
      <c r="F324" s="665"/>
      <c r="G324" s="601"/>
      <c r="H324" s="665"/>
      <c r="I324" s="665"/>
      <c r="J324" s="665"/>
      <c r="K324" s="665"/>
      <c r="L324" s="665"/>
      <c r="M324" s="665"/>
      <c r="N324" s="665"/>
      <c r="O324" s="601"/>
      <c r="P324" s="601"/>
    </row>
    <row r="325" spans="2:16" ht="13.15" customHeight="1" x14ac:dyDescent="0.2">
      <c r="B325" s="601"/>
      <c r="C325" s="601"/>
      <c r="D325" s="601"/>
      <c r="E325" s="601"/>
      <c r="F325" s="665"/>
      <c r="G325" s="601"/>
      <c r="H325" s="665"/>
      <c r="I325" s="665"/>
      <c r="J325" s="665"/>
      <c r="K325" s="665"/>
      <c r="L325" s="665"/>
      <c r="M325" s="665"/>
      <c r="N325" s="665"/>
      <c r="O325" s="601"/>
      <c r="P325" s="601"/>
    </row>
    <row r="326" spans="2:16" ht="13.15" customHeight="1" x14ac:dyDescent="0.2">
      <c r="B326" s="601"/>
      <c r="C326" s="601"/>
      <c r="D326" s="601"/>
      <c r="E326" s="601"/>
      <c r="F326" s="665"/>
      <c r="G326" s="601"/>
      <c r="H326" s="665"/>
      <c r="I326" s="665"/>
      <c r="J326" s="665"/>
      <c r="K326" s="665"/>
      <c r="L326" s="665"/>
      <c r="M326" s="665"/>
      <c r="N326" s="665"/>
      <c r="O326" s="601"/>
      <c r="P326" s="601"/>
    </row>
    <row r="327" spans="2:16" ht="13.15" customHeight="1" x14ac:dyDescent="0.2">
      <c r="B327" s="601"/>
      <c r="C327" s="601"/>
      <c r="D327" s="601"/>
      <c r="E327" s="601"/>
      <c r="F327" s="665"/>
      <c r="G327" s="601"/>
      <c r="H327" s="665"/>
      <c r="I327" s="665"/>
      <c r="J327" s="665"/>
      <c r="K327" s="665"/>
      <c r="L327" s="665"/>
      <c r="M327" s="665"/>
      <c r="N327" s="665"/>
      <c r="O327" s="601"/>
      <c r="P327" s="601"/>
    </row>
    <row r="328" spans="2:16" ht="13.15" customHeight="1" x14ac:dyDescent="0.2">
      <c r="B328" s="601"/>
      <c r="C328" s="601"/>
      <c r="D328" s="601"/>
      <c r="E328" s="601"/>
      <c r="F328" s="665"/>
      <c r="G328" s="601"/>
      <c r="H328" s="665"/>
      <c r="I328" s="665"/>
      <c r="J328" s="665"/>
      <c r="K328" s="665"/>
      <c r="L328" s="665"/>
      <c r="M328" s="665"/>
      <c r="N328" s="665"/>
      <c r="O328" s="601"/>
      <c r="P328" s="601"/>
    </row>
    <row r="329" spans="2:16" ht="13.15" customHeight="1" x14ac:dyDescent="0.2">
      <c r="B329" s="601"/>
      <c r="C329" s="601"/>
      <c r="D329" s="601"/>
      <c r="E329" s="601"/>
      <c r="F329" s="665"/>
      <c r="G329" s="601"/>
      <c r="H329" s="665"/>
      <c r="I329" s="665"/>
      <c r="J329" s="665"/>
      <c r="K329" s="665"/>
      <c r="L329" s="665"/>
      <c r="M329" s="665"/>
      <c r="N329" s="665"/>
      <c r="O329" s="601"/>
      <c r="P329" s="601"/>
    </row>
    <row r="330" spans="2:16" ht="13.15" customHeight="1" x14ac:dyDescent="0.2">
      <c r="B330" s="601"/>
      <c r="C330" s="601"/>
      <c r="D330" s="601"/>
      <c r="E330" s="601"/>
      <c r="F330" s="665"/>
      <c r="G330" s="601"/>
      <c r="H330" s="665"/>
      <c r="I330" s="665"/>
      <c r="J330" s="665"/>
      <c r="K330" s="665"/>
      <c r="L330" s="665"/>
      <c r="M330" s="665"/>
      <c r="N330" s="665"/>
      <c r="O330" s="601"/>
      <c r="P330" s="601"/>
    </row>
    <row r="331" spans="2:16" ht="13.15" customHeight="1" x14ac:dyDescent="0.2">
      <c r="B331" s="601"/>
      <c r="C331" s="601"/>
      <c r="D331" s="601"/>
      <c r="E331" s="601"/>
      <c r="F331" s="665"/>
      <c r="G331" s="601"/>
      <c r="H331" s="665"/>
      <c r="I331" s="665"/>
      <c r="J331" s="665"/>
      <c r="K331" s="665"/>
      <c r="L331" s="665"/>
      <c r="M331" s="665"/>
      <c r="N331" s="665"/>
      <c r="O331" s="601"/>
      <c r="P331" s="601"/>
    </row>
    <row r="332" spans="2:16" ht="13.15" customHeight="1" x14ac:dyDescent="0.2">
      <c r="B332" s="601"/>
      <c r="C332" s="601"/>
      <c r="D332" s="601"/>
      <c r="E332" s="601"/>
      <c r="F332" s="665"/>
      <c r="G332" s="601"/>
      <c r="H332" s="665"/>
      <c r="I332" s="665"/>
      <c r="J332" s="665"/>
      <c r="K332" s="665"/>
      <c r="L332" s="665"/>
      <c r="M332" s="665"/>
      <c r="N332" s="665"/>
      <c r="O332" s="601"/>
      <c r="P332" s="601"/>
    </row>
    <row r="333" spans="2:16" ht="13.15" customHeight="1" x14ac:dyDescent="0.2">
      <c r="B333" s="601"/>
      <c r="C333" s="601"/>
      <c r="D333" s="601"/>
      <c r="E333" s="601"/>
      <c r="F333" s="665"/>
      <c r="G333" s="601"/>
      <c r="H333" s="665"/>
      <c r="I333" s="665"/>
      <c r="J333" s="665"/>
      <c r="K333" s="665"/>
      <c r="L333" s="665"/>
      <c r="M333" s="665"/>
      <c r="N333" s="665"/>
      <c r="O333" s="601"/>
      <c r="P333" s="601"/>
    </row>
    <row r="334" spans="2:16" ht="13.15" customHeight="1" x14ac:dyDescent="0.2">
      <c r="B334" s="601"/>
      <c r="C334" s="601"/>
      <c r="D334" s="601"/>
      <c r="E334" s="601"/>
      <c r="F334" s="665"/>
      <c r="G334" s="601"/>
      <c r="H334" s="665"/>
      <c r="I334" s="665"/>
      <c r="J334" s="665"/>
      <c r="K334" s="665"/>
      <c r="L334" s="665"/>
      <c r="M334" s="665"/>
      <c r="N334" s="665"/>
      <c r="O334" s="601"/>
      <c r="P334" s="601"/>
    </row>
    <row r="335" spans="2:16" ht="13.15" customHeight="1" x14ac:dyDescent="0.2">
      <c r="B335" s="601"/>
      <c r="C335" s="601"/>
      <c r="D335" s="601"/>
      <c r="E335" s="601"/>
      <c r="F335" s="665"/>
      <c r="G335" s="601"/>
      <c r="H335" s="665"/>
      <c r="I335" s="665"/>
      <c r="J335" s="665"/>
      <c r="K335" s="665"/>
      <c r="L335" s="665"/>
      <c r="M335" s="665"/>
      <c r="N335" s="665"/>
      <c r="O335" s="601"/>
      <c r="P335" s="601"/>
    </row>
    <row r="336" spans="2:16" ht="13.15" customHeight="1" x14ac:dyDescent="0.2">
      <c r="B336" s="601"/>
      <c r="C336" s="601"/>
      <c r="D336" s="601"/>
      <c r="E336" s="601"/>
      <c r="F336" s="665"/>
      <c r="G336" s="601"/>
      <c r="H336" s="665"/>
      <c r="I336" s="665"/>
      <c r="J336" s="665"/>
      <c r="K336" s="665"/>
      <c r="L336" s="665"/>
      <c r="M336" s="665"/>
      <c r="N336" s="665"/>
      <c r="O336" s="601"/>
      <c r="P336" s="601"/>
    </row>
    <row r="337" spans="2:16" ht="13.15" customHeight="1" x14ac:dyDescent="0.2">
      <c r="B337" s="601"/>
      <c r="C337" s="601"/>
      <c r="D337" s="601"/>
      <c r="E337" s="601"/>
      <c r="F337" s="665"/>
      <c r="G337" s="601"/>
      <c r="H337" s="665"/>
      <c r="I337" s="665"/>
      <c r="J337" s="665"/>
      <c r="K337" s="665"/>
      <c r="L337" s="665"/>
      <c r="M337" s="665"/>
      <c r="N337" s="665"/>
      <c r="O337" s="601"/>
      <c r="P337" s="601"/>
    </row>
    <row r="338" spans="2:16" ht="13.15" customHeight="1" x14ac:dyDescent="0.2">
      <c r="B338" s="601"/>
      <c r="C338" s="601"/>
      <c r="D338" s="601"/>
      <c r="E338" s="601"/>
      <c r="F338" s="665"/>
      <c r="G338" s="601"/>
      <c r="H338" s="665"/>
      <c r="I338" s="665"/>
      <c r="J338" s="665"/>
      <c r="K338" s="665"/>
      <c r="L338" s="665"/>
      <c r="M338" s="665"/>
      <c r="N338" s="665"/>
      <c r="O338" s="601"/>
      <c r="P338" s="601"/>
    </row>
    <row r="339" spans="2:16" ht="13.15" customHeight="1" x14ac:dyDescent="0.2">
      <c r="B339" s="601"/>
      <c r="C339" s="601"/>
      <c r="D339" s="601"/>
      <c r="E339" s="601"/>
      <c r="F339" s="665"/>
      <c r="G339" s="601"/>
      <c r="H339" s="665"/>
      <c r="I339" s="665"/>
      <c r="J339" s="665"/>
      <c r="K339" s="665"/>
      <c r="L339" s="665"/>
      <c r="M339" s="665"/>
      <c r="N339" s="665"/>
      <c r="O339" s="601"/>
      <c r="P339" s="601"/>
    </row>
    <row r="340" spans="2:16" ht="13.15" customHeight="1" x14ac:dyDescent="0.2">
      <c r="B340" s="601"/>
      <c r="C340" s="601"/>
      <c r="D340" s="601"/>
      <c r="E340" s="601"/>
      <c r="F340" s="665"/>
      <c r="G340" s="601"/>
      <c r="H340" s="665"/>
      <c r="I340" s="665"/>
      <c r="J340" s="665"/>
      <c r="K340" s="665"/>
      <c r="L340" s="665"/>
      <c r="M340" s="665"/>
      <c r="N340" s="665"/>
      <c r="O340" s="601"/>
      <c r="P340" s="601"/>
    </row>
    <row r="341" spans="2:16" ht="13.15" customHeight="1" x14ac:dyDescent="0.2">
      <c r="B341" s="601"/>
      <c r="C341" s="601"/>
      <c r="D341" s="601"/>
      <c r="E341" s="601"/>
      <c r="F341" s="665"/>
      <c r="G341" s="601"/>
      <c r="H341" s="665"/>
      <c r="I341" s="665"/>
      <c r="J341" s="665"/>
      <c r="K341" s="665"/>
      <c r="L341" s="665"/>
      <c r="M341" s="665"/>
      <c r="N341" s="665"/>
      <c r="O341" s="601"/>
      <c r="P341" s="601"/>
    </row>
    <row r="342" spans="2:16" ht="13.15" customHeight="1" x14ac:dyDescent="0.2">
      <c r="B342" s="601"/>
      <c r="C342" s="601"/>
      <c r="D342" s="601"/>
      <c r="E342" s="601"/>
      <c r="F342" s="665"/>
      <c r="G342" s="601"/>
      <c r="H342" s="665"/>
      <c r="I342" s="665"/>
      <c r="J342" s="665"/>
      <c r="K342" s="665"/>
      <c r="L342" s="665"/>
      <c r="M342" s="665"/>
      <c r="N342" s="665"/>
      <c r="O342" s="601"/>
      <c r="P342" s="601"/>
    </row>
    <row r="343" spans="2:16" ht="13.15" customHeight="1" x14ac:dyDescent="0.2">
      <c r="B343" s="601"/>
      <c r="C343" s="601"/>
      <c r="D343" s="601"/>
      <c r="E343" s="601"/>
      <c r="F343" s="665"/>
      <c r="G343" s="601"/>
      <c r="H343" s="665"/>
      <c r="I343" s="665"/>
      <c r="J343" s="665"/>
      <c r="K343" s="665"/>
      <c r="L343" s="665"/>
      <c r="M343" s="665"/>
      <c r="N343" s="665"/>
      <c r="O343" s="601"/>
      <c r="P343" s="601"/>
    </row>
    <row r="344" spans="2:16" ht="13.15" customHeight="1" x14ac:dyDescent="0.2">
      <c r="B344" s="601"/>
      <c r="C344" s="601"/>
      <c r="D344" s="601"/>
      <c r="E344" s="601"/>
      <c r="F344" s="665"/>
      <c r="G344" s="601"/>
      <c r="H344" s="665"/>
      <c r="I344" s="665"/>
      <c r="J344" s="665"/>
      <c r="K344" s="665"/>
      <c r="L344" s="665"/>
      <c r="M344" s="665"/>
      <c r="N344" s="665"/>
      <c r="O344" s="601"/>
      <c r="P344" s="601"/>
    </row>
    <row r="345" spans="2:16" ht="13.15" customHeight="1" x14ac:dyDescent="0.2">
      <c r="B345" s="601"/>
      <c r="C345" s="601"/>
      <c r="D345" s="601"/>
      <c r="E345" s="601"/>
      <c r="F345" s="665"/>
      <c r="G345" s="601"/>
      <c r="H345" s="665"/>
      <c r="I345" s="665"/>
      <c r="J345" s="665"/>
      <c r="K345" s="665"/>
      <c r="L345" s="665"/>
      <c r="M345" s="665"/>
      <c r="N345" s="665"/>
      <c r="O345" s="601"/>
      <c r="P345" s="601"/>
    </row>
    <row r="346" spans="2:16" ht="13.15" customHeight="1" x14ac:dyDescent="0.2">
      <c r="B346" s="601"/>
      <c r="C346" s="601"/>
      <c r="D346" s="601"/>
      <c r="E346" s="601"/>
      <c r="F346" s="665"/>
      <c r="G346" s="601"/>
      <c r="H346" s="665"/>
      <c r="I346" s="665"/>
      <c r="J346" s="665"/>
      <c r="K346" s="665"/>
      <c r="L346" s="665"/>
      <c r="M346" s="665"/>
      <c r="N346" s="665"/>
      <c r="O346" s="601"/>
      <c r="P346" s="601"/>
    </row>
    <row r="347" spans="2:16" ht="13.15" customHeight="1" x14ac:dyDescent="0.2">
      <c r="B347" s="601"/>
      <c r="C347" s="601"/>
      <c r="D347" s="601"/>
      <c r="E347" s="601"/>
      <c r="F347" s="665"/>
      <c r="G347" s="601"/>
      <c r="H347" s="665"/>
      <c r="I347" s="665"/>
      <c r="J347" s="665"/>
      <c r="K347" s="665"/>
      <c r="L347" s="665"/>
      <c r="M347" s="665"/>
      <c r="N347" s="665"/>
      <c r="O347" s="601"/>
      <c r="P347" s="601"/>
    </row>
    <row r="348" spans="2:16" ht="13.15" customHeight="1" x14ac:dyDescent="0.2">
      <c r="B348" s="601"/>
      <c r="C348" s="601"/>
      <c r="D348" s="601"/>
      <c r="E348" s="601"/>
      <c r="F348" s="665"/>
      <c r="G348" s="601"/>
      <c r="H348" s="665"/>
      <c r="I348" s="665"/>
      <c r="J348" s="665"/>
      <c r="K348" s="665"/>
      <c r="L348" s="665"/>
      <c r="M348" s="665"/>
      <c r="N348" s="665"/>
      <c r="O348" s="601"/>
      <c r="P348" s="601"/>
    </row>
    <row r="349" spans="2:16" ht="13.15" customHeight="1" x14ac:dyDescent="0.2">
      <c r="B349" s="601"/>
      <c r="C349" s="601"/>
      <c r="D349" s="601"/>
      <c r="E349" s="601"/>
      <c r="F349" s="665"/>
      <c r="G349" s="601"/>
      <c r="H349" s="665"/>
      <c r="I349" s="665"/>
      <c r="J349" s="665"/>
      <c r="K349" s="665"/>
      <c r="L349" s="665"/>
      <c r="M349" s="665"/>
      <c r="N349" s="665"/>
      <c r="O349" s="601"/>
      <c r="P349" s="601"/>
    </row>
    <row r="350" spans="2:16" ht="13.15" customHeight="1" x14ac:dyDescent="0.2">
      <c r="B350" s="601"/>
      <c r="C350" s="601"/>
      <c r="D350" s="601"/>
      <c r="E350" s="601"/>
      <c r="F350" s="665"/>
      <c r="G350" s="601"/>
      <c r="H350" s="665"/>
      <c r="I350" s="665"/>
      <c r="J350" s="665"/>
      <c r="K350" s="665"/>
      <c r="L350" s="665"/>
      <c r="M350" s="665"/>
      <c r="N350" s="665"/>
      <c r="O350" s="601"/>
      <c r="P350" s="601"/>
    </row>
    <row r="351" spans="2:16" ht="13.15" customHeight="1" x14ac:dyDescent="0.2">
      <c r="B351" s="601"/>
      <c r="C351" s="601"/>
      <c r="D351" s="601"/>
      <c r="E351" s="601"/>
      <c r="F351" s="665"/>
      <c r="G351" s="601"/>
      <c r="H351" s="665"/>
      <c r="I351" s="665"/>
      <c r="J351" s="665"/>
      <c r="K351" s="665"/>
      <c r="L351" s="665"/>
      <c r="M351" s="665"/>
      <c r="N351" s="665"/>
      <c r="O351" s="601"/>
      <c r="P351" s="601"/>
    </row>
    <row r="352" spans="2:16" ht="13.15" customHeight="1" x14ac:dyDescent="0.2">
      <c r="B352" s="601"/>
      <c r="C352" s="601"/>
      <c r="D352" s="601"/>
      <c r="E352" s="601"/>
      <c r="F352" s="665"/>
      <c r="G352" s="601"/>
      <c r="H352" s="665"/>
      <c r="I352" s="665"/>
      <c r="J352" s="665"/>
      <c r="K352" s="665"/>
      <c r="L352" s="665"/>
      <c r="M352" s="665"/>
      <c r="N352" s="665"/>
      <c r="O352" s="601"/>
      <c r="P352" s="601"/>
    </row>
    <row r="353" spans="2:16" ht="13.15" customHeight="1" x14ac:dyDescent="0.2">
      <c r="B353" s="601"/>
      <c r="C353" s="601"/>
      <c r="D353" s="601"/>
      <c r="E353" s="601"/>
      <c r="F353" s="665"/>
      <c r="G353" s="601"/>
      <c r="H353" s="665"/>
      <c r="I353" s="665"/>
      <c r="J353" s="665"/>
      <c r="K353" s="665"/>
      <c r="L353" s="665"/>
      <c r="M353" s="665"/>
      <c r="N353" s="665"/>
      <c r="O353" s="601"/>
      <c r="P353" s="601"/>
    </row>
    <row r="354" spans="2:16" ht="13.15" customHeight="1" x14ac:dyDescent="0.2">
      <c r="B354" s="601"/>
      <c r="C354" s="601"/>
      <c r="D354" s="601"/>
      <c r="E354" s="601"/>
      <c r="F354" s="665"/>
      <c r="G354" s="601"/>
      <c r="H354" s="665"/>
      <c r="I354" s="665"/>
      <c r="J354" s="665"/>
      <c r="K354" s="665"/>
      <c r="L354" s="665"/>
      <c r="M354" s="665"/>
      <c r="N354" s="665"/>
      <c r="O354" s="601"/>
      <c r="P354" s="601"/>
    </row>
    <row r="355" spans="2:16" ht="13.15" customHeight="1" x14ac:dyDescent="0.2">
      <c r="B355" s="601"/>
      <c r="C355" s="601"/>
      <c r="D355" s="601"/>
      <c r="E355" s="601"/>
      <c r="F355" s="665"/>
      <c r="G355" s="601"/>
      <c r="H355" s="665"/>
      <c r="I355" s="665"/>
      <c r="J355" s="665"/>
      <c r="K355" s="665"/>
      <c r="L355" s="665"/>
      <c r="M355" s="665"/>
      <c r="N355" s="665"/>
      <c r="O355" s="601"/>
      <c r="P355" s="601"/>
    </row>
    <row r="356" spans="2:16" ht="13.15" customHeight="1" x14ac:dyDescent="0.2">
      <c r="B356" s="601"/>
      <c r="C356" s="601"/>
      <c r="D356" s="601"/>
      <c r="E356" s="601"/>
      <c r="F356" s="665"/>
      <c r="G356" s="601"/>
      <c r="H356" s="665"/>
      <c r="I356" s="665"/>
      <c r="J356" s="665"/>
      <c r="K356" s="665"/>
      <c r="L356" s="665"/>
      <c r="M356" s="665"/>
      <c r="N356" s="665"/>
      <c r="O356" s="601"/>
      <c r="P356" s="601"/>
    </row>
    <row r="357" spans="2:16" ht="13.15" customHeight="1" x14ac:dyDescent="0.2">
      <c r="B357" s="601"/>
      <c r="C357" s="601"/>
      <c r="D357" s="601"/>
      <c r="E357" s="601"/>
      <c r="F357" s="665"/>
      <c r="G357" s="601"/>
      <c r="H357" s="665"/>
      <c r="I357" s="665"/>
      <c r="J357" s="665"/>
      <c r="K357" s="665"/>
      <c r="L357" s="665"/>
      <c r="M357" s="665"/>
      <c r="N357" s="665"/>
      <c r="O357" s="601"/>
      <c r="P357" s="601"/>
    </row>
    <row r="358" spans="2:16" ht="13.15" customHeight="1" x14ac:dyDescent="0.2">
      <c r="B358" s="601"/>
      <c r="C358" s="601"/>
      <c r="D358" s="601"/>
      <c r="E358" s="601"/>
      <c r="F358" s="665"/>
      <c r="G358" s="601"/>
      <c r="H358" s="665"/>
      <c r="I358" s="665"/>
      <c r="J358" s="665"/>
      <c r="K358" s="665"/>
      <c r="L358" s="665"/>
      <c r="M358" s="665"/>
      <c r="N358" s="665"/>
      <c r="O358" s="601"/>
      <c r="P358" s="601"/>
    </row>
    <row r="359" spans="2:16" ht="13.15" customHeight="1" x14ac:dyDescent="0.2">
      <c r="B359" s="601"/>
      <c r="C359" s="601"/>
      <c r="D359" s="601"/>
      <c r="E359" s="601"/>
      <c r="F359" s="665"/>
      <c r="G359" s="601"/>
      <c r="H359" s="665"/>
      <c r="I359" s="665"/>
      <c r="J359" s="665"/>
      <c r="K359" s="665"/>
      <c r="L359" s="665"/>
      <c r="M359" s="665"/>
      <c r="N359" s="665"/>
      <c r="O359" s="601"/>
      <c r="P359" s="601"/>
    </row>
    <row r="360" spans="2:16" ht="13.15" customHeight="1" x14ac:dyDescent="0.2">
      <c r="B360" s="601"/>
      <c r="C360" s="601"/>
      <c r="D360" s="601"/>
      <c r="E360" s="601"/>
      <c r="F360" s="665"/>
      <c r="G360" s="601"/>
      <c r="H360" s="665"/>
      <c r="I360" s="665"/>
      <c r="J360" s="665"/>
      <c r="K360" s="665"/>
      <c r="L360" s="665"/>
      <c r="M360" s="665"/>
      <c r="N360" s="665"/>
      <c r="O360" s="601"/>
      <c r="P360" s="601"/>
    </row>
    <row r="361" spans="2:16" ht="13.15" customHeight="1" x14ac:dyDescent="0.2">
      <c r="B361" s="601"/>
      <c r="C361" s="601"/>
      <c r="D361" s="601"/>
      <c r="E361" s="601"/>
      <c r="F361" s="665"/>
      <c r="G361" s="601"/>
      <c r="H361" s="665"/>
      <c r="I361" s="665"/>
      <c r="J361" s="665"/>
      <c r="K361" s="665"/>
      <c r="L361" s="665"/>
      <c r="M361" s="665"/>
      <c r="N361" s="665"/>
      <c r="O361" s="601"/>
      <c r="P361" s="601"/>
    </row>
    <row r="362" spans="2:16" ht="13.15" customHeight="1" x14ac:dyDescent="0.2">
      <c r="B362" s="601"/>
      <c r="C362" s="601"/>
      <c r="D362" s="601"/>
      <c r="E362" s="601"/>
      <c r="F362" s="665"/>
      <c r="G362" s="601"/>
      <c r="H362" s="665"/>
      <c r="I362" s="665"/>
      <c r="J362" s="665"/>
      <c r="K362" s="665"/>
      <c r="L362" s="665"/>
      <c r="M362" s="665"/>
      <c r="N362" s="665"/>
      <c r="O362" s="601"/>
      <c r="P362" s="601"/>
    </row>
    <row r="363" spans="2:16" ht="13.15" customHeight="1" x14ac:dyDescent="0.2">
      <c r="B363" s="601"/>
      <c r="C363" s="601"/>
      <c r="D363" s="601"/>
      <c r="E363" s="601"/>
      <c r="F363" s="665"/>
      <c r="G363" s="601"/>
      <c r="H363" s="665"/>
      <c r="I363" s="665"/>
      <c r="J363" s="665"/>
      <c r="K363" s="665"/>
      <c r="L363" s="665"/>
      <c r="M363" s="665"/>
      <c r="N363" s="665"/>
      <c r="O363" s="601"/>
      <c r="P363" s="601"/>
    </row>
    <row r="364" spans="2:16" ht="13.15" customHeight="1" x14ac:dyDescent="0.2">
      <c r="B364" s="601"/>
      <c r="C364" s="601"/>
      <c r="D364" s="601"/>
      <c r="E364" s="601"/>
      <c r="F364" s="665"/>
      <c r="G364" s="601"/>
      <c r="H364" s="665"/>
      <c r="I364" s="665"/>
      <c r="J364" s="665"/>
      <c r="K364" s="665"/>
      <c r="L364" s="665"/>
      <c r="M364" s="665"/>
      <c r="N364" s="665"/>
      <c r="O364" s="601"/>
      <c r="P364" s="601"/>
    </row>
    <row r="365" spans="2:16" ht="13.15" customHeight="1" x14ac:dyDescent="0.2">
      <c r="B365" s="601"/>
      <c r="C365" s="601"/>
      <c r="D365" s="601"/>
      <c r="E365" s="601"/>
      <c r="F365" s="665"/>
      <c r="G365" s="601"/>
      <c r="H365" s="665"/>
      <c r="I365" s="665"/>
      <c r="J365" s="665"/>
      <c r="K365" s="665"/>
      <c r="L365" s="665"/>
      <c r="M365" s="665"/>
      <c r="N365" s="665"/>
      <c r="O365" s="601"/>
      <c r="P365" s="601"/>
    </row>
    <row r="366" spans="2:16" ht="13.15" customHeight="1" x14ac:dyDescent="0.2">
      <c r="B366" s="601"/>
      <c r="C366" s="601"/>
      <c r="D366" s="601"/>
      <c r="E366" s="601"/>
      <c r="F366" s="665"/>
      <c r="G366" s="601"/>
      <c r="H366" s="665"/>
      <c r="I366" s="665"/>
      <c r="J366" s="665"/>
      <c r="K366" s="665"/>
      <c r="L366" s="665"/>
      <c r="M366" s="665"/>
      <c r="N366" s="665"/>
      <c r="O366" s="601"/>
      <c r="P366" s="601"/>
    </row>
    <row r="367" spans="2:16" ht="13.15" customHeight="1" x14ac:dyDescent="0.2">
      <c r="B367" s="601"/>
      <c r="C367" s="601"/>
      <c r="D367" s="601"/>
      <c r="E367" s="601"/>
      <c r="F367" s="665"/>
      <c r="G367" s="601"/>
      <c r="H367" s="665"/>
      <c r="I367" s="665"/>
      <c r="J367" s="665"/>
      <c r="K367" s="665"/>
      <c r="L367" s="665"/>
      <c r="M367" s="665"/>
      <c r="N367" s="665"/>
      <c r="O367" s="601"/>
      <c r="P367" s="601"/>
    </row>
    <row r="368" spans="2:16" ht="13.15" customHeight="1" x14ac:dyDescent="0.2">
      <c r="B368" s="601"/>
      <c r="C368" s="601"/>
      <c r="D368" s="601"/>
      <c r="E368" s="601"/>
      <c r="F368" s="665"/>
      <c r="G368" s="601"/>
      <c r="H368" s="665"/>
      <c r="I368" s="665"/>
      <c r="J368" s="665"/>
      <c r="K368" s="665"/>
      <c r="L368" s="665"/>
      <c r="M368" s="665"/>
      <c r="N368" s="665"/>
      <c r="O368" s="601"/>
      <c r="P368" s="601"/>
    </row>
    <row r="369" spans="2:16" ht="13.15" customHeight="1" x14ac:dyDescent="0.2">
      <c r="B369" s="601"/>
      <c r="C369" s="601"/>
      <c r="D369" s="601"/>
      <c r="E369" s="601"/>
      <c r="F369" s="665"/>
      <c r="G369" s="601"/>
      <c r="H369" s="665"/>
      <c r="I369" s="665"/>
      <c r="J369" s="665"/>
      <c r="K369" s="665"/>
      <c r="L369" s="665"/>
      <c r="M369" s="665"/>
      <c r="N369" s="665"/>
      <c r="O369" s="601"/>
      <c r="P369" s="601"/>
    </row>
    <row r="370" spans="2:16" ht="13.15" customHeight="1" x14ac:dyDescent="0.2">
      <c r="B370" s="601"/>
      <c r="C370" s="601"/>
      <c r="D370" s="601"/>
      <c r="E370" s="601"/>
      <c r="F370" s="665"/>
      <c r="G370" s="601"/>
      <c r="H370" s="665"/>
      <c r="I370" s="665"/>
      <c r="J370" s="665"/>
      <c r="K370" s="665"/>
      <c r="L370" s="665"/>
      <c r="M370" s="665"/>
      <c r="N370" s="665"/>
      <c r="O370" s="601"/>
      <c r="P370" s="601"/>
    </row>
    <row r="371" spans="2:16" ht="13.15" customHeight="1" x14ac:dyDescent="0.2">
      <c r="B371" s="601"/>
      <c r="C371" s="601"/>
      <c r="D371" s="601"/>
      <c r="E371" s="601"/>
      <c r="F371" s="665"/>
      <c r="G371" s="601"/>
      <c r="H371" s="665"/>
      <c r="I371" s="665"/>
      <c r="J371" s="665"/>
      <c r="K371" s="665"/>
      <c r="L371" s="665"/>
      <c r="M371" s="665"/>
      <c r="N371" s="665"/>
      <c r="O371" s="601"/>
      <c r="P371" s="601"/>
    </row>
    <row r="372" spans="2:16" ht="13.15" customHeight="1" x14ac:dyDescent="0.2">
      <c r="B372" s="601"/>
      <c r="C372" s="601"/>
      <c r="D372" s="601"/>
      <c r="E372" s="601"/>
      <c r="F372" s="665"/>
      <c r="G372" s="601"/>
      <c r="H372" s="665"/>
      <c r="I372" s="665"/>
      <c r="J372" s="665"/>
      <c r="K372" s="665"/>
      <c r="L372" s="665"/>
      <c r="M372" s="665"/>
      <c r="N372" s="665"/>
      <c r="O372" s="601"/>
      <c r="P372" s="601"/>
    </row>
    <row r="373" spans="2:16" ht="13.15" customHeight="1" x14ac:dyDescent="0.2">
      <c r="B373" s="601"/>
      <c r="C373" s="601"/>
      <c r="D373" s="601"/>
      <c r="E373" s="601"/>
      <c r="F373" s="665"/>
      <c r="G373" s="601"/>
      <c r="H373" s="665"/>
      <c r="I373" s="665"/>
      <c r="J373" s="665"/>
      <c r="K373" s="665"/>
      <c r="L373" s="665"/>
      <c r="M373" s="665"/>
      <c r="N373" s="665"/>
      <c r="O373" s="601"/>
      <c r="P373" s="601"/>
    </row>
    <row r="374" spans="2:16" ht="13.15" customHeight="1" x14ac:dyDescent="0.2">
      <c r="B374" s="601"/>
      <c r="C374" s="601"/>
      <c r="D374" s="601"/>
      <c r="E374" s="601"/>
      <c r="F374" s="665"/>
      <c r="G374" s="601"/>
      <c r="H374" s="665"/>
      <c r="I374" s="665"/>
      <c r="J374" s="665"/>
      <c r="K374" s="665"/>
      <c r="L374" s="665"/>
      <c r="M374" s="665"/>
      <c r="N374" s="665"/>
      <c r="O374" s="601"/>
      <c r="P374" s="601"/>
    </row>
    <row r="375" spans="2:16" ht="13.15" customHeight="1" x14ac:dyDescent="0.2">
      <c r="B375" s="601"/>
      <c r="C375" s="601"/>
      <c r="D375" s="601"/>
      <c r="E375" s="601"/>
      <c r="F375" s="665"/>
      <c r="G375" s="601"/>
      <c r="H375" s="665"/>
      <c r="I375" s="665"/>
      <c r="J375" s="665"/>
      <c r="K375" s="665"/>
      <c r="L375" s="665"/>
      <c r="M375" s="665"/>
      <c r="N375" s="665"/>
      <c r="O375" s="601"/>
      <c r="P375" s="601"/>
    </row>
    <row r="376" spans="2:16" ht="13.15" customHeight="1" x14ac:dyDescent="0.2">
      <c r="B376" s="601"/>
      <c r="C376" s="601"/>
      <c r="D376" s="601"/>
      <c r="E376" s="601"/>
      <c r="F376" s="665"/>
      <c r="G376" s="601"/>
      <c r="H376" s="665"/>
      <c r="I376" s="665"/>
      <c r="J376" s="665"/>
      <c r="K376" s="665"/>
      <c r="L376" s="665"/>
      <c r="M376" s="665"/>
      <c r="N376" s="665"/>
      <c r="O376" s="601"/>
      <c r="P376" s="601"/>
    </row>
    <row r="377" spans="2:16" ht="13.15" customHeight="1" x14ac:dyDescent="0.2">
      <c r="B377" s="601"/>
      <c r="C377" s="601"/>
      <c r="D377" s="601"/>
      <c r="E377" s="601"/>
      <c r="F377" s="665"/>
      <c r="G377" s="601"/>
      <c r="H377" s="665"/>
      <c r="I377" s="665"/>
      <c r="J377" s="665"/>
      <c r="K377" s="665"/>
      <c r="L377" s="665"/>
      <c r="M377" s="665"/>
      <c r="N377" s="665"/>
      <c r="O377" s="601"/>
      <c r="P377" s="601"/>
    </row>
    <row r="378" spans="2:16" ht="13.15" customHeight="1" x14ac:dyDescent="0.2">
      <c r="B378" s="601"/>
      <c r="C378" s="601"/>
      <c r="D378" s="601"/>
      <c r="E378" s="601"/>
      <c r="F378" s="665"/>
      <c r="G378" s="601"/>
      <c r="H378" s="665"/>
      <c r="I378" s="665"/>
      <c r="J378" s="665"/>
      <c r="K378" s="665"/>
      <c r="L378" s="665"/>
      <c r="M378" s="665"/>
      <c r="N378" s="665"/>
      <c r="O378" s="601"/>
      <c r="P378" s="601"/>
    </row>
    <row r="379" spans="2:16" ht="13.15" customHeight="1" x14ac:dyDescent="0.2">
      <c r="B379" s="601"/>
      <c r="C379" s="601"/>
      <c r="D379" s="601"/>
      <c r="E379" s="601"/>
      <c r="F379" s="665"/>
      <c r="G379" s="601"/>
      <c r="H379" s="665"/>
      <c r="I379" s="665"/>
      <c r="J379" s="665"/>
      <c r="K379" s="665"/>
      <c r="L379" s="665"/>
      <c r="M379" s="665"/>
      <c r="N379" s="665"/>
      <c r="O379" s="601"/>
      <c r="P379" s="601"/>
    </row>
    <row r="380" spans="2:16" ht="13.15" customHeight="1" x14ac:dyDescent="0.2">
      <c r="B380" s="601"/>
      <c r="C380" s="601"/>
      <c r="D380" s="601"/>
      <c r="E380" s="601"/>
      <c r="F380" s="665"/>
      <c r="G380" s="601"/>
      <c r="H380" s="665"/>
      <c r="I380" s="665"/>
      <c r="J380" s="665"/>
      <c r="K380" s="665"/>
      <c r="L380" s="665"/>
      <c r="M380" s="665"/>
      <c r="N380" s="665"/>
      <c r="O380" s="601"/>
      <c r="P380" s="601"/>
    </row>
    <row r="381" spans="2:16" ht="13.15" customHeight="1" x14ac:dyDescent="0.2">
      <c r="B381" s="601"/>
      <c r="C381" s="601"/>
      <c r="D381" s="601"/>
      <c r="E381" s="601"/>
      <c r="F381" s="665"/>
      <c r="G381" s="601"/>
      <c r="H381" s="665"/>
      <c r="I381" s="665"/>
      <c r="J381" s="665"/>
      <c r="K381" s="665"/>
      <c r="L381" s="665"/>
      <c r="M381" s="665"/>
      <c r="N381" s="665"/>
      <c r="O381" s="601"/>
      <c r="P381" s="601"/>
    </row>
    <row r="382" spans="2:16" ht="13.15" customHeight="1" x14ac:dyDescent="0.2">
      <c r="B382" s="601"/>
      <c r="C382" s="601"/>
      <c r="D382" s="601"/>
      <c r="E382" s="601"/>
      <c r="F382" s="665"/>
      <c r="G382" s="601"/>
      <c r="H382" s="665"/>
      <c r="I382" s="665"/>
      <c r="J382" s="665"/>
      <c r="K382" s="665"/>
      <c r="L382" s="665"/>
      <c r="M382" s="665"/>
      <c r="N382" s="665"/>
      <c r="O382" s="601"/>
      <c r="P382" s="601"/>
    </row>
    <row r="383" spans="2:16" ht="13.15" customHeight="1" x14ac:dyDescent="0.2">
      <c r="B383" s="601"/>
      <c r="C383" s="601"/>
      <c r="D383" s="601"/>
      <c r="E383" s="601"/>
      <c r="F383" s="665"/>
      <c r="G383" s="601"/>
      <c r="H383" s="665"/>
      <c r="I383" s="665"/>
      <c r="J383" s="665"/>
      <c r="K383" s="665"/>
      <c r="L383" s="665"/>
      <c r="M383" s="665"/>
      <c r="N383" s="665"/>
      <c r="O383" s="601"/>
      <c r="P383" s="601"/>
    </row>
    <row r="384" spans="2:16" ht="13.15" customHeight="1" x14ac:dyDescent="0.2">
      <c r="B384" s="601"/>
      <c r="C384" s="601"/>
      <c r="D384" s="601"/>
      <c r="E384" s="601"/>
      <c r="F384" s="665"/>
      <c r="G384" s="601"/>
      <c r="H384" s="665"/>
      <c r="I384" s="665"/>
      <c r="J384" s="665"/>
      <c r="K384" s="665"/>
      <c r="L384" s="665"/>
      <c r="M384" s="665"/>
      <c r="N384" s="665"/>
      <c r="O384" s="601"/>
      <c r="P384" s="601"/>
    </row>
    <row r="385" spans="2:16" ht="13.15" customHeight="1" x14ac:dyDescent="0.2">
      <c r="B385" s="601"/>
      <c r="C385" s="601"/>
      <c r="D385" s="601"/>
      <c r="E385" s="601"/>
      <c r="F385" s="665"/>
      <c r="G385" s="601"/>
      <c r="H385" s="665"/>
      <c r="I385" s="665"/>
      <c r="J385" s="665"/>
      <c r="K385" s="665"/>
      <c r="L385" s="665"/>
      <c r="M385" s="665"/>
      <c r="N385" s="665"/>
      <c r="O385" s="601"/>
      <c r="P385" s="601"/>
    </row>
    <row r="386" spans="2:16" ht="13.15" customHeight="1" x14ac:dyDescent="0.2">
      <c r="B386" s="601"/>
      <c r="C386" s="601"/>
      <c r="D386" s="601"/>
      <c r="E386" s="601"/>
      <c r="F386" s="665"/>
      <c r="G386" s="601"/>
      <c r="H386" s="665"/>
      <c r="I386" s="665"/>
      <c r="J386" s="665"/>
      <c r="K386" s="665"/>
      <c r="L386" s="665"/>
      <c r="M386" s="665"/>
      <c r="N386" s="665"/>
      <c r="O386" s="601"/>
      <c r="P386" s="601"/>
    </row>
    <row r="387" spans="2:16" ht="13.15" customHeight="1" x14ac:dyDescent="0.2">
      <c r="B387" s="601"/>
      <c r="C387" s="601"/>
      <c r="D387" s="601"/>
      <c r="E387" s="601"/>
      <c r="F387" s="665"/>
      <c r="G387" s="601"/>
      <c r="H387" s="665"/>
      <c r="I387" s="665"/>
      <c r="J387" s="665"/>
      <c r="K387" s="665"/>
      <c r="L387" s="665"/>
      <c r="M387" s="665"/>
      <c r="N387" s="665"/>
      <c r="O387" s="601"/>
      <c r="P387" s="601"/>
    </row>
    <row r="388" spans="2:16" ht="13.15" customHeight="1" x14ac:dyDescent="0.2">
      <c r="B388" s="601"/>
      <c r="C388" s="601"/>
      <c r="D388" s="601"/>
      <c r="E388" s="601"/>
      <c r="F388" s="665"/>
      <c r="G388" s="601"/>
      <c r="H388" s="665"/>
      <c r="I388" s="665"/>
      <c r="J388" s="665"/>
      <c r="K388" s="665"/>
      <c r="L388" s="665"/>
      <c r="M388" s="665"/>
      <c r="N388" s="665"/>
      <c r="O388" s="601"/>
      <c r="P388" s="601"/>
    </row>
    <row r="389" spans="2:16" ht="13.15" customHeight="1" x14ac:dyDescent="0.2">
      <c r="B389" s="601"/>
      <c r="C389" s="601"/>
      <c r="D389" s="601"/>
      <c r="E389" s="601"/>
      <c r="F389" s="665"/>
      <c r="G389" s="601"/>
      <c r="H389" s="665"/>
      <c r="I389" s="665"/>
      <c r="J389" s="665"/>
      <c r="K389" s="665"/>
      <c r="L389" s="665"/>
      <c r="M389" s="665"/>
      <c r="N389" s="665"/>
      <c r="O389" s="601"/>
      <c r="P389" s="601"/>
    </row>
    <row r="390" spans="2:16" ht="13.15" customHeight="1" x14ac:dyDescent="0.2">
      <c r="B390" s="601"/>
      <c r="C390" s="601"/>
      <c r="D390" s="601"/>
      <c r="E390" s="601"/>
      <c r="F390" s="665"/>
      <c r="G390" s="601"/>
      <c r="H390" s="665"/>
      <c r="I390" s="665"/>
      <c r="J390" s="665"/>
      <c r="K390" s="665"/>
      <c r="L390" s="665"/>
      <c r="M390" s="665"/>
      <c r="N390" s="665"/>
      <c r="O390" s="601"/>
      <c r="P390" s="601"/>
    </row>
    <row r="391" spans="2:16" ht="13.15" customHeight="1" x14ac:dyDescent="0.2">
      <c r="B391" s="601"/>
      <c r="C391" s="601"/>
      <c r="D391" s="601"/>
      <c r="E391" s="601"/>
      <c r="F391" s="665"/>
      <c r="G391" s="601"/>
      <c r="H391" s="665"/>
      <c r="I391" s="665"/>
      <c r="J391" s="665"/>
      <c r="K391" s="665"/>
      <c r="L391" s="665"/>
      <c r="M391" s="665"/>
      <c r="N391" s="665"/>
      <c r="O391" s="601"/>
      <c r="P391" s="601"/>
    </row>
    <row r="392" spans="2:16" ht="13.15" customHeight="1" x14ac:dyDescent="0.2">
      <c r="B392" s="601"/>
      <c r="C392" s="601"/>
      <c r="D392" s="601"/>
      <c r="E392" s="601"/>
      <c r="F392" s="665"/>
      <c r="G392" s="601"/>
      <c r="H392" s="665"/>
      <c r="I392" s="665"/>
      <c r="J392" s="665"/>
      <c r="K392" s="665"/>
      <c r="L392" s="665"/>
      <c r="M392" s="665"/>
      <c r="N392" s="665"/>
      <c r="O392" s="601"/>
      <c r="P392" s="601"/>
    </row>
    <row r="393" spans="2:16" ht="13.15" customHeight="1" x14ac:dyDescent="0.2">
      <c r="B393" s="601"/>
      <c r="C393" s="601"/>
      <c r="D393" s="601"/>
      <c r="E393" s="601"/>
      <c r="F393" s="665"/>
      <c r="G393" s="601"/>
      <c r="H393" s="665"/>
      <c r="I393" s="665"/>
      <c r="J393" s="665"/>
      <c r="K393" s="665"/>
      <c r="L393" s="665"/>
      <c r="M393" s="665"/>
      <c r="N393" s="665"/>
      <c r="O393" s="601"/>
      <c r="P393" s="601"/>
    </row>
    <row r="394" spans="2:16" ht="13.15" customHeight="1" x14ac:dyDescent="0.2">
      <c r="B394" s="601"/>
      <c r="C394" s="601"/>
      <c r="D394" s="601"/>
      <c r="E394" s="601"/>
      <c r="F394" s="665"/>
      <c r="G394" s="601"/>
      <c r="H394" s="665"/>
      <c r="I394" s="665"/>
      <c r="J394" s="665"/>
      <c r="K394" s="665"/>
      <c r="L394" s="665"/>
      <c r="M394" s="665"/>
      <c r="N394" s="665"/>
      <c r="O394" s="601"/>
      <c r="P394" s="601"/>
    </row>
    <row r="395" spans="2:16" ht="13.15" customHeight="1" x14ac:dyDescent="0.2">
      <c r="B395" s="601"/>
      <c r="C395" s="601"/>
      <c r="D395" s="601"/>
      <c r="E395" s="601"/>
      <c r="F395" s="665"/>
      <c r="G395" s="601"/>
      <c r="H395" s="665"/>
      <c r="I395" s="665"/>
      <c r="J395" s="665"/>
      <c r="K395" s="665"/>
      <c r="L395" s="665"/>
      <c r="M395" s="665"/>
      <c r="N395" s="665"/>
      <c r="O395" s="601"/>
      <c r="P395" s="601"/>
    </row>
    <row r="396" spans="2:16" ht="13.15" customHeight="1" x14ac:dyDescent="0.2">
      <c r="B396" s="601"/>
      <c r="C396" s="601"/>
      <c r="D396" s="601"/>
      <c r="E396" s="601"/>
      <c r="F396" s="665"/>
      <c r="G396" s="601"/>
      <c r="H396" s="665"/>
      <c r="I396" s="665"/>
      <c r="J396" s="665"/>
      <c r="K396" s="665"/>
      <c r="L396" s="665"/>
      <c r="M396" s="665"/>
      <c r="N396" s="665"/>
      <c r="O396" s="601"/>
      <c r="P396" s="601"/>
    </row>
    <row r="397" spans="2:16" ht="13.15" customHeight="1" x14ac:dyDescent="0.2">
      <c r="B397" s="601"/>
      <c r="C397" s="601"/>
      <c r="D397" s="601"/>
      <c r="E397" s="601"/>
      <c r="F397" s="665"/>
      <c r="G397" s="601"/>
      <c r="H397" s="665"/>
      <c r="I397" s="665"/>
      <c r="J397" s="665"/>
      <c r="K397" s="665"/>
      <c r="L397" s="665"/>
      <c r="M397" s="665"/>
      <c r="N397" s="665"/>
      <c r="O397" s="601"/>
      <c r="P397" s="601"/>
    </row>
    <row r="398" spans="2:16" ht="13.15" customHeight="1" x14ac:dyDescent="0.2">
      <c r="B398" s="601"/>
      <c r="C398" s="601"/>
      <c r="D398" s="601"/>
      <c r="E398" s="601"/>
      <c r="F398" s="665"/>
      <c r="G398" s="601"/>
      <c r="H398" s="665"/>
      <c r="I398" s="665"/>
      <c r="J398" s="665"/>
      <c r="K398" s="665"/>
      <c r="L398" s="665"/>
      <c r="M398" s="665"/>
      <c r="N398" s="665"/>
      <c r="O398" s="601"/>
      <c r="P398" s="601"/>
    </row>
    <row r="399" spans="2:16" ht="13.15" customHeight="1" x14ac:dyDescent="0.2">
      <c r="B399" s="601"/>
      <c r="C399" s="601"/>
      <c r="D399" s="601"/>
      <c r="E399" s="601"/>
      <c r="F399" s="665"/>
      <c r="G399" s="601"/>
      <c r="H399" s="665"/>
      <c r="I399" s="665"/>
      <c r="J399" s="665"/>
      <c r="K399" s="665"/>
      <c r="L399" s="665"/>
      <c r="M399" s="665"/>
      <c r="N399" s="665"/>
      <c r="O399" s="601"/>
      <c r="P399" s="601"/>
    </row>
    <row r="400" spans="2:16" ht="13.15" customHeight="1" x14ac:dyDescent="0.2">
      <c r="B400" s="601"/>
      <c r="C400" s="601"/>
      <c r="D400" s="601"/>
      <c r="E400" s="601"/>
      <c r="F400" s="665"/>
      <c r="G400" s="601"/>
      <c r="H400" s="665"/>
      <c r="I400" s="665"/>
      <c r="J400" s="665"/>
      <c r="K400" s="665"/>
      <c r="L400" s="665"/>
      <c r="M400" s="665"/>
      <c r="N400" s="665"/>
      <c r="O400" s="601"/>
      <c r="P400" s="601"/>
    </row>
    <row r="401" spans="2:16" ht="13.15" customHeight="1" x14ac:dyDescent="0.2">
      <c r="B401" s="601"/>
      <c r="C401" s="601"/>
      <c r="D401" s="601"/>
      <c r="E401" s="601"/>
      <c r="F401" s="665"/>
      <c r="G401" s="601"/>
      <c r="H401" s="665"/>
      <c r="I401" s="665"/>
      <c r="J401" s="665"/>
      <c r="K401" s="665"/>
      <c r="L401" s="665"/>
      <c r="M401" s="665"/>
      <c r="N401" s="665"/>
      <c r="O401" s="601"/>
      <c r="P401" s="601"/>
    </row>
    <row r="402" spans="2:16" ht="13.15" customHeight="1" x14ac:dyDescent="0.2">
      <c r="B402" s="601"/>
      <c r="C402" s="601"/>
      <c r="D402" s="601"/>
      <c r="E402" s="601"/>
      <c r="F402" s="665"/>
      <c r="G402" s="601"/>
      <c r="H402" s="665"/>
      <c r="I402" s="665"/>
      <c r="J402" s="665"/>
      <c r="K402" s="665"/>
      <c r="L402" s="665"/>
      <c r="M402" s="665"/>
      <c r="N402" s="665"/>
      <c r="O402" s="601"/>
      <c r="P402" s="601"/>
    </row>
    <row r="403" spans="2:16" ht="13.15" customHeight="1" x14ac:dyDescent="0.2">
      <c r="B403" s="601"/>
      <c r="C403" s="601"/>
      <c r="D403" s="601"/>
      <c r="E403" s="601"/>
      <c r="F403" s="665"/>
      <c r="G403" s="601"/>
      <c r="H403" s="665"/>
      <c r="I403" s="665"/>
      <c r="J403" s="665"/>
      <c r="K403" s="665"/>
      <c r="L403" s="665"/>
      <c r="M403" s="665"/>
      <c r="N403" s="665"/>
      <c r="O403" s="601"/>
      <c r="P403" s="601"/>
    </row>
    <row r="404" spans="2:16" ht="13.15" customHeight="1" x14ac:dyDescent="0.2">
      <c r="B404" s="601"/>
      <c r="C404" s="601"/>
      <c r="D404" s="601"/>
      <c r="E404" s="601"/>
      <c r="F404" s="665"/>
      <c r="G404" s="601"/>
      <c r="H404" s="665"/>
      <c r="I404" s="665"/>
      <c r="J404" s="665"/>
      <c r="K404" s="665"/>
      <c r="L404" s="665"/>
      <c r="M404" s="665"/>
      <c r="N404" s="665"/>
      <c r="O404" s="601"/>
      <c r="P404" s="601"/>
    </row>
    <row r="405" spans="2:16" ht="13.15" customHeight="1" x14ac:dyDescent="0.2">
      <c r="B405" s="601"/>
      <c r="C405" s="601"/>
      <c r="D405" s="601"/>
      <c r="E405" s="601"/>
      <c r="F405" s="665"/>
      <c r="G405" s="601"/>
      <c r="H405" s="665"/>
      <c r="I405" s="665"/>
      <c r="J405" s="665"/>
      <c r="K405" s="665"/>
      <c r="L405" s="665"/>
      <c r="M405" s="665"/>
      <c r="N405" s="665"/>
      <c r="O405" s="601"/>
      <c r="P405" s="601"/>
    </row>
    <row r="406" spans="2:16" ht="13.15" customHeight="1" x14ac:dyDescent="0.2">
      <c r="B406" s="601"/>
      <c r="C406" s="601"/>
      <c r="D406" s="601"/>
      <c r="E406" s="601"/>
      <c r="F406" s="665"/>
      <c r="G406" s="601"/>
      <c r="H406" s="665"/>
      <c r="I406" s="665"/>
      <c r="J406" s="665"/>
      <c r="K406" s="665"/>
      <c r="L406" s="665"/>
      <c r="M406" s="665"/>
      <c r="N406" s="665"/>
      <c r="O406" s="601"/>
      <c r="P406" s="601"/>
    </row>
    <row r="407" spans="2:16" ht="13.15" customHeight="1" x14ac:dyDescent="0.2">
      <c r="B407" s="601"/>
      <c r="C407" s="601"/>
      <c r="D407" s="601"/>
      <c r="E407" s="601"/>
      <c r="F407" s="665"/>
      <c r="G407" s="601"/>
      <c r="H407" s="665"/>
      <c r="I407" s="665"/>
      <c r="J407" s="665"/>
      <c r="K407" s="665"/>
      <c r="L407" s="665"/>
      <c r="M407" s="665"/>
      <c r="N407" s="665"/>
      <c r="O407" s="601"/>
      <c r="P407" s="601"/>
    </row>
    <row r="408" spans="2:16" ht="13.15" customHeight="1" x14ac:dyDescent="0.2">
      <c r="B408" s="601"/>
      <c r="C408" s="601"/>
      <c r="D408" s="601"/>
      <c r="E408" s="601"/>
      <c r="F408" s="665"/>
      <c r="G408" s="601"/>
      <c r="H408" s="665"/>
      <c r="I408" s="665"/>
      <c r="J408" s="665"/>
      <c r="K408" s="665"/>
      <c r="L408" s="665"/>
      <c r="M408" s="665"/>
      <c r="N408" s="665"/>
      <c r="O408" s="601"/>
      <c r="P408" s="601"/>
    </row>
    <row r="409" spans="2:16" ht="13.15" customHeight="1" x14ac:dyDescent="0.2">
      <c r="B409" s="601"/>
      <c r="C409" s="601"/>
      <c r="D409" s="601"/>
      <c r="E409" s="601"/>
      <c r="F409" s="665"/>
      <c r="G409" s="601"/>
      <c r="H409" s="665"/>
      <c r="I409" s="665"/>
      <c r="J409" s="665"/>
      <c r="K409" s="665"/>
      <c r="L409" s="665"/>
      <c r="M409" s="665"/>
      <c r="N409" s="665"/>
      <c r="O409" s="601"/>
      <c r="P409" s="601"/>
    </row>
    <row r="410" spans="2:16" ht="13.15" customHeight="1" x14ac:dyDescent="0.2">
      <c r="B410" s="601"/>
      <c r="C410" s="601"/>
      <c r="D410" s="601"/>
      <c r="E410" s="601"/>
      <c r="F410" s="665"/>
      <c r="G410" s="601"/>
      <c r="H410" s="665"/>
      <c r="I410" s="665"/>
      <c r="J410" s="665"/>
      <c r="K410" s="665"/>
      <c r="L410" s="665"/>
      <c r="M410" s="665"/>
      <c r="N410" s="665"/>
      <c r="O410" s="601"/>
      <c r="P410" s="601"/>
    </row>
    <row r="411" spans="2:16" ht="13.15" customHeight="1" x14ac:dyDescent="0.2">
      <c r="B411" s="601"/>
      <c r="C411" s="601"/>
      <c r="D411" s="601"/>
      <c r="E411" s="601"/>
      <c r="F411" s="665"/>
      <c r="G411" s="601"/>
      <c r="H411" s="665"/>
      <c r="I411" s="665"/>
      <c r="J411" s="665"/>
      <c r="K411" s="665"/>
      <c r="L411" s="665"/>
      <c r="M411" s="665"/>
      <c r="N411" s="665"/>
      <c r="O411" s="601"/>
      <c r="P411" s="601"/>
    </row>
    <row r="412" spans="2:16" ht="13.15" customHeight="1" x14ac:dyDescent="0.2">
      <c r="B412" s="601"/>
      <c r="C412" s="601"/>
      <c r="D412" s="601"/>
      <c r="E412" s="601"/>
      <c r="F412" s="665"/>
      <c r="G412" s="601"/>
      <c r="H412" s="665"/>
      <c r="I412" s="665"/>
      <c r="J412" s="665"/>
      <c r="K412" s="665"/>
      <c r="L412" s="665"/>
      <c r="M412" s="665"/>
      <c r="N412" s="665"/>
      <c r="O412" s="601"/>
      <c r="P412" s="601"/>
    </row>
    <row r="413" spans="2:16" ht="13.15" customHeight="1" x14ac:dyDescent="0.2">
      <c r="B413" s="601"/>
      <c r="C413" s="601"/>
      <c r="D413" s="601"/>
      <c r="E413" s="601"/>
      <c r="F413" s="665"/>
      <c r="G413" s="601"/>
      <c r="H413" s="665"/>
      <c r="I413" s="665"/>
      <c r="J413" s="665"/>
      <c r="K413" s="665"/>
      <c r="L413" s="665"/>
      <c r="M413" s="665"/>
      <c r="N413" s="665"/>
      <c r="O413" s="601"/>
      <c r="P413" s="601"/>
    </row>
    <row r="414" spans="2:16" ht="13.15" customHeight="1" x14ac:dyDescent="0.2">
      <c r="B414" s="601"/>
      <c r="C414" s="601"/>
      <c r="D414" s="601"/>
      <c r="E414" s="601"/>
      <c r="F414" s="665"/>
      <c r="G414" s="601"/>
      <c r="H414" s="665"/>
      <c r="I414" s="665"/>
      <c r="J414" s="665"/>
      <c r="K414" s="665"/>
      <c r="L414" s="665"/>
      <c r="M414" s="665"/>
      <c r="N414" s="665"/>
      <c r="O414" s="601"/>
      <c r="P414" s="601"/>
    </row>
    <row r="415" spans="2:16" ht="13.15" customHeight="1" x14ac:dyDescent="0.2">
      <c r="B415" s="601"/>
      <c r="C415" s="601"/>
      <c r="D415" s="601"/>
      <c r="E415" s="601"/>
      <c r="F415" s="665"/>
      <c r="G415" s="601"/>
      <c r="H415" s="665"/>
      <c r="I415" s="665"/>
      <c r="J415" s="665"/>
      <c r="K415" s="665"/>
      <c r="L415" s="665"/>
      <c r="M415" s="665"/>
      <c r="N415" s="665"/>
      <c r="O415" s="601"/>
      <c r="P415" s="601"/>
    </row>
    <row r="416" spans="2:16" ht="13.15" customHeight="1" x14ac:dyDescent="0.2">
      <c r="B416" s="601"/>
      <c r="C416" s="601"/>
      <c r="D416" s="601"/>
      <c r="E416" s="601"/>
      <c r="F416" s="665"/>
      <c r="G416" s="601"/>
      <c r="H416" s="665"/>
      <c r="I416" s="665"/>
      <c r="J416" s="665"/>
      <c r="K416" s="665"/>
      <c r="L416" s="665"/>
      <c r="M416" s="665"/>
      <c r="N416" s="665"/>
      <c r="O416" s="601"/>
      <c r="P416" s="601"/>
    </row>
    <row r="417" spans="2:16" ht="13.15" customHeight="1" x14ac:dyDescent="0.2">
      <c r="B417" s="601"/>
      <c r="C417" s="601"/>
      <c r="D417" s="601"/>
      <c r="E417" s="601"/>
      <c r="F417" s="665"/>
      <c r="G417" s="601"/>
      <c r="H417" s="665"/>
      <c r="I417" s="665"/>
      <c r="J417" s="665"/>
      <c r="K417" s="665"/>
      <c r="L417" s="665"/>
      <c r="M417" s="665"/>
      <c r="N417" s="665"/>
      <c r="O417" s="601"/>
      <c r="P417" s="601"/>
    </row>
    <row r="418" spans="2:16" ht="13.15" customHeight="1" x14ac:dyDescent="0.2">
      <c r="B418" s="601"/>
      <c r="C418" s="601"/>
      <c r="D418" s="601"/>
      <c r="E418" s="601"/>
      <c r="F418" s="665"/>
      <c r="G418" s="601"/>
      <c r="H418" s="665"/>
      <c r="I418" s="665"/>
      <c r="J418" s="665"/>
      <c r="K418" s="665"/>
      <c r="L418" s="665"/>
      <c r="M418" s="665"/>
      <c r="N418" s="665"/>
      <c r="O418" s="601"/>
      <c r="P418" s="601"/>
    </row>
    <row r="419" spans="2:16" ht="13.15" customHeight="1" x14ac:dyDescent="0.2">
      <c r="B419" s="601"/>
      <c r="C419" s="601"/>
      <c r="D419" s="601"/>
      <c r="E419" s="601"/>
      <c r="F419" s="665"/>
      <c r="G419" s="601"/>
      <c r="H419" s="665"/>
      <c r="I419" s="665"/>
      <c r="J419" s="665"/>
      <c r="K419" s="665"/>
      <c r="L419" s="665"/>
      <c r="M419" s="665"/>
      <c r="N419" s="665"/>
      <c r="O419" s="601"/>
      <c r="P419" s="601"/>
    </row>
    <row r="420" spans="2:16" ht="13.15" customHeight="1" x14ac:dyDescent="0.2">
      <c r="B420" s="601"/>
      <c r="C420" s="601"/>
      <c r="D420" s="601"/>
      <c r="E420" s="601"/>
      <c r="F420" s="665"/>
      <c r="G420" s="601"/>
      <c r="H420" s="665"/>
      <c r="I420" s="665"/>
      <c r="J420" s="665"/>
      <c r="K420" s="665"/>
      <c r="L420" s="665"/>
      <c r="M420" s="665"/>
      <c r="N420" s="665"/>
      <c r="O420" s="601"/>
      <c r="P420" s="601"/>
    </row>
    <row r="421" spans="2:16" ht="13.15" customHeight="1" x14ac:dyDescent="0.2">
      <c r="B421" s="601"/>
      <c r="C421" s="601"/>
      <c r="D421" s="601"/>
      <c r="E421" s="601"/>
      <c r="F421" s="665"/>
      <c r="G421" s="601"/>
      <c r="H421" s="665"/>
      <c r="I421" s="665"/>
      <c r="J421" s="665"/>
      <c r="K421" s="665"/>
      <c r="L421" s="665"/>
      <c r="M421" s="665"/>
      <c r="N421" s="665"/>
      <c r="O421" s="601"/>
      <c r="P421" s="601"/>
    </row>
    <row r="422" spans="2:16" ht="13.15" customHeight="1" x14ac:dyDescent="0.2">
      <c r="B422" s="601"/>
      <c r="C422" s="601"/>
      <c r="D422" s="601"/>
      <c r="E422" s="601"/>
      <c r="F422" s="665"/>
      <c r="G422" s="601"/>
      <c r="H422" s="665"/>
      <c r="I422" s="665"/>
      <c r="J422" s="665"/>
      <c r="K422" s="665"/>
      <c r="L422" s="665"/>
      <c r="M422" s="665"/>
      <c r="N422" s="665"/>
      <c r="O422" s="601"/>
      <c r="P422" s="601"/>
    </row>
    <row r="423" spans="2:16" ht="13.15" customHeight="1" x14ac:dyDescent="0.2">
      <c r="B423" s="601"/>
      <c r="C423" s="601"/>
      <c r="D423" s="601"/>
      <c r="E423" s="601"/>
      <c r="F423" s="665"/>
      <c r="G423" s="601"/>
      <c r="H423" s="665"/>
      <c r="I423" s="665"/>
      <c r="J423" s="665"/>
      <c r="K423" s="665"/>
      <c r="L423" s="665"/>
      <c r="M423" s="665"/>
      <c r="N423" s="665"/>
      <c r="O423" s="601"/>
      <c r="P423" s="601"/>
    </row>
    <row r="424" spans="2:16" ht="13.15" customHeight="1" x14ac:dyDescent="0.2">
      <c r="B424" s="601"/>
      <c r="C424" s="601"/>
      <c r="D424" s="601"/>
      <c r="E424" s="601"/>
      <c r="F424" s="665"/>
      <c r="G424" s="601"/>
      <c r="H424" s="665"/>
      <c r="I424" s="665"/>
      <c r="J424" s="665"/>
      <c r="K424" s="665"/>
      <c r="L424" s="665"/>
      <c r="M424" s="665"/>
      <c r="N424" s="665"/>
      <c r="O424" s="601"/>
      <c r="P424" s="601"/>
    </row>
    <row r="425" spans="2:16" ht="13.15" customHeight="1" x14ac:dyDescent="0.2">
      <c r="B425" s="601"/>
      <c r="C425" s="601"/>
      <c r="D425" s="601"/>
      <c r="E425" s="601"/>
      <c r="F425" s="665"/>
      <c r="G425" s="601"/>
      <c r="H425" s="665"/>
      <c r="I425" s="665"/>
      <c r="J425" s="665"/>
      <c r="K425" s="665"/>
      <c r="L425" s="665"/>
      <c r="M425" s="665"/>
      <c r="N425" s="665"/>
      <c r="O425" s="601"/>
      <c r="P425" s="601"/>
    </row>
    <row r="426" spans="2:16" ht="13.15" customHeight="1" x14ac:dyDescent="0.2">
      <c r="B426" s="601"/>
      <c r="C426" s="601"/>
      <c r="D426" s="601"/>
      <c r="E426" s="601"/>
      <c r="F426" s="665"/>
      <c r="G426" s="601"/>
      <c r="H426" s="665"/>
      <c r="I426" s="665"/>
      <c r="J426" s="665"/>
      <c r="K426" s="665"/>
      <c r="L426" s="665"/>
      <c r="M426" s="665"/>
      <c r="N426" s="665"/>
      <c r="O426" s="601"/>
      <c r="P426" s="601"/>
    </row>
    <row r="427" spans="2:16" ht="13.15" customHeight="1" x14ac:dyDescent="0.2">
      <c r="B427" s="601"/>
      <c r="C427" s="601"/>
      <c r="D427" s="601"/>
      <c r="E427" s="601"/>
      <c r="F427" s="665"/>
      <c r="G427" s="601"/>
      <c r="H427" s="665"/>
      <c r="I427" s="665"/>
      <c r="J427" s="665"/>
      <c r="K427" s="665"/>
      <c r="L427" s="665"/>
      <c r="M427" s="665"/>
      <c r="N427" s="665"/>
      <c r="O427" s="601"/>
      <c r="P427" s="601"/>
    </row>
    <row r="428" spans="2:16" ht="13.15" customHeight="1" x14ac:dyDescent="0.2">
      <c r="B428" s="601"/>
      <c r="C428" s="601"/>
      <c r="D428" s="601"/>
      <c r="E428" s="601"/>
      <c r="F428" s="665"/>
      <c r="G428" s="601"/>
      <c r="H428" s="665"/>
      <c r="I428" s="665"/>
      <c r="J428" s="665"/>
      <c r="K428" s="665"/>
      <c r="L428" s="665"/>
      <c r="M428" s="665"/>
      <c r="N428" s="665"/>
      <c r="O428" s="601"/>
      <c r="P428" s="601"/>
    </row>
    <row r="429" spans="2:16" ht="13.15" customHeight="1" x14ac:dyDescent="0.2">
      <c r="B429" s="601"/>
      <c r="C429" s="601"/>
      <c r="D429" s="601"/>
      <c r="E429" s="601"/>
      <c r="F429" s="665"/>
      <c r="G429" s="601"/>
      <c r="H429" s="665"/>
      <c r="I429" s="665"/>
      <c r="J429" s="665"/>
      <c r="K429" s="665"/>
      <c r="L429" s="665"/>
      <c r="M429" s="665"/>
      <c r="N429" s="665"/>
      <c r="O429" s="601"/>
      <c r="P429" s="601"/>
    </row>
    <row r="430" spans="2:16" ht="13.15" customHeight="1" x14ac:dyDescent="0.2">
      <c r="B430" s="601"/>
      <c r="C430" s="601"/>
      <c r="D430" s="601"/>
      <c r="E430" s="601"/>
      <c r="F430" s="665"/>
      <c r="G430" s="601"/>
      <c r="H430" s="665"/>
      <c r="I430" s="665"/>
      <c r="J430" s="665"/>
      <c r="K430" s="665"/>
      <c r="L430" s="665"/>
      <c r="M430" s="665"/>
      <c r="N430" s="665"/>
      <c r="O430" s="601"/>
      <c r="P430" s="601"/>
    </row>
    <row r="431" spans="2:16" ht="13.15" customHeight="1" x14ac:dyDescent="0.2">
      <c r="B431" s="601"/>
      <c r="C431" s="601"/>
      <c r="D431" s="601"/>
      <c r="E431" s="601"/>
      <c r="F431" s="665"/>
      <c r="G431" s="601"/>
      <c r="H431" s="665"/>
      <c r="I431" s="665"/>
      <c r="J431" s="665"/>
      <c r="K431" s="665"/>
      <c r="L431" s="665"/>
      <c r="M431" s="665"/>
      <c r="N431" s="665"/>
      <c r="O431" s="601"/>
      <c r="P431" s="601"/>
    </row>
    <row r="432" spans="2:16" ht="13.15" customHeight="1" x14ac:dyDescent="0.2">
      <c r="B432" s="601"/>
      <c r="C432" s="601"/>
      <c r="D432" s="601"/>
      <c r="E432" s="601"/>
      <c r="F432" s="665"/>
      <c r="G432" s="601"/>
      <c r="H432" s="665"/>
      <c r="I432" s="665"/>
      <c r="J432" s="665"/>
      <c r="K432" s="665"/>
      <c r="L432" s="665"/>
      <c r="M432" s="665"/>
      <c r="N432" s="665"/>
      <c r="O432" s="601"/>
      <c r="P432" s="601"/>
    </row>
    <row r="433" spans="2:16" ht="13.15" customHeight="1" x14ac:dyDescent="0.2">
      <c r="B433" s="601"/>
      <c r="C433" s="601"/>
      <c r="D433" s="601"/>
      <c r="E433" s="601"/>
      <c r="F433" s="665"/>
      <c r="G433" s="601"/>
      <c r="H433" s="665"/>
      <c r="I433" s="665"/>
      <c r="J433" s="665"/>
      <c r="K433" s="665"/>
      <c r="L433" s="665"/>
      <c r="M433" s="665"/>
      <c r="N433" s="665"/>
      <c r="O433" s="601"/>
      <c r="P433" s="601"/>
    </row>
    <row r="434" spans="2:16" ht="13.15" customHeight="1" x14ac:dyDescent="0.2">
      <c r="B434" s="601"/>
      <c r="C434" s="601"/>
      <c r="D434" s="601"/>
      <c r="E434" s="601"/>
      <c r="F434" s="665"/>
      <c r="G434" s="601"/>
      <c r="H434" s="665"/>
      <c r="I434" s="665"/>
      <c r="J434" s="665"/>
      <c r="K434" s="665"/>
      <c r="L434" s="665"/>
      <c r="M434" s="665"/>
      <c r="N434" s="665"/>
      <c r="O434" s="601"/>
      <c r="P434" s="601"/>
    </row>
    <row r="435" spans="2:16" ht="13.15" customHeight="1" x14ac:dyDescent="0.2">
      <c r="B435" s="601"/>
      <c r="C435" s="601"/>
      <c r="D435" s="601"/>
      <c r="E435" s="601"/>
      <c r="F435" s="665"/>
      <c r="G435" s="601"/>
      <c r="H435" s="665"/>
      <c r="I435" s="665"/>
      <c r="J435" s="665"/>
      <c r="K435" s="665"/>
      <c r="L435" s="665"/>
      <c r="M435" s="665"/>
      <c r="N435" s="665"/>
      <c r="O435" s="601"/>
      <c r="P435" s="601"/>
    </row>
    <row r="436" spans="2:16" ht="13.15" customHeight="1" x14ac:dyDescent="0.2">
      <c r="B436" s="601"/>
      <c r="C436" s="601"/>
      <c r="D436" s="601"/>
      <c r="E436" s="601"/>
      <c r="F436" s="665"/>
      <c r="G436" s="601"/>
      <c r="H436" s="665"/>
      <c r="I436" s="665"/>
      <c r="J436" s="665"/>
      <c r="K436" s="665"/>
      <c r="L436" s="665"/>
      <c r="M436" s="665"/>
      <c r="N436" s="665"/>
      <c r="O436" s="601"/>
      <c r="P436" s="601"/>
    </row>
    <row r="437" spans="2:16" ht="13.15" customHeight="1" x14ac:dyDescent="0.2">
      <c r="B437" s="601"/>
      <c r="C437" s="601"/>
      <c r="D437" s="601"/>
      <c r="E437" s="601"/>
      <c r="F437" s="665"/>
      <c r="G437" s="601"/>
      <c r="H437" s="665"/>
      <c r="I437" s="665"/>
      <c r="J437" s="665"/>
      <c r="K437" s="665"/>
      <c r="L437" s="665"/>
      <c r="M437" s="665"/>
      <c r="N437" s="665"/>
      <c r="O437" s="601"/>
      <c r="P437" s="601"/>
    </row>
    <row r="438" spans="2:16" ht="13.15" customHeight="1" x14ac:dyDescent="0.2">
      <c r="B438" s="601"/>
      <c r="C438" s="601"/>
      <c r="D438" s="601"/>
      <c r="E438" s="601"/>
      <c r="F438" s="665"/>
      <c r="G438" s="601"/>
      <c r="H438" s="665"/>
      <c r="I438" s="665"/>
      <c r="J438" s="665"/>
      <c r="K438" s="665"/>
      <c r="L438" s="665"/>
      <c r="M438" s="665"/>
      <c r="N438" s="665"/>
      <c r="O438" s="601"/>
      <c r="P438" s="601"/>
    </row>
    <row r="439" spans="2:16" ht="13.15" customHeight="1" x14ac:dyDescent="0.2">
      <c r="B439" s="601"/>
      <c r="C439" s="601"/>
      <c r="D439" s="601"/>
      <c r="E439" s="601"/>
      <c r="F439" s="665"/>
      <c r="G439" s="601"/>
      <c r="H439" s="665"/>
      <c r="I439" s="665"/>
      <c r="J439" s="665"/>
      <c r="K439" s="665"/>
      <c r="L439" s="665"/>
      <c r="M439" s="665"/>
      <c r="N439" s="665"/>
      <c r="O439" s="601"/>
      <c r="P439" s="601"/>
    </row>
    <row r="440" spans="2:16" ht="13.15" customHeight="1" x14ac:dyDescent="0.2">
      <c r="B440" s="601"/>
      <c r="C440" s="601"/>
      <c r="D440" s="601"/>
      <c r="E440" s="601"/>
      <c r="F440" s="665"/>
      <c r="G440" s="601"/>
      <c r="H440" s="665"/>
      <c r="I440" s="665"/>
      <c r="J440" s="665"/>
      <c r="K440" s="665"/>
      <c r="L440" s="665"/>
      <c r="M440" s="665"/>
      <c r="N440" s="665"/>
      <c r="O440" s="601"/>
      <c r="P440" s="601"/>
    </row>
    <row r="441" spans="2:16" ht="13.15" customHeight="1" x14ac:dyDescent="0.2">
      <c r="B441" s="601"/>
      <c r="C441" s="601"/>
      <c r="D441" s="601"/>
      <c r="E441" s="601"/>
      <c r="F441" s="665"/>
      <c r="G441" s="601"/>
      <c r="H441" s="665"/>
      <c r="I441" s="665"/>
      <c r="J441" s="665"/>
      <c r="K441" s="665"/>
      <c r="L441" s="665"/>
      <c r="M441" s="665"/>
      <c r="N441" s="665"/>
      <c r="O441" s="601"/>
      <c r="P441" s="601"/>
    </row>
    <row r="442" spans="2:16" ht="13.15" customHeight="1" x14ac:dyDescent="0.2">
      <c r="B442" s="601"/>
      <c r="C442" s="601"/>
      <c r="D442" s="601"/>
      <c r="E442" s="601"/>
      <c r="F442" s="665"/>
      <c r="G442" s="601"/>
      <c r="H442" s="665"/>
      <c r="I442" s="665"/>
      <c r="J442" s="665"/>
      <c r="K442" s="665"/>
      <c r="L442" s="665"/>
      <c r="M442" s="665"/>
      <c r="N442" s="665"/>
      <c r="O442" s="601"/>
      <c r="P442" s="601"/>
    </row>
    <row r="443" spans="2:16" ht="13.15" customHeight="1" x14ac:dyDescent="0.2">
      <c r="B443" s="601"/>
      <c r="C443" s="601"/>
      <c r="D443" s="601"/>
      <c r="E443" s="601"/>
      <c r="F443" s="665"/>
      <c r="G443" s="601"/>
      <c r="H443" s="665"/>
      <c r="I443" s="665"/>
      <c r="J443" s="665"/>
      <c r="K443" s="665"/>
      <c r="L443" s="665"/>
      <c r="M443" s="665"/>
      <c r="N443" s="665"/>
      <c r="O443" s="601"/>
      <c r="P443" s="601"/>
    </row>
    <row r="444" spans="2:16" ht="13.15" customHeight="1" x14ac:dyDescent="0.2">
      <c r="B444" s="601"/>
      <c r="C444" s="601"/>
      <c r="D444" s="601"/>
      <c r="E444" s="601"/>
      <c r="F444" s="665"/>
      <c r="G444" s="601"/>
      <c r="H444" s="665"/>
      <c r="I444" s="665"/>
      <c r="J444" s="665"/>
      <c r="K444" s="665"/>
      <c r="L444" s="665"/>
      <c r="M444" s="665"/>
      <c r="N444" s="665"/>
      <c r="O444" s="601"/>
      <c r="P444" s="601"/>
    </row>
    <row r="445" spans="2:16" ht="13.15" customHeight="1" x14ac:dyDescent="0.2">
      <c r="B445" s="601"/>
      <c r="C445" s="601"/>
      <c r="D445" s="601"/>
      <c r="E445" s="601"/>
      <c r="F445" s="665"/>
      <c r="G445" s="601"/>
      <c r="H445" s="665"/>
      <c r="I445" s="665"/>
      <c r="J445" s="665"/>
      <c r="K445" s="665"/>
      <c r="L445" s="665"/>
      <c r="M445" s="665"/>
      <c r="N445" s="665"/>
      <c r="O445" s="601"/>
      <c r="P445" s="601"/>
    </row>
    <row r="446" spans="2:16" ht="13.15" customHeight="1" x14ac:dyDescent="0.2">
      <c r="B446" s="601"/>
      <c r="C446" s="601"/>
      <c r="D446" s="601"/>
      <c r="E446" s="601"/>
      <c r="F446" s="665"/>
      <c r="G446" s="601"/>
      <c r="H446" s="665"/>
      <c r="I446" s="665"/>
      <c r="J446" s="665"/>
      <c r="K446" s="665"/>
      <c r="L446" s="665"/>
      <c r="M446" s="665"/>
      <c r="N446" s="665"/>
      <c r="O446" s="601"/>
      <c r="P446" s="601"/>
    </row>
    <row r="447" spans="2:16" ht="13.15" customHeight="1" x14ac:dyDescent="0.2">
      <c r="B447" s="601"/>
      <c r="C447" s="601"/>
      <c r="D447" s="601"/>
      <c r="E447" s="601"/>
      <c r="F447" s="665"/>
      <c r="G447" s="601"/>
      <c r="H447" s="665"/>
      <c r="I447" s="665"/>
      <c r="J447" s="665"/>
      <c r="K447" s="665"/>
      <c r="L447" s="665"/>
      <c r="M447" s="665"/>
      <c r="N447" s="665"/>
      <c r="O447" s="601"/>
      <c r="P447" s="601"/>
    </row>
    <row r="448" spans="2:16" ht="13.15" customHeight="1" x14ac:dyDescent="0.2">
      <c r="B448" s="601"/>
      <c r="C448" s="601"/>
      <c r="D448" s="601"/>
      <c r="E448" s="601"/>
      <c r="F448" s="665"/>
      <c r="G448" s="601"/>
      <c r="H448" s="665"/>
      <c r="I448" s="665"/>
      <c r="J448" s="665"/>
      <c r="K448" s="665"/>
      <c r="L448" s="665"/>
      <c r="M448" s="665"/>
      <c r="N448" s="665"/>
      <c r="O448" s="601"/>
      <c r="P448" s="601"/>
    </row>
    <row r="449" spans="2:16" ht="13.15" customHeight="1" x14ac:dyDescent="0.2">
      <c r="B449" s="601"/>
      <c r="C449" s="601"/>
      <c r="D449" s="601"/>
      <c r="E449" s="601"/>
      <c r="F449" s="665"/>
      <c r="G449" s="601"/>
      <c r="H449" s="665"/>
      <c r="I449" s="665"/>
      <c r="J449" s="665"/>
      <c r="K449" s="665"/>
      <c r="L449" s="665"/>
      <c r="M449" s="665"/>
      <c r="N449" s="665"/>
      <c r="O449" s="601"/>
      <c r="P449" s="601"/>
    </row>
    <row r="450" spans="2:16" ht="13.15" customHeight="1" x14ac:dyDescent="0.2">
      <c r="B450" s="601"/>
      <c r="C450" s="601"/>
      <c r="D450" s="601"/>
      <c r="E450" s="601"/>
      <c r="F450" s="665"/>
      <c r="G450" s="601"/>
      <c r="H450" s="665"/>
      <c r="I450" s="665"/>
      <c r="J450" s="665"/>
      <c r="K450" s="665"/>
      <c r="L450" s="665"/>
      <c r="M450" s="665"/>
      <c r="N450" s="665"/>
      <c r="O450" s="601"/>
      <c r="P450" s="601"/>
    </row>
    <row r="451" spans="2:16" ht="13.15" customHeight="1" x14ac:dyDescent="0.2">
      <c r="B451" s="601"/>
      <c r="C451" s="601"/>
      <c r="D451" s="601"/>
      <c r="E451" s="601"/>
      <c r="F451" s="665"/>
      <c r="G451" s="601"/>
      <c r="H451" s="665"/>
      <c r="I451" s="665"/>
      <c r="J451" s="665"/>
      <c r="K451" s="665"/>
      <c r="L451" s="665"/>
      <c r="M451" s="665"/>
      <c r="N451" s="665"/>
      <c r="O451" s="601"/>
      <c r="P451" s="601"/>
    </row>
    <row r="452" spans="2:16" ht="13.15" customHeight="1" x14ac:dyDescent="0.2">
      <c r="B452" s="601"/>
      <c r="C452" s="601"/>
      <c r="D452" s="601"/>
      <c r="E452" s="601"/>
      <c r="F452" s="665"/>
      <c r="G452" s="601"/>
      <c r="H452" s="665"/>
      <c r="I452" s="665"/>
      <c r="J452" s="665"/>
      <c r="K452" s="665"/>
      <c r="L452" s="665"/>
      <c r="M452" s="665"/>
      <c r="N452" s="665"/>
      <c r="O452" s="601"/>
      <c r="P452" s="601"/>
    </row>
    <row r="453" spans="2:16" ht="13.15" customHeight="1" x14ac:dyDescent="0.2">
      <c r="B453" s="601"/>
      <c r="C453" s="601"/>
      <c r="D453" s="601"/>
      <c r="E453" s="601"/>
      <c r="F453" s="665"/>
      <c r="G453" s="601"/>
      <c r="H453" s="665"/>
      <c r="I453" s="665"/>
      <c r="J453" s="665"/>
      <c r="K453" s="665"/>
      <c r="L453" s="665"/>
      <c r="M453" s="665"/>
      <c r="N453" s="665"/>
      <c r="O453" s="601"/>
      <c r="P453" s="601"/>
    </row>
    <row r="454" spans="2:16" ht="13.15" customHeight="1" x14ac:dyDescent="0.2">
      <c r="B454" s="601"/>
      <c r="C454" s="601"/>
      <c r="D454" s="601"/>
      <c r="E454" s="601"/>
      <c r="F454" s="665"/>
      <c r="G454" s="601"/>
      <c r="H454" s="665"/>
      <c r="I454" s="665"/>
      <c r="J454" s="665"/>
      <c r="K454" s="665"/>
      <c r="L454" s="665"/>
      <c r="M454" s="665"/>
      <c r="N454" s="665"/>
      <c r="O454" s="601"/>
      <c r="P454" s="601"/>
    </row>
    <row r="455" spans="2:16" ht="13.15" customHeight="1" x14ac:dyDescent="0.2">
      <c r="B455" s="601"/>
      <c r="C455" s="601"/>
      <c r="D455" s="601"/>
      <c r="E455" s="601"/>
      <c r="F455" s="665"/>
      <c r="G455" s="601"/>
      <c r="H455" s="665"/>
      <c r="I455" s="665"/>
      <c r="J455" s="665"/>
      <c r="K455" s="665"/>
      <c r="L455" s="665"/>
      <c r="M455" s="665"/>
      <c r="N455" s="665"/>
      <c r="O455" s="601"/>
      <c r="P455" s="601"/>
    </row>
    <row r="456" spans="2:16" ht="13.15" customHeight="1" x14ac:dyDescent="0.2">
      <c r="B456" s="601"/>
      <c r="C456" s="601"/>
      <c r="D456" s="601"/>
      <c r="E456" s="601"/>
      <c r="F456" s="665"/>
      <c r="G456" s="601"/>
      <c r="H456" s="665"/>
      <c r="I456" s="665"/>
      <c r="J456" s="665"/>
      <c r="K456" s="665"/>
      <c r="L456" s="665"/>
      <c r="M456" s="665"/>
      <c r="N456" s="665"/>
      <c r="O456" s="601"/>
      <c r="P456" s="601"/>
    </row>
    <row r="457" spans="2:16" ht="13.15" customHeight="1" x14ac:dyDescent="0.2">
      <c r="B457" s="601"/>
      <c r="C457" s="601"/>
      <c r="D457" s="601"/>
      <c r="E457" s="601"/>
      <c r="F457" s="665"/>
      <c r="G457" s="601"/>
      <c r="H457" s="665"/>
      <c r="I457" s="665"/>
      <c r="J457" s="665"/>
      <c r="K457" s="665"/>
      <c r="L457" s="665"/>
      <c r="M457" s="665"/>
      <c r="N457" s="665"/>
      <c r="O457" s="601"/>
      <c r="P457" s="601"/>
    </row>
    <row r="458" spans="2:16" ht="13.15" customHeight="1" x14ac:dyDescent="0.2">
      <c r="B458" s="601"/>
      <c r="C458" s="601"/>
      <c r="D458" s="601"/>
      <c r="E458" s="601"/>
      <c r="F458" s="665"/>
      <c r="G458" s="601"/>
      <c r="H458" s="665"/>
      <c r="I458" s="665"/>
      <c r="J458" s="665"/>
      <c r="K458" s="665"/>
      <c r="L458" s="665"/>
      <c r="M458" s="665"/>
      <c r="N458" s="665"/>
      <c r="O458" s="601"/>
      <c r="P458" s="601"/>
    </row>
    <row r="459" spans="2:16" ht="13.15" customHeight="1" x14ac:dyDescent="0.2">
      <c r="B459" s="601"/>
      <c r="C459" s="601"/>
      <c r="D459" s="601"/>
      <c r="E459" s="601"/>
      <c r="F459" s="665"/>
      <c r="G459" s="601"/>
      <c r="H459" s="665"/>
      <c r="I459" s="665"/>
      <c r="J459" s="665"/>
      <c r="K459" s="665"/>
      <c r="L459" s="665"/>
      <c r="M459" s="665"/>
      <c r="N459" s="665"/>
      <c r="O459" s="601"/>
      <c r="P459" s="601"/>
    </row>
    <row r="460" spans="2:16" ht="13.15" customHeight="1" x14ac:dyDescent="0.2">
      <c r="B460" s="601"/>
      <c r="C460" s="601"/>
      <c r="D460" s="601"/>
      <c r="E460" s="601"/>
      <c r="F460" s="665"/>
      <c r="G460" s="601"/>
      <c r="H460" s="665"/>
      <c r="I460" s="665"/>
      <c r="J460" s="665"/>
      <c r="K460" s="665"/>
      <c r="L460" s="665"/>
      <c r="M460" s="665"/>
      <c r="N460" s="665"/>
      <c r="O460" s="601"/>
      <c r="P460" s="601"/>
    </row>
    <row r="461" spans="2:16" ht="13.15" customHeight="1" x14ac:dyDescent="0.2">
      <c r="B461" s="601"/>
      <c r="C461" s="601"/>
      <c r="D461" s="601"/>
      <c r="E461" s="601"/>
      <c r="F461" s="665"/>
      <c r="G461" s="601"/>
      <c r="H461" s="665"/>
      <c r="I461" s="665"/>
      <c r="J461" s="665"/>
      <c r="K461" s="665"/>
      <c r="L461" s="665"/>
      <c r="M461" s="665"/>
      <c r="N461" s="665"/>
      <c r="O461" s="601"/>
      <c r="P461" s="601"/>
    </row>
    <row r="462" spans="2:16" ht="13.15" customHeight="1" x14ac:dyDescent="0.2">
      <c r="B462" s="601"/>
      <c r="C462" s="601"/>
      <c r="D462" s="601"/>
      <c r="E462" s="601"/>
      <c r="F462" s="665"/>
      <c r="G462" s="601"/>
      <c r="H462" s="665"/>
      <c r="I462" s="665"/>
      <c r="J462" s="665"/>
      <c r="K462" s="665"/>
      <c r="L462" s="665"/>
      <c r="M462" s="665"/>
      <c r="N462" s="665"/>
      <c r="O462" s="601"/>
      <c r="P462" s="601"/>
    </row>
    <row r="463" spans="2:16" ht="13.15" customHeight="1" x14ac:dyDescent="0.2">
      <c r="B463" s="601"/>
      <c r="C463" s="601"/>
      <c r="D463" s="601"/>
      <c r="E463" s="601"/>
      <c r="F463" s="665"/>
      <c r="G463" s="601"/>
      <c r="H463" s="665"/>
      <c r="I463" s="665"/>
      <c r="J463" s="665"/>
      <c r="K463" s="665"/>
      <c r="L463" s="665"/>
      <c r="M463" s="665"/>
      <c r="N463" s="665"/>
      <c r="O463" s="601"/>
      <c r="P463" s="601"/>
    </row>
    <row r="464" spans="2:16" ht="13.15" customHeight="1" x14ac:dyDescent="0.2">
      <c r="B464" s="601"/>
      <c r="C464" s="601"/>
      <c r="D464" s="601"/>
      <c r="E464" s="601"/>
      <c r="F464" s="665"/>
      <c r="G464" s="601"/>
      <c r="H464" s="665"/>
      <c r="I464" s="665"/>
      <c r="J464" s="665"/>
      <c r="K464" s="665"/>
      <c r="L464" s="665"/>
      <c r="M464" s="665"/>
      <c r="N464" s="665"/>
      <c r="O464" s="601"/>
      <c r="P464" s="601"/>
    </row>
    <row r="465" spans="2:16" ht="13.15" customHeight="1" x14ac:dyDescent="0.2">
      <c r="B465" s="601"/>
      <c r="C465" s="601"/>
      <c r="D465" s="601"/>
      <c r="E465" s="601"/>
      <c r="F465" s="665"/>
      <c r="G465" s="601"/>
      <c r="H465" s="665"/>
      <c r="I465" s="665"/>
      <c r="J465" s="665"/>
      <c r="K465" s="665"/>
      <c r="L465" s="665"/>
      <c r="M465" s="665"/>
      <c r="N465" s="665"/>
      <c r="O465" s="601"/>
      <c r="P465" s="601"/>
    </row>
    <row r="466" spans="2:16" ht="13.15" customHeight="1" x14ac:dyDescent="0.2">
      <c r="B466" s="601"/>
      <c r="C466" s="601"/>
      <c r="D466" s="601"/>
      <c r="E466" s="601"/>
      <c r="F466" s="665"/>
      <c r="G466" s="601"/>
      <c r="H466" s="665"/>
      <c r="I466" s="665"/>
      <c r="J466" s="665"/>
      <c r="K466" s="665"/>
      <c r="L466" s="665"/>
      <c r="M466" s="665"/>
      <c r="N466" s="665"/>
      <c r="O466" s="601"/>
      <c r="P466" s="601"/>
    </row>
    <row r="467" spans="2:16" ht="13.15" customHeight="1" x14ac:dyDescent="0.2">
      <c r="B467" s="601"/>
      <c r="C467" s="601"/>
      <c r="D467" s="601"/>
      <c r="E467" s="601"/>
      <c r="F467" s="665"/>
      <c r="G467" s="601"/>
      <c r="H467" s="665"/>
      <c r="I467" s="665"/>
      <c r="J467" s="665"/>
      <c r="K467" s="665"/>
      <c r="L467" s="665"/>
      <c r="M467" s="665"/>
      <c r="N467" s="665"/>
      <c r="O467" s="601"/>
      <c r="P467" s="601"/>
    </row>
    <row r="468" spans="2:16" ht="13.15" customHeight="1" x14ac:dyDescent="0.2">
      <c r="B468" s="601"/>
      <c r="C468" s="601"/>
      <c r="D468" s="601"/>
      <c r="E468" s="601"/>
      <c r="F468" s="665"/>
      <c r="G468" s="601"/>
      <c r="H468" s="665"/>
      <c r="I468" s="665"/>
      <c r="J468" s="665"/>
      <c r="K468" s="665"/>
      <c r="L468" s="665"/>
      <c r="M468" s="665"/>
      <c r="N468" s="665"/>
      <c r="O468" s="601"/>
      <c r="P468" s="601"/>
    </row>
    <row r="469" spans="2:16" ht="13.15" customHeight="1" x14ac:dyDescent="0.2">
      <c r="B469" s="601"/>
      <c r="C469" s="601"/>
      <c r="D469" s="601"/>
      <c r="E469" s="601"/>
      <c r="F469" s="665"/>
      <c r="G469" s="601"/>
      <c r="H469" s="665"/>
      <c r="I469" s="665"/>
      <c r="J469" s="665"/>
      <c r="K469" s="665"/>
      <c r="L469" s="665"/>
      <c r="M469" s="665"/>
      <c r="N469" s="665"/>
      <c r="O469" s="601"/>
      <c r="P469" s="601"/>
    </row>
    <row r="470" spans="2:16" ht="13.15" customHeight="1" x14ac:dyDescent="0.2">
      <c r="B470" s="601"/>
      <c r="C470" s="601"/>
      <c r="D470" s="601"/>
      <c r="E470" s="601"/>
      <c r="F470" s="665"/>
      <c r="G470" s="601"/>
      <c r="H470" s="665"/>
      <c r="I470" s="665"/>
      <c r="J470" s="665"/>
      <c r="K470" s="665"/>
      <c r="L470" s="665"/>
      <c r="M470" s="665"/>
      <c r="N470" s="665"/>
      <c r="O470" s="601"/>
      <c r="P470" s="601"/>
    </row>
    <row r="471" spans="2:16" ht="13.15" customHeight="1" x14ac:dyDescent="0.2">
      <c r="B471" s="601"/>
      <c r="C471" s="601"/>
      <c r="D471" s="601"/>
      <c r="E471" s="601"/>
      <c r="F471" s="665"/>
      <c r="G471" s="601"/>
      <c r="H471" s="665"/>
      <c r="I471" s="665"/>
      <c r="J471" s="665"/>
      <c r="K471" s="665"/>
      <c r="L471" s="665"/>
      <c r="M471" s="665"/>
      <c r="N471" s="665"/>
      <c r="O471" s="601"/>
      <c r="P471" s="601"/>
    </row>
    <row r="472" spans="2:16" ht="13.15" customHeight="1" x14ac:dyDescent="0.2">
      <c r="B472" s="601"/>
      <c r="C472" s="601"/>
      <c r="D472" s="601"/>
      <c r="E472" s="601"/>
      <c r="F472" s="665"/>
      <c r="G472" s="601"/>
      <c r="H472" s="665"/>
      <c r="I472" s="665"/>
      <c r="J472" s="665"/>
      <c r="K472" s="665"/>
      <c r="L472" s="665"/>
      <c r="M472" s="665"/>
      <c r="N472" s="665"/>
      <c r="O472" s="601"/>
      <c r="P472" s="601"/>
    </row>
    <row r="473" spans="2:16" ht="13.15" customHeight="1" x14ac:dyDescent="0.2">
      <c r="B473" s="601"/>
      <c r="C473" s="601"/>
      <c r="D473" s="601"/>
      <c r="E473" s="601"/>
      <c r="F473" s="665"/>
      <c r="G473" s="601"/>
      <c r="H473" s="665"/>
      <c r="I473" s="665"/>
      <c r="J473" s="665"/>
      <c r="K473" s="665"/>
      <c r="L473" s="665"/>
      <c r="M473" s="665"/>
      <c r="N473" s="665"/>
      <c r="O473" s="601"/>
      <c r="P473" s="601"/>
    </row>
    <row r="474" spans="2:16" ht="13.15" customHeight="1" x14ac:dyDescent="0.2">
      <c r="B474" s="601"/>
      <c r="C474" s="601"/>
      <c r="D474" s="601"/>
      <c r="E474" s="601"/>
      <c r="F474" s="665"/>
      <c r="G474" s="601"/>
      <c r="H474" s="665"/>
      <c r="I474" s="665"/>
      <c r="J474" s="665"/>
      <c r="K474" s="665"/>
      <c r="L474" s="665"/>
      <c r="M474" s="665"/>
      <c r="N474" s="665"/>
      <c r="O474" s="601"/>
      <c r="P474" s="601"/>
    </row>
    <row r="475" spans="2:16" ht="13.15" customHeight="1" x14ac:dyDescent="0.2">
      <c r="B475" s="601"/>
      <c r="C475" s="601"/>
      <c r="D475" s="601"/>
      <c r="E475" s="601"/>
      <c r="F475" s="665"/>
      <c r="G475" s="601"/>
      <c r="H475" s="665"/>
      <c r="I475" s="665"/>
      <c r="J475" s="665"/>
      <c r="K475" s="665"/>
      <c r="L475" s="665"/>
      <c r="M475" s="665"/>
      <c r="N475" s="665"/>
      <c r="O475" s="601"/>
      <c r="P475" s="601"/>
    </row>
    <row r="476" spans="2:16" ht="13.15" customHeight="1" x14ac:dyDescent="0.2">
      <c r="B476" s="601"/>
      <c r="C476" s="601"/>
      <c r="D476" s="601"/>
      <c r="E476" s="601"/>
      <c r="F476" s="665"/>
      <c r="G476" s="601"/>
      <c r="H476" s="665"/>
      <c r="I476" s="665"/>
      <c r="J476" s="665"/>
      <c r="K476" s="665"/>
      <c r="L476" s="665"/>
      <c r="M476" s="665"/>
      <c r="N476" s="665"/>
      <c r="O476" s="601"/>
      <c r="P476" s="601"/>
    </row>
    <row r="477" spans="2:16" ht="13.15" customHeight="1" x14ac:dyDescent="0.2">
      <c r="B477" s="601"/>
      <c r="C477" s="601"/>
      <c r="D477" s="601"/>
      <c r="E477" s="601"/>
      <c r="F477" s="665"/>
      <c r="G477" s="601"/>
      <c r="H477" s="665"/>
      <c r="I477" s="665"/>
      <c r="J477" s="665"/>
      <c r="K477" s="665"/>
      <c r="L477" s="665"/>
      <c r="M477" s="665"/>
      <c r="N477" s="665"/>
      <c r="O477" s="601"/>
      <c r="P477" s="601"/>
    </row>
    <row r="478" spans="2:16" ht="13.15" customHeight="1" x14ac:dyDescent="0.2">
      <c r="B478" s="601"/>
      <c r="C478" s="601"/>
      <c r="D478" s="601"/>
      <c r="E478" s="601"/>
      <c r="F478" s="665"/>
      <c r="G478" s="601"/>
      <c r="H478" s="665"/>
      <c r="I478" s="665"/>
      <c r="J478" s="665"/>
      <c r="K478" s="665"/>
      <c r="L478" s="665"/>
      <c r="M478" s="665"/>
      <c r="N478" s="665"/>
      <c r="O478" s="601"/>
      <c r="P478" s="601"/>
    </row>
    <row r="479" spans="2:16" ht="13.15" customHeight="1" x14ac:dyDescent="0.2">
      <c r="B479" s="601"/>
      <c r="C479" s="601"/>
      <c r="D479" s="601"/>
      <c r="E479" s="601"/>
      <c r="F479" s="665"/>
      <c r="G479" s="601"/>
      <c r="H479" s="665"/>
      <c r="I479" s="665"/>
      <c r="J479" s="665"/>
      <c r="K479" s="665"/>
      <c r="L479" s="665"/>
      <c r="M479" s="665"/>
      <c r="N479" s="665"/>
      <c r="O479" s="601"/>
      <c r="P479" s="601"/>
    </row>
    <row r="480" spans="2:16" ht="13.15" customHeight="1" x14ac:dyDescent="0.2">
      <c r="B480" s="601"/>
      <c r="C480" s="601"/>
      <c r="D480" s="601"/>
      <c r="E480" s="601"/>
      <c r="F480" s="665"/>
      <c r="G480" s="601"/>
      <c r="H480" s="665"/>
      <c r="I480" s="665"/>
      <c r="J480" s="665"/>
      <c r="K480" s="665"/>
      <c r="L480" s="665"/>
      <c r="M480" s="665"/>
      <c r="N480" s="665"/>
      <c r="O480" s="601"/>
      <c r="P480" s="601"/>
    </row>
    <row r="481" spans="2:16" ht="13.15" customHeight="1" x14ac:dyDescent="0.2">
      <c r="B481" s="601"/>
      <c r="C481" s="601"/>
      <c r="D481" s="601"/>
      <c r="E481" s="601"/>
      <c r="F481" s="665"/>
      <c r="G481" s="601"/>
      <c r="H481" s="665"/>
      <c r="I481" s="665"/>
      <c r="J481" s="665"/>
      <c r="K481" s="665"/>
      <c r="L481" s="665"/>
      <c r="M481" s="665"/>
      <c r="N481" s="665"/>
      <c r="O481" s="601"/>
      <c r="P481" s="601"/>
    </row>
    <row r="482" spans="2:16" ht="13.15" customHeight="1" x14ac:dyDescent="0.2">
      <c r="B482" s="601"/>
      <c r="C482" s="601"/>
      <c r="D482" s="601"/>
      <c r="E482" s="601"/>
      <c r="F482" s="665"/>
      <c r="G482" s="601"/>
      <c r="H482" s="665"/>
      <c r="I482" s="665"/>
      <c r="J482" s="665"/>
      <c r="K482" s="665"/>
      <c r="L482" s="665"/>
      <c r="M482" s="665"/>
      <c r="N482" s="665"/>
      <c r="O482" s="601"/>
      <c r="P482" s="601"/>
    </row>
    <row r="483" spans="2:16" ht="13.15" customHeight="1" x14ac:dyDescent="0.2">
      <c r="B483" s="601"/>
      <c r="C483" s="601"/>
      <c r="D483" s="601"/>
      <c r="E483" s="601"/>
      <c r="F483" s="665"/>
      <c r="G483" s="601"/>
      <c r="H483" s="665"/>
      <c r="I483" s="665"/>
      <c r="J483" s="665"/>
      <c r="K483" s="665"/>
      <c r="L483" s="665"/>
      <c r="M483" s="665"/>
      <c r="N483" s="665"/>
      <c r="O483" s="601"/>
      <c r="P483" s="601"/>
    </row>
    <row r="484" spans="2:16" ht="13.15" customHeight="1" x14ac:dyDescent="0.2">
      <c r="B484" s="601"/>
      <c r="C484" s="601"/>
      <c r="D484" s="601"/>
      <c r="E484" s="601"/>
      <c r="F484" s="665"/>
      <c r="G484" s="601"/>
      <c r="H484" s="665"/>
      <c r="I484" s="665"/>
      <c r="J484" s="665"/>
      <c r="K484" s="665"/>
      <c r="L484" s="665"/>
      <c r="M484" s="665"/>
      <c r="N484" s="665"/>
      <c r="O484" s="601"/>
      <c r="P484" s="601"/>
    </row>
    <row r="485" spans="2:16" ht="13.15" customHeight="1" x14ac:dyDescent="0.2">
      <c r="B485" s="601"/>
      <c r="C485" s="601"/>
      <c r="D485" s="601"/>
      <c r="E485" s="601"/>
      <c r="F485" s="665"/>
      <c r="G485" s="601"/>
      <c r="H485" s="665"/>
      <c r="I485" s="665"/>
      <c r="J485" s="665"/>
      <c r="K485" s="665"/>
      <c r="L485" s="665"/>
      <c r="M485" s="665"/>
      <c r="N485" s="665"/>
      <c r="O485" s="601"/>
      <c r="P485" s="601"/>
    </row>
    <row r="486" spans="2:16" ht="13.15" customHeight="1" x14ac:dyDescent="0.2">
      <c r="B486" s="601"/>
      <c r="C486" s="601"/>
      <c r="D486" s="601"/>
      <c r="E486" s="601"/>
      <c r="F486" s="665"/>
      <c r="G486" s="601"/>
      <c r="H486" s="665"/>
      <c r="I486" s="665"/>
      <c r="J486" s="665"/>
      <c r="K486" s="665"/>
      <c r="L486" s="665"/>
      <c r="M486" s="665"/>
      <c r="N486" s="665"/>
      <c r="O486" s="601"/>
      <c r="P486" s="601"/>
    </row>
    <row r="487" spans="2:16" ht="13.15" customHeight="1" x14ac:dyDescent="0.2">
      <c r="B487" s="601"/>
      <c r="C487" s="601"/>
      <c r="D487" s="601"/>
      <c r="E487" s="601"/>
      <c r="F487" s="665"/>
      <c r="G487" s="601"/>
      <c r="H487" s="665"/>
      <c r="I487" s="665"/>
      <c r="J487" s="665"/>
      <c r="K487" s="665"/>
      <c r="L487" s="665"/>
      <c r="M487" s="665"/>
      <c r="N487" s="665"/>
      <c r="O487" s="601"/>
      <c r="P487" s="601"/>
    </row>
    <row r="488" spans="2:16" ht="13.15" customHeight="1" x14ac:dyDescent="0.2">
      <c r="B488" s="601"/>
      <c r="C488" s="601"/>
      <c r="D488" s="601"/>
      <c r="E488" s="601"/>
      <c r="F488" s="665"/>
      <c r="G488" s="601"/>
      <c r="H488" s="665"/>
      <c r="I488" s="665"/>
      <c r="J488" s="665"/>
      <c r="K488" s="665"/>
      <c r="L488" s="665"/>
      <c r="M488" s="665"/>
      <c r="N488" s="665"/>
      <c r="O488" s="601"/>
      <c r="P488" s="601"/>
    </row>
    <row r="489" spans="2:16" ht="13.15" customHeight="1" x14ac:dyDescent="0.2">
      <c r="B489" s="601"/>
      <c r="C489" s="601"/>
      <c r="D489" s="601"/>
      <c r="E489" s="601"/>
      <c r="F489" s="665"/>
      <c r="G489" s="601"/>
      <c r="H489" s="665"/>
      <c r="I489" s="665"/>
      <c r="J489" s="665"/>
      <c r="K489" s="665"/>
      <c r="L489" s="665"/>
      <c r="M489" s="665"/>
      <c r="N489" s="665"/>
      <c r="O489" s="601"/>
      <c r="P489" s="601"/>
    </row>
    <row r="490" spans="2:16" ht="13.15" customHeight="1" x14ac:dyDescent="0.2">
      <c r="B490" s="601"/>
      <c r="C490" s="601"/>
      <c r="D490" s="601"/>
      <c r="E490" s="601"/>
      <c r="F490" s="665"/>
      <c r="G490" s="601"/>
      <c r="H490" s="665"/>
      <c r="I490" s="665"/>
      <c r="J490" s="665"/>
      <c r="K490" s="665"/>
      <c r="L490" s="665"/>
      <c r="M490" s="665"/>
      <c r="N490" s="665"/>
      <c r="O490" s="601"/>
      <c r="P490" s="601"/>
    </row>
    <row r="491" spans="2:16" ht="13.15" customHeight="1" x14ac:dyDescent="0.2">
      <c r="B491" s="601"/>
      <c r="C491" s="601"/>
      <c r="D491" s="601"/>
      <c r="E491" s="601"/>
      <c r="F491" s="665"/>
      <c r="G491" s="601"/>
      <c r="H491" s="665"/>
      <c r="I491" s="665"/>
      <c r="J491" s="665"/>
      <c r="K491" s="665"/>
      <c r="L491" s="665"/>
      <c r="M491" s="665"/>
      <c r="N491" s="665"/>
      <c r="O491" s="601"/>
      <c r="P491" s="601"/>
    </row>
    <row r="492" spans="2:16" ht="13.15" customHeight="1" x14ac:dyDescent="0.2">
      <c r="B492" s="601"/>
      <c r="C492" s="601"/>
      <c r="D492" s="601"/>
      <c r="E492" s="601"/>
      <c r="F492" s="665"/>
      <c r="G492" s="601"/>
      <c r="H492" s="665"/>
      <c r="I492" s="665"/>
      <c r="J492" s="665"/>
      <c r="K492" s="665"/>
      <c r="L492" s="665"/>
      <c r="M492" s="665"/>
      <c r="N492" s="665"/>
      <c r="O492" s="601"/>
      <c r="P492" s="601"/>
    </row>
    <row r="493" spans="2:16" ht="13.15" customHeight="1" x14ac:dyDescent="0.2">
      <c r="B493" s="601"/>
      <c r="C493" s="601"/>
      <c r="D493" s="601"/>
      <c r="E493" s="601"/>
      <c r="F493" s="665"/>
      <c r="G493" s="601"/>
      <c r="H493" s="665"/>
      <c r="I493" s="665"/>
      <c r="J493" s="665"/>
      <c r="K493" s="665"/>
      <c r="L493" s="665"/>
      <c r="M493" s="665"/>
      <c r="N493" s="665"/>
      <c r="O493" s="601"/>
      <c r="P493" s="601"/>
    </row>
    <row r="494" spans="2:16" ht="13.15" customHeight="1" x14ac:dyDescent="0.2">
      <c r="B494" s="601"/>
      <c r="C494" s="601"/>
      <c r="D494" s="601"/>
      <c r="E494" s="601"/>
      <c r="F494" s="665"/>
      <c r="G494" s="601"/>
      <c r="H494" s="665"/>
      <c r="I494" s="665"/>
      <c r="J494" s="665"/>
      <c r="K494" s="665"/>
      <c r="L494" s="665"/>
      <c r="M494" s="665"/>
      <c r="N494" s="665"/>
      <c r="O494" s="601"/>
      <c r="P494" s="601"/>
    </row>
    <row r="495" spans="2:16" ht="13.15" customHeight="1" x14ac:dyDescent="0.2">
      <c r="B495" s="601"/>
      <c r="C495" s="601"/>
      <c r="D495" s="601"/>
      <c r="E495" s="601"/>
      <c r="F495" s="665"/>
      <c r="G495" s="601"/>
      <c r="H495" s="665"/>
      <c r="I495" s="665"/>
      <c r="J495" s="665"/>
      <c r="K495" s="665"/>
      <c r="L495" s="665"/>
      <c r="M495" s="665"/>
      <c r="N495" s="665"/>
      <c r="O495" s="601"/>
      <c r="P495" s="601"/>
    </row>
    <row r="496" spans="2:16" ht="13.15" customHeight="1" x14ac:dyDescent="0.2">
      <c r="B496" s="601"/>
      <c r="C496" s="601"/>
      <c r="D496" s="601"/>
      <c r="E496" s="601"/>
      <c r="F496" s="665"/>
      <c r="G496" s="601"/>
      <c r="H496" s="665"/>
      <c r="I496" s="665"/>
      <c r="J496" s="665"/>
      <c r="K496" s="665"/>
      <c r="L496" s="665"/>
      <c r="M496" s="665"/>
      <c r="N496" s="665"/>
      <c r="O496" s="601"/>
      <c r="P496" s="601"/>
    </row>
    <row r="497" spans="2:16" ht="13.15" customHeight="1" x14ac:dyDescent="0.2">
      <c r="B497" s="601"/>
      <c r="C497" s="601"/>
      <c r="D497" s="601"/>
      <c r="E497" s="601"/>
      <c r="F497" s="665"/>
      <c r="G497" s="601"/>
      <c r="H497" s="665"/>
      <c r="I497" s="665"/>
      <c r="J497" s="665"/>
      <c r="K497" s="665"/>
      <c r="L497" s="665"/>
      <c r="M497" s="665"/>
      <c r="N497" s="665"/>
      <c r="O497" s="601"/>
      <c r="P497" s="601"/>
    </row>
    <row r="498" spans="2:16" ht="13.15" customHeight="1" x14ac:dyDescent="0.2">
      <c r="B498" s="601"/>
      <c r="C498" s="601"/>
      <c r="D498" s="601"/>
      <c r="E498" s="601"/>
      <c r="F498" s="665"/>
      <c r="G498" s="601"/>
      <c r="H498" s="665"/>
      <c r="I498" s="665"/>
      <c r="J498" s="665"/>
      <c r="K498" s="665"/>
      <c r="L498" s="665"/>
      <c r="M498" s="665"/>
      <c r="N498" s="665"/>
      <c r="O498" s="601"/>
      <c r="P498" s="601"/>
    </row>
    <row r="499" spans="2:16" ht="13.15" customHeight="1" x14ac:dyDescent="0.2">
      <c r="B499" s="601"/>
      <c r="C499" s="601"/>
      <c r="D499" s="601"/>
      <c r="E499" s="601"/>
      <c r="F499" s="665"/>
      <c r="G499" s="601"/>
      <c r="H499" s="665"/>
      <c r="I499" s="665"/>
      <c r="J499" s="665"/>
      <c r="K499" s="665"/>
      <c r="L499" s="665"/>
      <c r="M499" s="665"/>
      <c r="N499" s="665"/>
      <c r="O499" s="601"/>
      <c r="P499" s="601"/>
    </row>
    <row r="500" spans="2:16" ht="13.15" customHeight="1" x14ac:dyDescent="0.2">
      <c r="B500" s="601"/>
      <c r="C500" s="601"/>
      <c r="D500" s="601"/>
      <c r="E500" s="601"/>
      <c r="F500" s="665"/>
      <c r="G500" s="601"/>
      <c r="H500" s="665"/>
      <c r="I500" s="665"/>
      <c r="J500" s="665"/>
      <c r="K500" s="665"/>
      <c r="L500" s="665"/>
      <c r="M500" s="665"/>
      <c r="N500" s="665"/>
      <c r="O500" s="601"/>
      <c r="P500" s="601"/>
    </row>
    <row r="501" spans="2:16" ht="13.15" customHeight="1" x14ac:dyDescent="0.2">
      <c r="B501" s="601"/>
      <c r="C501" s="601"/>
      <c r="D501" s="601"/>
      <c r="E501" s="601"/>
      <c r="F501" s="665"/>
      <c r="G501" s="601"/>
      <c r="H501" s="665"/>
      <c r="I501" s="665"/>
      <c r="J501" s="665"/>
      <c r="K501" s="665"/>
      <c r="L501" s="665"/>
      <c r="M501" s="665"/>
      <c r="N501" s="665"/>
      <c r="O501" s="601"/>
      <c r="P501" s="601"/>
    </row>
    <row r="502" spans="2:16" ht="13.15" customHeight="1" x14ac:dyDescent="0.2">
      <c r="B502" s="601"/>
      <c r="C502" s="601"/>
      <c r="D502" s="601"/>
      <c r="E502" s="601"/>
      <c r="F502" s="665"/>
      <c r="G502" s="601"/>
      <c r="H502" s="665"/>
      <c r="I502" s="665"/>
      <c r="J502" s="665"/>
      <c r="K502" s="665"/>
      <c r="L502" s="665"/>
      <c r="M502" s="665"/>
      <c r="N502" s="665"/>
      <c r="O502" s="601"/>
      <c r="P502" s="601"/>
    </row>
    <row r="503" spans="2:16" ht="13.15" customHeight="1" x14ac:dyDescent="0.2">
      <c r="B503" s="601"/>
      <c r="C503" s="601"/>
      <c r="D503" s="601"/>
      <c r="E503" s="601"/>
      <c r="F503" s="665"/>
      <c r="G503" s="601"/>
      <c r="H503" s="665"/>
      <c r="I503" s="665"/>
      <c r="J503" s="665"/>
      <c r="K503" s="665"/>
      <c r="L503" s="665"/>
      <c r="M503" s="665"/>
      <c r="N503" s="665"/>
      <c r="O503" s="601"/>
      <c r="P503" s="601"/>
    </row>
    <row r="504" spans="2:16" ht="13.15" customHeight="1" x14ac:dyDescent="0.2">
      <c r="B504" s="601"/>
      <c r="C504" s="601"/>
      <c r="D504" s="601"/>
      <c r="E504" s="601"/>
      <c r="F504" s="665"/>
      <c r="G504" s="601"/>
      <c r="H504" s="665"/>
      <c r="I504" s="665"/>
      <c r="J504" s="665"/>
      <c r="K504" s="665"/>
      <c r="L504" s="665"/>
      <c r="M504" s="665"/>
      <c r="N504" s="665"/>
      <c r="O504" s="601"/>
      <c r="P504" s="601"/>
    </row>
    <row r="505" spans="2:16" ht="13.15" customHeight="1" x14ac:dyDescent="0.2">
      <c r="B505" s="601"/>
      <c r="C505" s="601"/>
      <c r="D505" s="601"/>
      <c r="E505" s="601"/>
      <c r="F505" s="665"/>
      <c r="G505" s="601"/>
      <c r="H505" s="665"/>
      <c r="I505" s="665"/>
      <c r="J505" s="665"/>
      <c r="K505" s="665"/>
      <c r="L505" s="665"/>
      <c r="M505" s="665"/>
      <c r="N505" s="665"/>
      <c r="O505" s="601"/>
      <c r="P505" s="601"/>
    </row>
    <row r="506" spans="2:16" ht="13.15" customHeight="1" x14ac:dyDescent="0.2">
      <c r="B506" s="601"/>
      <c r="C506" s="601"/>
      <c r="D506" s="601"/>
      <c r="E506" s="601"/>
      <c r="F506" s="665"/>
      <c r="G506" s="601"/>
      <c r="H506" s="665"/>
      <c r="I506" s="665"/>
      <c r="J506" s="665"/>
      <c r="K506" s="665"/>
      <c r="L506" s="665"/>
      <c r="M506" s="665"/>
      <c r="N506" s="665"/>
      <c r="O506" s="601"/>
      <c r="P506" s="601"/>
    </row>
    <row r="507" spans="2:16" ht="13.15" customHeight="1" x14ac:dyDescent="0.2">
      <c r="B507" s="601"/>
      <c r="C507" s="601"/>
      <c r="D507" s="601"/>
      <c r="E507" s="601"/>
      <c r="F507" s="665"/>
      <c r="G507" s="601"/>
      <c r="H507" s="665"/>
      <c r="I507" s="665"/>
      <c r="J507" s="665"/>
      <c r="K507" s="665"/>
      <c r="L507" s="665"/>
      <c r="M507" s="665"/>
      <c r="N507" s="665"/>
      <c r="O507" s="601"/>
      <c r="P507" s="601"/>
    </row>
    <row r="508" spans="2:16" ht="13.15" customHeight="1" x14ac:dyDescent="0.2">
      <c r="B508" s="601"/>
      <c r="C508" s="601"/>
      <c r="D508" s="601"/>
      <c r="E508" s="601"/>
      <c r="F508" s="665"/>
      <c r="G508" s="601"/>
      <c r="H508" s="665"/>
      <c r="I508" s="665"/>
      <c r="J508" s="665"/>
      <c r="K508" s="665"/>
      <c r="L508" s="665"/>
      <c r="M508" s="665"/>
      <c r="N508" s="665"/>
      <c r="O508" s="601"/>
      <c r="P508" s="601"/>
    </row>
    <row r="509" spans="2:16" ht="13.15" customHeight="1" x14ac:dyDescent="0.2">
      <c r="B509" s="601"/>
      <c r="C509" s="601"/>
      <c r="D509" s="601"/>
      <c r="E509" s="601"/>
      <c r="F509" s="665"/>
      <c r="G509" s="601"/>
      <c r="H509" s="665"/>
      <c r="I509" s="665"/>
      <c r="J509" s="665"/>
      <c r="K509" s="665"/>
      <c r="L509" s="665"/>
      <c r="M509" s="665"/>
      <c r="N509" s="665"/>
      <c r="O509" s="601"/>
      <c r="P509" s="601"/>
    </row>
    <row r="510" spans="2:16" ht="13.15" customHeight="1" x14ac:dyDescent="0.2">
      <c r="B510" s="601"/>
      <c r="C510" s="601"/>
      <c r="D510" s="601"/>
      <c r="E510" s="601"/>
      <c r="F510" s="665"/>
      <c r="G510" s="601"/>
      <c r="H510" s="665"/>
      <c r="I510" s="665"/>
      <c r="J510" s="665"/>
      <c r="K510" s="665"/>
      <c r="L510" s="665"/>
      <c r="M510" s="665"/>
      <c r="N510" s="665"/>
      <c r="O510" s="601"/>
      <c r="P510" s="601"/>
    </row>
    <row r="511" spans="2:16" ht="13.15" customHeight="1" x14ac:dyDescent="0.2">
      <c r="B511" s="601"/>
      <c r="C511" s="601"/>
      <c r="D511" s="601"/>
      <c r="E511" s="601"/>
      <c r="F511" s="665"/>
      <c r="G511" s="601"/>
      <c r="H511" s="665"/>
      <c r="I511" s="665"/>
      <c r="J511" s="665"/>
      <c r="K511" s="665"/>
      <c r="L511" s="665"/>
      <c r="M511" s="665"/>
      <c r="N511" s="665"/>
      <c r="O511" s="601"/>
      <c r="P511" s="601"/>
    </row>
    <row r="512" spans="2:16" ht="13.15" customHeight="1" x14ac:dyDescent="0.2">
      <c r="B512" s="601"/>
      <c r="C512" s="601"/>
      <c r="D512" s="601"/>
      <c r="E512" s="601"/>
      <c r="F512" s="665"/>
      <c r="G512" s="601"/>
      <c r="H512" s="665"/>
      <c r="I512" s="665"/>
      <c r="J512" s="665"/>
      <c r="K512" s="665"/>
      <c r="L512" s="665"/>
      <c r="M512" s="665"/>
      <c r="N512" s="665"/>
      <c r="O512" s="601"/>
      <c r="P512" s="601"/>
    </row>
    <row r="513" spans="2:16" ht="13.15" customHeight="1" x14ac:dyDescent="0.2">
      <c r="B513" s="601"/>
      <c r="C513" s="601"/>
      <c r="D513" s="601"/>
      <c r="E513" s="601"/>
      <c r="F513" s="665"/>
      <c r="G513" s="601"/>
      <c r="H513" s="665"/>
      <c r="I513" s="665"/>
      <c r="J513" s="665"/>
      <c r="K513" s="665"/>
      <c r="L513" s="665"/>
      <c r="M513" s="665"/>
      <c r="N513" s="665"/>
      <c r="O513" s="601"/>
      <c r="P513" s="601"/>
    </row>
    <row r="514" spans="2:16" ht="13.15" customHeight="1" x14ac:dyDescent="0.2">
      <c r="B514" s="601"/>
      <c r="C514" s="601"/>
      <c r="D514" s="601"/>
      <c r="E514" s="601"/>
      <c r="F514" s="665"/>
      <c r="G514" s="601"/>
      <c r="H514" s="665"/>
      <c r="I514" s="665"/>
      <c r="J514" s="665"/>
      <c r="K514" s="665"/>
      <c r="L514" s="665"/>
      <c r="M514" s="665"/>
      <c r="N514" s="665"/>
      <c r="O514" s="601"/>
      <c r="P514" s="601"/>
    </row>
    <row r="515" spans="2:16" ht="13.15" customHeight="1" x14ac:dyDescent="0.2">
      <c r="B515" s="601"/>
      <c r="C515" s="601"/>
      <c r="D515" s="601"/>
      <c r="E515" s="601"/>
      <c r="F515" s="665"/>
      <c r="G515" s="601"/>
      <c r="H515" s="665"/>
      <c r="I515" s="665"/>
      <c r="J515" s="665"/>
      <c r="K515" s="665"/>
      <c r="L515" s="665"/>
      <c r="M515" s="665"/>
      <c r="N515" s="665"/>
      <c r="O515" s="601"/>
      <c r="P515" s="601"/>
    </row>
    <row r="516" spans="2:16" ht="13.15" customHeight="1" x14ac:dyDescent="0.2">
      <c r="B516" s="601"/>
      <c r="C516" s="601"/>
      <c r="D516" s="601"/>
      <c r="E516" s="601"/>
      <c r="F516" s="665"/>
      <c r="G516" s="601"/>
      <c r="H516" s="665"/>
      <c r="I516" s="665"/>
      <c r="J516" s="665"/>
      <c r="K516" s="665"/>
      <c r="L516" s="665"/>
      <c r="M516" s="665"/>
      <c r="N516" s="665"/>
      <c r="O516" s="601"/>
      <c r="P516" s="601"/>
    </row>
    <row r="517" spans="2:16" ht="13.15" customHeight="1" x14ac:dyDescent="0.2">
      <c r="B517" s="601"/>
      <c r="C517" s="601"/>
      <c r="D517" s="601"/>
      <c r="E517" s="601"/>
      <c r="F517" s="665"/>
      <c r="G517" s="601"/>
      <c r="H517" s="665"/>
      <c r="I517" s="665"/>
      <c r="J517" s="665"/>
      <c r="K517" s="665"/>
      <c r="L517" s="665"/>
      <c r="M517" s="665"/>
      <c r="N517" s="665"/>
      <c r="O517" s="601"/>
      <c r="P517" s="601"/>
    </row>
  </sheetData>
  <sheetProtection algorithmName="SHA-512" hashValue="S0QxLOmo10m7DHkpGsSRUKS6rxJdfoiUrwN+tj9yr6lN8Jjuv75ZXNa32SteVZMocUCRGpcoh96o8ojy5H+2MQ==" saltValue="cPwWIiBtuB1mzwsnsrGX+Q==" spinCount="100000" sheet="1" objects="1" scenarios="1"/>
  <phoneticPr fontId="0" type="noConversion"/>
  <pageMargins left="0.75" right="0.75" top="1" bottom="1" header="0.5" footer="0.5"/>
  <pageSetup paperSize="9" scale="48" orientation="portrait" r:id="rId1"/>
  <headerFooter alignWithMargins="0">
    <oddHeader>&amp;L&amp;"Arial,Vet"&amp;9&amp;F&amp;R&amp;"Arial,Vet"&amp;9&amp;A</oddHeader>
    <oddFooter>&amp;L&amp;"Arial,Vet"&amp;9keizer / goedhart&amp;C&amp;"Arial,Vet"&amp;9pagina &amp;P&amp;R&amp;"Arial,Vet"&amp;9&amp;D</oddFooter>
  </headerFooter>
  <rowBreaks count="1" manualBreakCount="1">
    <brk id="108" min="1" max="15"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88"/>
  <sheetViews>
    <sheetView showGridLines="0" zoomScale="85" zoomScaleNormal="85" workbookViewId="0">
      <selection activeCell="B2" sqref="B2"/>
    </sheetView>
  </sheetViews>
  <sheetFormatPr defaultColWidth="9.140625" defaultRowHeight="13.15" customHeight="1" x14ac:dyDescent="0.2"/>
  <cols>
    <col min="1" max="1" width="3.7109375" style="476" customWidth="1"/>
    <col min="2" max="3" width="2.7109375" style="131" customWidth="1"/>
    <col min="4" max="4" width="23.85546875" style="132" customWidth="1"/>
    <col min="5" max="5" width="22.7109375" style="132" customWidth="1"/>
    <col min="6" max="9" width="10.7109375" style="134" customWidth="1"/>
    <col min="10" max="10" width="0.85546875" style="131" customWidth="1"/>
    <col min="11" max="11" width="12.7109375" style="131" hidden="1" customWidth="1"/>
    <col min="12" max="13" width="12.7109375" style="131" customWidth="1"/>
    <col min="14" max="14" width="12.85546875" style="131" customWidth="1"/>
    <col min="15" max="15" width="13.85546875" style="131" customWidth="1"/>
    <col min="16" max="16" width="0.85546875" style="131" customWidth="1"/>
    <col min="17" max="23" width="10.7109375" style="131" customWidth="1"/>
    <col min="24" max="24" width="0.85546875" style="131" customWidth="1"/>
    <col min="25" max="25" width="10.7109375" style="11" customWidth="1"/>
    <col min="26" max="31" width="10.7109375" style="131" customWidth="1"/>
    <col min="32" max="33" width="2.7109375" style="131" customWidth="1"/>
    <col min="34" max="70" width="9.140625" style="476"/>
    <col min="71" max="16384" width="9.140625" style="131"/>
  </cols>
  <sheetData>
    <row r="1" spans="1:70" s="476" customFormat="1" ht="13.15" customHeight="1" x14ac:dyDescent="0.2">
      <c r="D1" s="679"/>
      <c r="E1" s="679"/>
      <c r="F1" s="614"/>
      <c r="G1" s="614"/>
      <c r="H1" s="614"/>
      <c r="I1" s="614"/>
      <c r="Y1" s="625"/>
    </row>
    <row r="2" spans="1:70" ht="13.15" customHeight="1" x14ac:dyDescent="0.2">
      <c r="B2" s="82"/>
      <c r="C2" s="83"/>
      <c r="D2" s="148"/>
      <c r="E2" s="148"/>
      <c r="F2" s="84"/>
      <c r="G2" s="84"/>
      <c r="H2" s="84"/>
      <c r="I2" s="84"/>
      <c r="J2" s="83"/>
      <c r="K2" s="83"/>
      <c r="L2" s="83"/>
      <c r="M2" s="83"/>
      <c r="N2" s="462"/>
      <c r="O2" s="83"/>
      <c r="P2" s="83"/>
      <c r="Q2" s="83"/>
      <c r="R2" s="83"/>
      <c r="S2" s="83"/>
      <c r="T2" s="83"/>
      <c r="U2" s="83"/>
      <c r="V2" s="83"/>
      <c r="W2" s="83"/>
      <c r="X2" s="83"/>
      <c r="Y2" s="192"/>
      <c r="Z2" s="83"/>
      <c r="AA2" s="83"/>
      <c r="AB2" s="83"/>
      <c r="AC2" s="83"/>
      <c r="AD2" s="83"/>
      <c r="AE2" s="83"/>
      <c r="AF2" s="83"/>
      <c r="AG2" s="85"/>
    </row>
    <row r="3" spans="1:70" ht="13.15" customHeight="1" x14ac:dyDescent="0.2">
      <c r="B3" s="86"/>
      <c r="C3" s="87"/>
      <c r="D3" s="142"/>
      <c r="E3" s="142"/>
      <c r="F3" s="80"/>
      <c r="G3" s="80"/>
      <c r="H3" s="80"/>
      <c r="I3" s="80"/>
      <c r="J3" s="87"/>
      <c r="K3" s="87"/>
      <c r="L3" s="87"/>
      <c r="M3" s="87"/>
      <c r="N3" s="87"/>
      <c r="O3" s="87"/>
      <c r="P3" s="87"/>
      <c r="Q3" s="87"/>
      <c r="R3" s="87"/>
      <c r="S3" s="87"/>
      <c r="T3" s="87"/>
      <c r="U3" s="87"/>
      <c r="V3" s="87"/>
      <c r="W3" s="87"/>
      <c r="X3" s="87"/>
      <c r="Y3" s="66"/>
      <c r="Z3" s="87"/>
      <c r="AA3" s="87"/>
      <c r="AB3" s="87"/>
      <c r="AC3" s="87"/>
      <c r="AD3" s="87"/>
      <c r="AE3" s="87"/>
      <c r="AF3" s="87"/>
      <c r="AG3" s="88"/>
    </row>
    <row r="4" spans="1:70" s="770" customFormat="1" ht="18" customHeight="1" x14ac:dyDescent="0.3">
      <c r="A4" s="769"/>
      <c r="B4" s="203"/>
      <c r="C4" s="204" t="s">
        <v>114</v>
      </c>
      <c r="D4" s="740"/>
      <c r="E4" s="740"/>
      <c r="F4" s="205"/>
      <c r="G4" s="205"/>
      <c r="H4" s="205"/>
      <c r="I4" s="205"/>
      <c r="J4" s="204"/>
      <c r="K4" s="204"/>
      <c r="L4" s="204"/>
      <c r="M4" s="204"/>
      <c r="N4" s="204"/>
      <c r="O4" s="204"/>
      <c r="P4" s="204"/>
      <c r="Q4" s="204"/>
      <c r="R4" s="204"/>
      <c r="S4" s="204"/>
      <c r="T4" s="204"/>
      <c r="U4" s="204"/>
      <c r="V4" s="204"/>
      <c r="W4" s="204"/>
      <c r="X4" s="204"/>
      <c r="Y4" s="251"/>
      <c r="Z4" s="204"/>
      <c r="AA4" s="204"/>
      <c r="AB4" s="204"/>
      <c r="AC4" s="204"/>
      <c r="AD4" s="204"/>
      <c r="AE4" s="204"/>
      <c r="AF4" s="204"/>
      <c r="AG4" s="206"/>
      <c r="AH4" s="769"/>
      <c r="AI4" s="769"/>
      <c r="AJ4" s="769"/>
      <c r="AK4" s="769"/>
      <c r="AL4" s="769"/>
      <c r="AM4" s="769"/>
      <c r="AN4" s="769"/>
      <c r="AO4" s="769"/>
      <c r="AP4" s="769"/>
      <c r="AQ4" s="769"/>
      <c r="AR4" s="769"/>
      <c r="AS4" s="769"/>
      <c r="AT4" s="769"/>
      <c r="AU4" s="769"/>
      <c r="AV4" s="769"/>
      <c r="AW4" s="769"/>
      <c r="AX4" s="769"/>
      <c r="AY4" s="769"/>
      <c r="AZ4" s="769"/>
      <c r="BA4" s="769"/>
      <c r="BB4" s="769"/>
      <c r="BC4" s="769"/>
      <c r="BD4" s="769"/>
      <c r="BE4" s="769"/>
      <c r="BF4" s="769"/>
      <c r="BG4" s="769"/>
      <c r="BH4" s="769"/>
      <c r="BI4" s="769"/>
      <c r="BJ4" s="769"/>
      <c r="BK4" s="769"/>
      <c r="BL4" s="769"/>
      <c r="BM4" s="769"/>
      <c r="BN4" s="769"/>
      <c r="BO4" s="769"/>
      <c r="BP4" s="769"/>
      <c r="BQ4" s="769"/>
      <c r="BR4" s="769"/>
    </row>
    <row r="5" spans="1:70" s="785" customFormat="1" ht="17.45" customHeight="1" x14ac:dyDescent="0.25">
      <c r="A5" s="782"/>
      <c r="B5" s="783"/>
      <c r="C5" s="741" t="str">
        <f>'geg LO'!G8</f>
        <v>SWV PO Passend Onderwijs</v>
      </c>
      <c r="D5" s="773"/>
      <c r="E5" s="773"/>
      <c r="F5" s="763"/>
      <c r="G5" s="763"/>
      <c r="H5" s="763"/>
      <c r="I5" s="763"/>
      <c r="J5" s="111"/>
      <c r="K5" s="111"/>
      <c r="L5" s="111"/>
      <c r="M5" s="111"/>
      <c r="N5" s="111"/>
      <c r="O5" s="111"/>
      <c r="P5" s="111"/>
      <c r="Q5" s="111"/>
      <c r="R5" s="111"/>
      <c r="S5" s="111"/>
      <c r="T5" s="111"/>
      <c r="U5" s="111"/>
      <c r="V5" s="111"/>
      <c r="W5" s="111"/>
      <c r="X5" s="111"/>
      <c r="Y5" s="784"/>
      <c r="Z5" s="111"/>
      <c r="AA5" s="111"/>
      <c r="AB5" s="111"/>
      <c r="AC5" s="111"/>
      <c r="AD5" s="111"/>
      <c r="AE5" s="111"/>
      <c r="AF5" s="111"/>
      <c r="AG5" s="774"/>
      <c r="AH5" s="782"/>
      <c r="AI5" s="782"/>
      <c r="AJ5" s="782"/>
      <c r="AK5" s="782"/>
      <c r="AL5" s="782"/>
      <c r="AM5" s="782"/>
      <c r="AN5" s="782"/>
      <c r="AO5" s="782"/>
      <c r="AP5" s="782"/>
      <c r="AQ5" s="782"/>
      <c r="AR5" s="782"/>
      <c r="AS5" s="782"/>
      <c r="AT5" s="782"/>
      <c r="AU5" s="782"/>
      <c r="AV5" s="782"/>
      <c r="AW5" s="782"/>
      <c r="AX5" s="782"/>
      <c r="AY5" s="782"/>
      <c r="AZ5" s="782"/>
      <c r="BA5" s="782"/>
      <c r="BB5" s="782"/>
      <c r="BC5" s="782"/>
      <c r="BD5" s="782"/>
      <c r="BE5" s="782"/>
      <c r="BF5" s="782"/>
      <c r="BG5" s="782"/>
      <c r="BH5" s="782"/>
      <c r="BI5" s="782"/>
      <c r="BJ5" s="782"/>
      <c r="BK5" s="782"/>
      <c r="BL5" s="782"/>
      <c r="BM5" s="782"/>
      <c r="BN5" s="782"/>
      <c r="BO5" s="782"/>
      <c r="BP5" s="782"/>
      <c r="BQ5" s="782"/>
      <c r="BR5" s="782"/>
    </row>
    <row r="6" spans="1:70" ht="13.15" customHeight="1" x14ac:dyDescent="0.2">
      <c r="B6" s="86"/>
      <c r="C6" s="87"/>
      <c r="D6" s="142"/>
      <c r="E6" s="142"/>
      <c r="F6" s="80"/>
      <c r="G6" s="80"/>
      <c r="H6" s="80"/>
      <c r="I6" s="80"/>
      <c r="J6" s="87"/>
      <c r="K6" s="87"/>
      <c r="L6" s="87"/>
      <c r="M6" s="291"/>
      <c r="N6" s="145"/>
      <c r="O6" s="87"/>
      <c r="P6" s="87"/>
      <c r="Q6" s="293"/>
      <c r="R6" s="293"/>
      <c r="S6" s="283"/>
      <c r="T6" s="294"/>
      <c r="U6" s="294"/>
      <c r="V6" s="294"/>
      <c r="W6" s="294"/>
      <c r="X6" s="183"/>
      <c r="Y6" s="183"/>
      <c r="Z6" s="183"/>
      <c r="AA6" s="283"/>
      <c r="AB6" s="87"/>
      <c r="AC6" s="87"/>
      <c r="AD6" s="87"/>
      <c r="AE6" s="87"/>
      <c r="AF6" s="87"/>
      <c r="AG6" s="88"/>
    </row>
    <row r="7" spans="1:70" ht="13.15" customHeight="1" x14ac:dyDescent="0.2">
      <c r="B7" s="86"/>
      <c r="C7" s="87"/>
      <c r="D7" s="142"/>
      <c r="E7" s="142"/>
      <c r="F7" s="80"/>
      <c r="G7" s="80"/>
      <c r="H7" s="80"/>
      <c r="I7" s="80"/>
      <c r="J7" s="87"/>
      <c r="K7" s="87"/>
      <c r="L7" s="87"/>
      <c r="M7" s="291"/>
      <c r="N7" s="145"/>
      <c r="O7" s="87"/>
      <c r="P7" s="87"/>
      <c r="Q7" s="293"/>
      <c r="R7" s="293"/>
      <c r="S7" s="283"/>
      <c r="T7" s="294"/>
      <c r="U7" s="294"/>
      <c r="V7" s="294"/>
      <c r="W7" s="294"/>
      <c r="X7" s="183"/>
      <c r="Y7" s="183"/>
      <c r="Z7" s="183"/>
      <c r="AA7" s="283"/>
      <c r="AB7" s="87"/>
      <c r="AC7" s="87"/>
      <c r="AD7" s="87"/>
      <c r="AE7" s="87"/>
      <c r="AF7" s="87"/>
      <c r="AG7" s="517"/>
    </row>
    <row r="8" spans="1:70" s="241" customFormat="1" ht="13.15" customHeight="1" x14ac:dyDescent="0.2">
      <c r="A8" s="737"/>
      <c r="B8" s="295"/>
      <c r="C8" s="104"/>
      <c r="D8" s="920" t="s">
        <v>274</v>
      </c>
      <c r="E8" s="920" t="s">
        <v>275</v>
      </c>
      <c r="F8" s="921" t="s">
        <v>276</v>
      </c>
      <c r="G8" s="921" t="s">
        <v>277</v>
      </c>
      <c r="H8" s="921" t="s">
        <v>278</v>
      </c>
      <c r="I8" s="921" t="s">
        <v>279</v>
      </c>
      <c r="J8" s="921"/>
      <c r="K8" s="921" t="s">
        <v>280</v>
      </c>
      <c r="L8" s="921" t="s">
        <v>281</v>
      </c>
      <c r="M8" s="921" t="s">
        <v>282</v>
      </c>
      <c r="N8" s="922" t="s">
        <v>283</v>
      </c>
      <c r="O8" s="921" t="s">
        <v>284</v>
      </c>
      <c r="P8" s="921"/>
      <c r="Q8" s="921">
        <f>O9</f>
        <v>2015</v>
      </c>
      <c r="R8" s="923">
        <f>Q8+1</f>
        <v>2016</v>
      </c>
      <c r="S8" s="923">
        <f>Q8+2</f>
        <v>2017</v>
      </c>
      <c r="T8" s="924">
        <f>Q8+3</f>
        <v>2018</v>
      </c>
      <c r="U8" s="924">
        <f>R8+3</f>
        <v>2019</v>
      </c>
      <c r="V8" s="924">
        <f>S8+3</f>
        <v>2020</v>
      </c>
      <c r="W8" s="924">
        <f>T8+3</f>
        <v>2021</v>
      </c>
      <c r="X8" s="921"/>
      <c r="Y8" s="921">
        <f t="shared" ref="Y8:AE8" si="0">Q8</f>
        <v>2015</v>
      </c>
      <c r="Z8" s="921">
        <f t="shared" si="0"/>
        <v>2016</v>
      </c>
      <c r="AA8" s="921">
        <f t="shared" si="0"/>
        <v>2017</v>
      </c>
      <c r="AB8" s="921">
        <f t="shared" si="0"/>
        <v>2018</v>
      </c>
      <c r="AC8" s="921">
        <f t="shared" si="0"/>
        <v>2019</v>
      </c>
      <c r="AD8" s="921">
        <f t="shared" si="0"/>
        <v>2020</v>
      </c>
      <c r="AE8" s="921">
        <f t="shared" si="0"/>
        <v>2021</v>
      </c>
      <c r="AF8" s="104"/>
      <c r="AG8" s="296"/>
      <c r="AH8" s="737"/>
      <c r="AI8" s="737"/>
      <c r="AJ8" s="737"/>
      <c r="AK8" s="737"/>
      <c r="AL8" s="737"/>
      <c r="AM8" s="737"/>
      <c r="AN8" s="737"/>
      <c r="AO8" s="737"/>
      <c r="AP8" s="737"/>
      <c r="AQ8" s="737"/>
      <c r="AR8" s="737"/>
      <c r="AS8" s="737"/>
      <c r="AT8" s="737"/>
      <c r="AU8" s="737"/>
      <c r="AV8" s="737"/>
      <c r="AW8" s="737"/>
      <c r="AX8" s="737"/>
      <c r="AY8" s="737"/>
      <c r="AZ8" s="737"/>
      <c r="BA8" s="737"/>
      <c r="BB8" s="737"/>
      <c r="BC8" s="737"/>
      <c r="BD8" s="737"/>
      <c r="BE8" s="737"/>
      <c r="BF8" s="737"/>
      <c r="BG8" s="737"/>
      <c r="BH8" s="737"/>
      <c r="BI8" s="737"/>
      <c r="BJ8" s="737"/>
      <c r="BK8" s="737"/>
      <c r="BL8" s="737"/>
      <c r="BM8" s="737"/>
      <c r="BN8" s="737"/>
      <c r="BO8" s="737"/>
      <c r="BP8" s="737"/>
      <c r="BQ8" s="737"/>
      <c r="BR8" s="737"/>
    </row>
    <row r="9" spans="1:70" s="241" customFormat="1" ht="13.15" customHeight="1" x14ac:dyDescent="0.2">
      <c r="A9" s="737"/>
      <c r="B9" s="295"/>
      <c r="C9" s="104"/>
      <c r="D9" s="920"/>
      <c r="E9" s="920"/>
      <c r="F9" s="921" t="s">
        <v>285</v>
      </c>
      <c r="G9" s="921" t="s">
        <v>286</v>
      </c>
      <c r="H9" s="921" t="s">
        <v>287</v>
      </c>
      <c r="I9" s="921" t="s">
        <v>288</v>
      </c>
      <c r="J9" s="921"/>
      <c r="K9" s="921"/>
      <c r="L9" s="921" t="s">
        <v>289</v>
      </c>
      <c r="M9" s="921" t="s">
        <v>290</v>
      </c>
      <c r="N9" s="922" t="s">
        <v>282</v>
      </c>
      <c r="O9" s="924">
        <f>tab!C4</f>
        <v>2015</v>
      </c>
      <c r="P9" s="921"/>
      <c r="Q9" s="921" t="s">
        <v>282</v>
      </c>
      <c r="R9" s="921" t="s">
        <v>282</v>
      </c>
      <c r="S9" s="921" t="s">
        <v>282</v>
      </c>
      <c r="T9" s="921" t="s">
        <v>282</v>
      </c>
      <c r="U9" s="921" t="s">
        <v>282</v>
      </c>
      <c r="V9" s="921" t="s">
        <v>282</v>
      </c>
      <c r="W9" s="921" t="s">
        <v>282</v>
      </c>
      <c r="X9" s="921"/>
      <c r="Y9" s="921" t="s">
        <v>291</v>
      </c>
      <c r="Z9" s="921" t="s">
        <v>291</v>
      </c>
      <c r="AA9" s="921" t="s">
        <v>291</v>
      </c>
      <c r="AB9" s="921" t="s">
        <v>291</v>
      </c>
      <c r="AC9" s="921" t="s">
        <v>291</v>
      </c>
      <c r="AD9" s="921" t="s">
        <v>291</v>
      </c>
      <c r="AE9" s="921" t="s">
        <v>291</v>
      </c>
      <c r="AF9" s="104"/>
      <c r="AG9" s="296"/>
      <c r="AH9" s="737"/>
      <c r="AI9" s="737"/>
      <c r="AJ9" s="737"/>
      <c r="AK9" s="737"/>
      <c r="AL9" s="737"/>
      <c r="AM9" s="737"/>
      <c r="AN9" s="737"/>
      <c r="AO9" s="737"/>
      <c r="AP9" s="737"/>
      <c r="AQ9" s="737"/>
      <c r="AR9" s="737"/>
      <c r="AS9" s="737"/>
      <c r="AT9" s="737"/>
      <c r="AU9" s="737"/>
      <c r="AV9" s="737"/>
      <c r="AW9" s="737"/>
      <c r="AX9" s="737"/>
      <c r="AY9" s="737"/>
      <c r="AZ9" s="737"/>
      <c r="BA9" s="737"/>
      <c r="BB9" s="737"/>
      <c r="BC9" s="737"/>
      <c r="BD9" s="737"/>
      <c r="BE9" s="737"/>
      <c r="BF9" s="737"/>
      <c r="BG9" s="737"/>
      <c r="BH9" s="737"/>
      <c r="BI9" s="737"/>
      <c r="BJ9" s="737"/>
      <c r="BK9" s="737"/>
      <c r="BL9" s="737"/>
      <c r="BM9" s="737"/>
      <c r="BN9" s="737"/>
      <c r="BO9" s="737"/>
      <c r="BP9" s="737"/>
      <c r="BQ9" s="737"/>
      <c r="BR9" s="737"/>
    </row>
    <row r="10" spans="1:70" s="290" customFormat="1" ht="13.15" customHeight="1" x14ac:dyDescent="0.2">
      <c r="A10" s="677"/>
      <c r="B10" s="297"/>
      <c r="C10" s="292"/>
      <c r="D10" s="74"/>
      <c r="E10" s="74"/>
      <c r="F10" s="292"/>
      <c r="G10" s="292"/>
      <c r="H10" s="292"/>
      <c r="I10" s="292"/>
      <c r="J10" s="292"/>
      <c r="K10" s="292"/>
      <c r="L10" s="292"/>
      <c r="M10" s="292"/>
      <c r="N10" s="271"/>
      <c r="O10" s="271"/>
      <c r="P10" s="292"/>
      <c r="Q10" s="292"/>
      <c r="R10" s="292"/>
      <c r="S10" s="292"/>
      <c r="T10" s="292"/>
      <c r="U10" s="292"/>
      <c r="V10" s="292"/>
      <c r="W10" s="292"/>
      <c r="X10" s="292"/>
      <c r="Y10" s="292"/>
      <c r="Z10" s="292"/>
      <c r="AA10" s="292"/>
      <c r="AB10" s="292"/>
      <c r="AC10" s="292"/>
      <c r="AD10" s="292"/>
      <c r="AE10" s="292"/>
      <c r="AF10" s="292"/>
      <c r="AG10" s="298"/>
      <c r="AH10" s="677"/>
      <c r="AI10" s="677"/>
      <c r="AJ10" s="677"/>
      <c r="AK10" s="677"/>
      <c r="AL10" s="677"/>
      <c r="AM10" s="677"/>
      <c r="AN10" s="677"/>
      <c r="AO10" s="677"/>
      <c r="AP10" s="677"/>
      <c r="AQ10" s="677"/>
      <c r="AR10" s="677"/>
      <c r="AS10" s="677"/>
      <c r="AT10" s="677"/>
      <c r="AU10" s="677"/>
      <c r="AV10" s="677"/>
      <c r="AW10" s="677"/>
      <c r="AX10" s="677"/>
      <c r="AY10" s="677"/>
      <c r="AZ10" s="677"/>
      <c r="BA10" s="677"/>
      <c r="BB10" s="677"/>
      <c r="BC10" s="677"/>
      <c r="BD10" s="677"/>
      <c r="BE10" s="677"/>
      <c r="BF10" s="677"/>
      <c r="BG10" s="677"/>
      <c r="BH10" s="677"/>
      <c r="BI10" s="677"/>
      <c r="BJ10" s="677"/>
      <c r="BK10" s="677"/>
      <c r="BL10" s="677"/>
      <c r="BM10" s="677"/>
      <c r="BN10" s="677"/>
      <c r="BO10" s="677"/>
      <c r="BP10" s="677"/>
      <c r="BQ10" s="677"/>
      <c r="BR10" s="677"/>
    </row>
    <row r="11" spans="1:70" s="290" customFormat="1" ht="13.15" customHeight="1" x14ac:dyDescent="0.2">
      <c r="A11" s="677"/>
      <c r="B11" s="297"/>
      <c r="C11" s="1087"/>
      <c r="D11" s="1086"/>
      <c r="E11" s="1086"/>
      <c r="F11" s="1087"/>
      <c r="G11" s="1087"/>
      <c r="H11" s="1087"/>
      <c r="I11" s="1087"/>
      <c r="J11" s="1087"/>
      <c r="K11" s="1087"/>
      <c r="L11" s="1087"/>
      <c r="M11" s="1087"/>
      <c r="N11" s="1207"/>
      <c r="O11" s="1289"/>
      <c r="P11" s="1076"/>
      <c r="Q11" s="1076"/>
      <c r="R11" s="1076"/>
      <c r="S11" s="1076"/>
      <c r="T11" s="1076"/>
      <c r="U11" s="1076"/>
      <c r="V11" s="1076"/>
      <c r="W11" s="1076"/>
      <c r="X11" s="1076"/>
      <c r="Y11" s="1076"/>
      <c r="Z11" s="1076"/>
      <c r="AA11" s="1076"/>
      <c r="AB11" s="1076"/>
      <c r="AC11" s="1076"/>
      <c r="AD11" s="1076"/>
      <c r="AE11" s="1076"/>
      <c r="AF11" s="1087"/>
      <c r="AG11" s="298"/>
      <c r="AH11" s="677"/>
      <c r="AI11" s="677"/>
      <c r="AJ11" s="677"/>
      <c r="AK11" s="677"/>
      <c r="AL11" s="677"/>
      <c r="AM11" s="677"/>
      <c r="AN11" s="677"/>
      <c r="AO11" s="677"/>
      <c r="AP11" s="677"/>
      <c r="AQ11" s="677"/>
      <c r="AR11" s="677"/>
      <c r="AS11" s="677"/>
      <c r="AT11" s="677"/>
      <c r="AU11" s="677"/>
      <c r="AV11" s="677"/>
      <c r="AW11" s="677"/>
      <c r="AX11" s="677"/>
      <c r="AY11" s="677"/>
      <c r="AZ11" s="677"/>
      <c r="BA11" s="677"/>
      <c r="BB11" s="677"/>
      <c r="BC11" s="677"/>
      <c r="BD11" s="677"/>
      <c r="BE11" s="677"/>
      <c r="BF11" s="677"/>
      <c r="BG11" s="677"/>
      <c r="BH11" s="677"/>
      <c r="BI11" s="677"/>
      <c r="BJ11" s="677"/>
      <c r="BK11" s="677"/>
      <c r="BL11" s="677"/>
      <c r="BM11" s="677"/>
      <c r="BN11" s="677"/>
      <c r="BO11" s="677"/>
      <c r="BP11" s="677"/>
      <c r="BQ11" s="677"/>
      <c r="BR11" s="677"/>
    </row>
    <row r="12" spans="1:70" s="290" customFormat="1" ht="13.15" customHeight="1" x14ac:dyDescent="0.2">
      <c r="A12" s="677"/>
      <c r="B12" s="297"/>
      <c r="C12" s="1087"/>
      <c r="D12" s="1086"/>
      <c r="E12" s="1086"/>
      <c r="F12" s="1087"/>
      <c r="G12" s="1087"/>
      <c r="H12" s="1087"/>
      <c r="I12" s="1087"/>
      <c r="J12" s="1087"/>
      <c r="K12" s="1087"/>
      <c r="L12" s="1087"/>
      <c r="M12" s="1087"/>
      <c r="N12" s="1207"/>
      <c r="O12" s="1290">
        <f>SUM(O14:O70)</f>
        <v>0</v>
      </c>
      <c r="P12" s="1076"/>
      <c r="Q12" s="1290">
        <f t="shared" ref="Q12:W12" si="1">SUM(Q14:Q70)</f>
        <v>0</v>
      </c>
      <c r="R12" s="1290">
        <f t="shared" si="1"/>
        <v>0</v>
      </c>
      <c r="S12" s="1290">
        <f t="shared" si="1"/>
        <v>0</v>
      </c>
      <c r="T12" s="1290">
        <f t="shared" si="1"/>
        <v>0</v>
      </c>
      <c r="U12" s="1290">
        <f t="shared" si="1"/>
        <v>0</v>
      </c>
      <c r="V12" s="1290">
        <f t="shared" si="1"/>
        <v>0</v>
      </c>
      <c r="W12" s="1290">
        <f t="shared" si="1"/>
        <v>0</v>
      </c>
      <c r="X12" s="1076"/>
      <c r="Y12" s="1290">
        <f t="shared" ref="Y12:AE12" si="2">SUM(Y14:Y70)</f>
        <v>0</v>
      </c>
      <c r="Z12" s="1290">
        <f t="shared" si="2"/>
        <v>0</v>
      </c>
      <c r="AA12" s="1290">
        <f t="shared" si="2"/>
        <v>0</v>
      </c>
      <c r="AB12" s="1290">
        <f t="shared" si="2"/>
        <v>0</v>
      </c>
      <c r="AC12" s="1290">
        <f t="shared" si="2"/>
        <v>0</v>
      </c>
      <c r="AD12" s="1290">
        <f t="shared" si="2"/>
        <v>0</v>
      </c>
      <c r="AE12" s="1290">
        <f t="shared" si="2"/>
        <v>0</v>
      </c>
      <c r="AF12" s="1087"/>
      <c r="AG12" s="298"/>
      <c r="AH12" s="677"/>
      <c r="AI12" s="677"/>
      <c r="AJ12" s="677"/>
      <c r="AK12" s="677"/>
      <c r="AL12" s="677"/>
      <c r="AM12" s="677"/>
      <c r="AN12" s="677"/>
      <c r="AO12" s="677"/>
      <c r="AP12" s="677"/>
      <c r="AQ12" s="677"/>
      <c r="AR12" s="677"/>
      <c r="AS12" s="677"/>
      <c r="AT12" s="677"/>
      <c r="AU12" s="677"/>
      <c r="AV12" s="677"/>
      <c r="AW12" s="677"/>
      <c r="AX12" s="677"/>
      <c r="AY12" s="677"/>
      <c r="AZ12" s="677"/>
      <c r="BA12" s="677"/>
      <c r="BB12" s="677"/>
      <c r="BC12" s="677"/>
      <c r="BD12" s="677"/>
      <c r="BE12" s="677"/>
      <c r="BF12" s="677"/>
      <c r="BG12" s="677"/>
      <c r="BH12" s="677"/>
      <c r="BI12" s="677"/>
      <c r="BJ12" s="677"/>
      <c r="BK12" s="677"/>
      <c r="BL12" s="677"/>
      <c r="BM12" s="677"/>
      <c r="BN12" s="677"/>
      <c r="BO12" s="677"/>
      <c r="BP12" s="677"/>
      <c r="BQ12" s="677"/>
      <c r="BR12" s="677"/>
    </row>
    <row r="13" spans="1:70" s="290" customFormat="1" ht="13.15" customHeight="1" x14ac:dyDescent="0.2">
      <c r="A13" s="677"/>
      <c r="B13" s="297"/>
      <c r="C13" s="1087"/>
      <c r="D13" s="1086"/>
      <c r="E13" s="1086"/>
      <c r="F13" s="1087"/>
      <c r="G13" s="1087"/>
      <c r="H13" s="1087"/>
      <c r="I13" s="1087"/>
      <c r="J13" s="1087"/>
      <c r="K13" s="1087"/>
      <c r="L13" s="1087"/>
      <c r="M13" s="1087"/>
      <c r="N13" s="1207"/>
      <c r="O13" s="1289"/>
      <c r="P13" s="1076"/>
      <c r="Q13" s="1076"/>
      <c r="R13" s="1076"/>
      <c r="S13" s="1076"/>
      <c r="T13" s="1076"/>
      <c r="U13" s="1076"/>
      <c r="V13" s="1076"/>
      <c r="W13" s="1076"/>
      <c r="X13" s="1076"/>
      <c r="Y13" s="1076"/>
      <c r="Z13" s="1076"/>
      <c r="AA13" s="1076"/>
      <c r="AB13" s="1076"/>
      <c r="AC13" s="1076"/>
      <c r="AD13" s="1076"/>
      <c r="AE13" s="1076"/>
      <c r="AF13" s="1087"/>
      <c r="AG13" s="298"/>
      <c r="AH13" s="677"/>
      <c r="AI13" s="677"/>
      <c r="AJ13" s="677"/>
      <c r="AK13" s="677"/>
      <c r="AL13" s="677"/>
      <c r="AM13" s="677"/>
      <c r="AN13" s="677"/>
      <c r="AO13" s="677"/>
      <c r="AP13" s="677"/>
      <c r="AQ13" s="677"/>
      <c r="AR13" s="677"/>
      <c r="AS13" s="677"/>
      <c r="AT13" s="677"/>
      <c r="AU13" s="677"/>
      <c r="AV13" s="677"/>
      <c r="AW13" s="677"/>
      <c r="AX13" s="677"/>
      <c r="AY13" s="677"/>
      <c r="AZ13" s="677"/>
      <c r="BA13" s="677"/>
      <c r="BB13" s="677"/>
      <c r="BC13" s="677"/>
      <c r="BD13" s="677"/>
      <c r="BE13" s="677"/>
      <c r="BF13" s="677"/>
      <c r="BG13" s="677"/>
      <c r="BH13" s="677"/>
      <c r="BI13" s="677"/>
      <c r="BJ13" s="677"/>
      <c r="BK13" s="677"/>
      <c r="BL13" s="677"/>
      <c r="BM13" s="677"/>
      <c r="BN13" s="677"/>
      <c r="BO13" s="677"/>
      <c r="BP13" s="677"/>
      <c r="BQ13" s="677"/>
      <c r="BR13" s="677"/>
    </row>
    <row r="14" spans="1:70" ht="13.15" customHeight="1" x14ac:dyDescent="0.2">
      <c r="B14" s="86"/>
      <c r="C14" s="1000"/>
      <c r="D14" s="1220"/>
      <c r="E14" s="1220"/>
      <c r="F14" s="1124"/>
      <c r="G14" s="1262"/>
      <c r="H14" s="1124"/>
      <c r="I14" s="1124"/>
      <c r="J14" s="1000"/>
      <c r="K14" s="1256">
        <f t="shared" ref="K14:K45" si="3">IF(I14="geen",9999999999,I14)</f>
        <v>0</v>
      </c>
      <c r="L14" s="1249">
        <f t="shared" ref="L14:L45" si="4">F14*G14</f>
        <v>0</v>
      </c>
      <c r="M14" s="1249">
        <f t="shared" ref="M14:M45" si="5">IF(F14=0,0,(F14*G14)/K14)</f>
        <v>0</v>
      </c>
      <c r="N14" s="1291" t="str">
        <f t="shared" ref="N14:N45" si="6">IF(K14=0,"-",(IF(K14&gt;3000,"-",H14+K14-1)))</f>
        <v>-</v>
      </c>
      <c r="O14" s="1249">
        <f t="shared" ref="O14:O45" si="7">IF(I14="geen",IF(H14&lt;$Q$8,F14*G14,0),IF(H14&gt;=$Q$8,0,IF((G14*F14-(Q$8-H14)*M14)&lt;0,0,G14*F14-(Q$8-H14)*M14)))</f>
        <v>0</v>
      </c>
      <c r="P14" s="1000"/>
      <c r="Q14" s="1249">
        <f t="shared" ref="Q14:R33" si="8">(IF(Q$8&lt;$H14,0,IF($N14&lt;=Q$8-1,0,$M14)))</f>
        <v>0</v>
      </c>
      <c r="R14" s="1249">
        <f t="shared" si="8"/>
        <v>0</v>
      </c>
      <c r="S14" s="1249">
        <f t="shared" ref="S14:S45" si="9">IF(S$8&lt;$H14,0,IF($N14&lt;=S$8-1,0,$M14))</f>
        <v>0</v>
      </c>
      <c r="T14" s="1249">
        <f t="shared" ref="T14:W33" si="10">(IF(T$8&lt;$H14,0,IF($N14&lt;=T$8-1,0,$M14)))</f>
        <v>0</v>
      </c>
      <c r="U14" s="1249">
        <f t="shared" si="10"/>
        <v>0</v>
      </c>
      <c r="V14" s="1249">
        <f t="shared" si="10"/>
        <v>0</v>
      </c>
      <c r="W14" s="1249">
        <f t="shared" si="10"/>
        <v>0</v>
      </c>
      <c r="X14" s="1000"/>
      <c r="Y14" s="1249">
        <f t="shared" ref="Y14:AE23" si="11">IF(Y$8=$H14,($F14*$G14),0)</f>
        <v>0</v>
      </c>
      <c r="Z14" s="1249">
        <f t="shared" si="11"/>
        <v>0</v>
      </c>
      <c r="AA14" s="1249">
        <f t="shared" si="11"/>
        <v>0</v>
      </c>
      <c r="AB14" s="1249">
        <f t="shared" si="11"/>
        <v>0</v>
      </c>
      <c r="AC14" s="1249">
        <f t="shared" si="11"/>
        <v>0</v>
      </c>
      <c r="AD14" s="1249">
        <f t="shared" si="11"/>
        <v>0</v>
      </c>
      <c r="AE14" s="1249">
        <f t="shared" si="11"/>
        <v>0</v>
      </c>
      <c r="AF14" s="1000"/>
      <c r="AG14" s="88"/>
    </row>
    <row r="15" spans="1:70" ht="13.15" customHeight="1" x14ac:dyDescent="0.2">
      <c r="B15" s="86"/>
      <c r="C15" s="1000"/>
      <c r="D15" s="1220"/>
      <c r="E15" s="1220"/>
      <c r="F15" s="1124"/>
      <c r="G15" s="1262"/>
      <c r="H15" s="1124"/>
      <c r="I15" s="1124"/>
      <c r="J15" s="1000"/>
      <c r="K15" s="1256">
        <f t="shared" si="3"/>
        <v>0</v>
      </c>
      <c r="L15" s="1249">
        <f t="shared" si="4"/>
        <v>0</v>
      </c>
      <c r="M15" s="1249">
        <f t="shared" si="5"/>
        <v>0</v>
      </c>
      <c r="N15" s="1291" t="str">
        <f t="shared" si="6"/>
        <v>-</v>
      </c>
      <c r="O15" s="1249">
        <f t="shared" si="7"/>
        <v>0</v>
      </c>
      <c r="P15" s="1000"/>
      <c r="Q15" s="1249">
        <f t="shared" si="8"/>
        <v>0</v>
      </c>
      <c r="R15" s="1249">
        <f t="shared" si="8"/>
        <v>0</v>
      </c>
      <c r="S15" s="1249">
        <f t="shared" si="9"/>
        <v>0</v>
      </c>
      <c r="T15" s="1249">
        <f t="shared" si="10"/>
        <v>0</v>
      </c>
      <c r="U15" s="1249">
        <f t="shared" si="10"/>
        <v>0</v>
      </c>
      <c r="V15" s="1249">
        <f t="shared" si="10"/>
        <v>0</v>
      </c>
      <c r="W15" s="1249">
        <f t="shared" si="10"/>
        <v>0</v>
      </c>
      <c r="X15" s="1000"/>
      <c r="Y15" s="1249">
        <f t="shared" si="11"/>
        <v>0</v>
      </c>
      <c r="Z15" s="1249">
        <f t="shared" si="11"/>
        <v>0</v>
      </c>
      <c r="AA15" s="1249">
        <f t="shared" si="11"/>
        <v>0</v>
      </c>
      <c r="AB15" s="1249">
        <f t="shared" si="11"/>
        <v>0</v>
      </c>
      <c r="AC15" s="1249">
        <f t="shared" si="11"/>
        <v>0</v>
      </c>
      <c r="AD15" s="1249">
        <f t="shared" si="11"/>
        <v>0</v>
      </c>
      <c r="AE15" s="1249">
        <f t="shared" si="11"/>
        <v>0</v>
      </c>
      <c r="AF15" s="1000"/>
      <c r="AG15" s="88"/>
    </row>
    <row r="16" spans="1:70" ht="13.15" customHeight="1" x14ac:dyDescent="0.2">
      <c r="B16" s="86"/>
      <c r="C16" s="1000"/>
      <c r="D16" s="1220"/>
      <c r="E16" s="1220"/>
      <c r="F16" s="1124"/>
      <c r="G16" s="1262"/>
      <c r="H16" s="1124"/>
      <c r="I16" s="1124"/>
      <c r="J16" s="1000"/>
      <c r="K16" s="1256">
        <f t="shared" si="3"/>
        <v>0</v>
      </c>
      <c r="L16" s="1249">
        <f t="shared" si="4"/>
        <v>0</v>
      </c>
      <c r="M16" s="1249">
        <f t="shared" si="5"/>
        <v>0</v>
      </c>
      <c r="N16" s="1291" t="str">
        <f t="shared" si="6"/>
        <v>-</v>
      </c>
      <c r="O16" s="1249">
        <f t="shared" si="7"/>
        <v>0</v>
      </c>
      <c r="P16" s="1000"/>
      <c r="Q16" s="1249">
        <f t="shared" si="8"/>
        <v>0</v>
      </c>
      <c r="R16" s="1249">
        <f t="shared" si="8"/>
        <v>0</v>
      </c>
      <c r="S16" s="1249">
        <f t="shared" si="9"/>
        <v>0</v>
      </c>
      <c r="T16" s="1249">
        <f t="shared" si="10"/>
        <v>0</v>
      </c>
      <c r="U16" s="1249">
        <f t="shared" si="10"/>
        <v>0</v>
      </c>
      <c r="V16" s="1249">
        <f t="shared" si="10"/>
        <v>0</v>
      </c>
      <c r="W16" s="1249">
        <f t="shared" si="10"/>
        <v>0</v>
      </c>
      <c r="X16" s="1000"/>
      <c r="Y16" s="1249">
        <f t="shared" si="11"/>
        <v>0</v>
      </c>
      <c r="Z16" s="1249">
        <f t="shared" si="11"/>
        <v>0</v>
      </c>
      <c r="AA16" s="1249">
        <f t="shared" si="11"/>
        <v>0</v>
      </c>
      <c r="AB16" s="1249">
        <f t="shared" si="11"/>
        <v>0</v>
      </c>
      <c r="AC16" s="1249">
        <f t="shared" si="11"/>
        <v>0</v>
      </c>
      <c r="AD16" s="1249">
        <f t="shared" si="11"/>
        <v>0</v>
      </c>
      <c r="AE16" s="1249">
        <f t="shared" si="11"/>
        <v>0</v>
      </c>
      <c r="AF16" s="1000"/>
      <c r="AG16" s="88"/>
    </row>
    <row r="17" spans="2:33" ht="13.15" customHeight="1" x14ac:dyDescent="0.2">
      <c r="B17" s="86"/>
      <c r="C17" s="1000"/>
      <c r="D17" s="1220"/>
      <c r="E17" s="1220"/>
      <c r="F17" s="1124"/>
      <c r="G17" s="1262"/>
      <c r="H17" s="1124"/>
      <c r="I17" s="1124"/>
      <c r="J17" s="1000"/>
      <c r="K17" s="1256">
        <f t="shared" si="3"/>
        <v>0</v>
      </c>
      <c r="L17" s="1249">
        <f t="shared" si="4"/>
        <v>0</v>
      </c>
      <c r="M17" s="1249">
        <f t="shared" si="5"/>
        <v>0</v>
      </c>
      <c r="N17" s="1291" t="str">
        <f t="shared" si="6"/>
        <v>-</v>
      </c>
      <c r="O17" s="1249">
        <f t="shared" si="7"/>
        <v>0</v>
      </c>
      <c r="P17" s="1000"/>
      <c r="Q17" s="1249">
        <f t="shared" si="8"/>
        <v>0</v>
      </c>
      <c r="R17" s="1249">
        <f t="shared" si="8"/>
        <v>0</v>
      </c>
      <c r="S17" s="1249">
        <f t="shared" si="9"/>
        <v>0</v>
      </c>
      <c r="T17" s="1249">
        <f t="shared" si="10"/>
        <v>0</v>
      </c>
      <c r="U17" s="1249">
        <f t="shared" si="10"/>
        <v>0</v>
      </c>
      <c r="V17" s="1249">
        <f t="shared" si="10"/>
        <v>0</v>
      </c>
      <c r="W17" s="1249">
        <f t="shared" si="10"/>
        <v>0</v>
      </c>
      <c r="X17" s="1000"/>
      <c r="Y17" s="1249">
        <f t="shared" si="11"/>
        <v>0</v>
      </c>
      <c r="Z17" s="1249">
        <f t="shared" si="11"/>
        <v>0</v>
      </c>
      <c r="AA17" s="1249">
        <f t="shared" si="11"/>
        <v>0</v>
      </c>
      <c r="AB17" s="1249">
        <f t="shared" si="11"/>
        <v>0</v>
      </c>
      <c r="AC17" s="1249">
        <f t="shared" si="11"/>
        <v>0</v>
      </c>
      <c r="AD17" s="1249">
        <f t="shared" si="11"/>
        <v>0</v>
      </c>
      <c r="AE17" s="1249">
        <f t="shared" si="11"/>
        <v>0</v>
      </c>
      <c r="AF17" s="1000"/>
      <c r="AG17" s="88"/>
    </row>
    <row r="18" spans="2:33" ht="13.15" customHeight="1" x14ac:dyDescent="0.2">
      <c r="B18" s="86"/>
      <c r="C18" s="1000"/>
      <c r="D18" s="1220"/>
      <c r="E18" s="1220"/>
      <c r="F18" s="1124"/>
      <c r="G18" s="1262"/>
      <c r="H18" s="1124"/>
      <c r="I18" s="1124"/>
      <c r="J18" s="1000"/>
      <c r="K18" s="1256">
        <f t="shared" si="3"/>
        <v>0</v>
      </c>
      <c r="L18" s="1249">
        <f t="shared" si="4"/>
        <v>0</v>
      </c>
      <c r="M18" s="1249">
        <f t="shared" si="5"/>
        <v>0</v>
      </c>
      <c r="N18" s="1291" t="str">
        <f t="shared" si="6"/>
        <v>-</v>
      </c>
      <c r="O18" s="1249">
        <f t="shared" si="7"/>
        <v>0</v>
      </c>
      <c r="P18" s="1000"/>
      <c r="Q18" s="1249">
        <f t="shared" si="8"/>
        <v>0</v>
      </c>
      <c r="R18" s="1249">
        <f t="shared" si="8"/>
        <v>0</v>
      </c>
      <c r="S18" s="1249">
        <f t="shared" si="9"/>
        <v>0</v>
      </c>
      <c r="T18" s="1249">
        <f t="shared" si="10"/>
        <v>0</v>
      </c>
      <c r="U18" s="1249">
        <f t="shared" si="10"/>
        <v>0</v>
      </c>
      <c r="V18" s="1249">
        <f t="shared" si="10"/>
        <v>0</v>
      </c>
      <c r="W18" s="1249">
        <f t="shared" si="10"/>
        <v>0</v>
      </c>
      <c r="X18" s="1000"/>
      <c r="Y18" s="1249">
        <f t="shared" si="11"/>
        <v>0</v>
      </c>
      <c r="Z18" s="1249">
        <f t="shared" si="11"/>
        <v>0</v>
      </c>
      <c r="AA18" s="1249">
        <f t="shared" si="11"/>
        <v>0</v>
      </c>
      <c r="AB18" s="1249">
        <f t="shared" si="11"/>
        <v>0</v>
      </c>
      <c r="AC18" s="1249">
        <f t="shared" si="11"/>
        <v>0</v>
      </c>
      <c r="AD18" s="1249">
        <f t="shared" si="11"/>
        <v>0</v>
      </c>
      <c r="AE18" s="1249">
        <f t="shared" si="11"/>
        <v>0</v>
      </c>
      <c r="AF18" s="1000"/>
      <c r="AG18" s="88"/>
    </row>
    <row r="19" spans="2:33" ht="13.15" customHeight="1" x14ac:dyDescent="0.2">
      <c r="B19" s="86"/>
      <c r="C19" s="1000"/>
      <c r="D19" s="1220"/>
      <c r="E19" s="1220"/>
      <c r="F19" s="1124"/>
      <c r="G19" s="1262"/>
      <c r="H19" s="1124"/>
      <c r="I19" s="1124"/>
      <c r="J19" s="1000"/>
      <c r="K19" s="1256">
        <f t="shared" si="3"/>
        <v>0</v>
      </c>
      <c r="L19" s="1249">
        <f t="shared" si="4"/>
        <v>0</v>
      </c>
      <c r="M19" s="1249">
        <f t="shared" si="5"/>
        <v>0</v>
      </c>
      <c r="N19" s="1291" t="str">
        <f t="shared" si="6"/>
        <v>-</v>
      </c>
      <c r="O19" s="1249">
        <f t="shared" si="7"/>
        <v>0</v>
      </c>
      <c r="P19" s="1000"/>
      <c r="Q19" s="1249">
        <f t="shared" si="8"/>
        <v>0</v>
      </c>
      <c r="R19" s="1249">
        <f t="shared" si="8"/>
        <v>0</v>
      </c>
      <c r="S19" s="1249">
        <f t="shared" si="9"/>
        <v>0</v>
      </c>
      <c r="T19" s="1249">
        <f t="shared" si="10"/>
        <v>0</v>
      </c>
      <c r="U19" s="1249">
        <f t="shared" si="10"/>
        <v>0</v>
      </c>
      <c r="V19" s="1249">
        <f t="shared" si="10"/>
        <v>0</v>
      </c>
      <c r="W19" s="1249">
        <f t="shared" si="10"/>
        <v>0</v>
      </c>
      <c r="X19" s="1000"/>
      <c r="Y19" s="1249">
        <f t="shared" si="11"/>
        <v>0</v>
      </c>
      <c r="Z19" s="1249">
        <f t="shared" si="11"/>
        <v>0</v>
      </c>
      <c r="AA19" s="1249">
        <f t="shared" si="11"/>
        <v>0</v>
      </c>
      <c r="AB19" s="1249">
        <f t="shared" si="11"/>
        <v>0</v>
      </c>
      <c r="AC19" s="1249">
        <f t="shared" si="11"/>
        <v>0</v>
      </c>
      <c r="AD19" s="1249">
        <f t="shared" si="11"/>
        <v>0</v>
      </c>
      <c r="AE19" s="1249">
        <f t="shared" si="11"/>
        <v>0</v>
      </c>
      <c r="AF19" s="1000"/>
      <c r="AG19" s="88"/>
    </row>
    <row r="20" spans="2:33" ht="13.15" customHeight="1" x14ac:dyDescent="0.2">
      <c r="B20" s="86"/>
      <c r="C20" s="1000"/>
      <c r="D20" s="1220"/>
      <c r="E20" s="1220"/>
      <c r="F20" s="1124"/>
      <c r="G20" s="1262"/>
      <c r="H20" s="1124"/>
      <c r="I20" s="1124"/>
      <c r="J20" s="1000"/>
      <c r="K20" s="1256">
        <f t="shared" si="3"/>
        <v>0</v>
      </c>
      <c r="L20" s="1249">
        <f t="shared" si="4"/>
        <v>0</v>
      </c>
      <c r="M20" s="1249">
        <f t="shared" si="5"/>
        <v>0</v>
      </c>
      <c r="N20" s="1291" t="str">
        <f t="shared" si="6"/>
        <v>-</v>
      </c>
      <c r="O20" s="1249">
        <f t="shared" si="7"/>
        <v>0</v>
      </c>
      <c r="P20" s="1000"/>
      <c r="Q20" s="1249">
        <f t="shared" si="8"/>
        <v>0</v>
      </c>
      <c r="R20" s="1249">
        <f t="shared" si="8"/>
        <v>0</v>
      </c>
      <c r="S20" s="1249">
        <f t="shared" si="9"/>
        <v>0</v>
      </c>
      <c r="T20" s="1249">
        <f t="shared" si="10"/>
        <v>0</v>
      </c>
      <c r="U20" s="1249">
        <f t="shared" si="10"/>
        <v>0</v>
      </c>
      <c r="V20" s="1249">
        <f t="shared" si="10"/>
        <v>0</v>
      </c>
      <c r="W20" s="1249">
        <f t="shared" si="10"/>
        <v>0</v>
      </c>
      <c r="X20" s="1000"/>
      <c r="Y20" s="1249">
        <f t="shared" si="11"/>
        <v>0</v>
      </c>
      <c r="Z20" s="1249">
        <f t="shared" si="11"/>
        <v>0</v>
      </c>
      <c r="AA20" s="1249">
        <f t="shared" si="11"/>
        <v>0</v>
      </c>
      <c r="AB20" s="1249">
        <f t="shared" si="11"/>
        <v>0</v>
      </c>
      <c r="AC20" s="1249">
        <f t="shared" si="11"/>
        <v>0</v>
      </c>
      <c r="AD20" s="1249">
        <f t="shared" si="11"/>
        <v>0</v>
      </c>
      <c r="AE20" s="1249">
        <f t="shared" si="11"/>
        <v>0</v>
      </c>
      <c r="AF20" s="1000"/>
      <c r="AG20" s="88"/>
    </row>
    <row r="21" spans="2:33" ht="13.15" customHeight="1" x14ac:dyDescent="0.2">
      <c r="B21" s="86"/>
      <c r="C21" s="1000"/>
      <c r="D21" s="1220"/>
      <c r="E21" s="1220"/>
      <c r="F21" s="1124"/>
      <c r="G21" s="1262"/>
      <c r="H21" s="1124"/>
      <c r="I21" s="1124"/>
      <c r="J21" s="1000"/>
      <c r="K21" s="1256">
        <f t="shared" si="3"/>
        <v>0</v>
      </c>
      <c r="L21" s="1249">
        <f t="shared" si="4"/>
        <v>0</v>
      </c>
      <c r="M21" s="1249">
        <f t="shared" si="5"/>
        <v>0</v>
      </c>
      <c r="N21" s="1291" t="str">
        <f t="shared" si="6"/>
        <v>-</v>
      </c>
      <c r="O21" s="1249">
        <f t="shared" si="7"/>
        <v>0</v>
      </c>
      <c r="P21" s="1000"/>
      <c r="Q21" s="1249">
        <f t="shared" si="8"/>
        <v>0</v>
      </c>
      <c r="R21" s="1249">
        <f t="shared" si="8"/>
        <v>0</v>
      </c>
      <c r="S21" s="1249">
        <f t="shared" si="9"/>
        <v>0</v>
      </c>
      <c r="T21" s="1249">
        <f t="shared" si="10"/>
        <v>0</v>
      </c>
      <c r="U21" s="1249">
        <f t="shared" si="10"/>
        <v>0</v>
      </c>
      <c r="V21" s="1249">
        <f t="shared" si="10"/>
        <v>0</v>
      </c>
      <c r="W21" s="1249">
        <f t="shared" si="10"/>
        <v>0</v>
      </c>
      <c r="X21" s="1000"/>
      <c r="Y21" s="1249">
        <f t="shared" si="11"/>
        <v>0</v>
      </c>
      <c r="Z21" s="1249">
        <f t="shared" si="11"/>
        <v>0</v>
      </c>
      <c r="AA21" s="1249">
        <f t="shared" si="11"/>
        <v>0</v>
      </c>
      <c r="AB21" s="1249">
        <f t="shared" si="11"/>
        <v>0</v>
      </c>
      <c r="AC21" s="1249">
        <f t="shared" si="11"/>
        <v>0</v>
      </c>
      <c r="AD21" s="1249">
        <f t="shared" si="11"/>
        <v>0</v>
      </c>
      <c r="AE21" s="1249">
        <f t="shared" si="11"/>
        <v>0</v>
      </c>
      <c r="AF21" s="1000"/>
      <c r="AG21" s="88"/>
    </row>
    <row r="22" spans="2:33" ht="13.15" customHeight="1" x14ac:dyDescent="0.2">
      <c r="B22" s="86"/>
      <c r="C22" s="1000"/>
      <c r="D22" s="1220"/>
      <c r="E22" s="1220"/>
      <c r="F22" s="1124"/>
      <c r="G22" s="1262"/>
      <c r="H22" s="1124"/>
      <c r="I22" s="1124"/>
      <c r="J22" s="1000"/>
      <c r="K22" s="1256">
        <f t="shared" si="3"/>
        <v>0</v>
      </c>
      <c r="L22" s="1249">
        <f t="shared" si="4"/>
        <v>0</v>
      </c>
      <c r="M22" s="1249">
        <f t="shared" si="5"/>
        <v>0</v>
      </c>
      <c r="N22" s="1291" t="str">
        <f t="shared" si="6"/>
        <v>-</v>
      </c>
      <c r="O22" s="1249">
        <f t="shared" si="7"/>
        <v>0</v>
      </c>
      <c r="P22" s="1000"/>
      <c r="Q22" s="1249">
        <f t="shared" si="8"/>
        <v>0</v>
      </c>
      <c r="R22" s="1249">
        <f t="shared" si="8"/>
        <v>0</v>
      </c>
      <c r="S22" s="1249">
        <f t="shared" si="9"/>
        <v>0</v>
      </c>
      <c r="T22" s="1249">
        <f t="shared" si="10"/>
        <v>0</v>
      </c>
      <c r="U22" s="1249">
        <f t="shared" si="10"/>
        <v>0</v>
      </c>
      <c r="V22" s="1249">
        <f t="shared" si="10"/>
        <v>0</v>
      </c>
      <c r="W22" s="1249">
        <f t="shared" si="10"/>
        <v>0</v>
      </c>
      <c r="X22" s="1000"/>
      <c r="Y22" s="1249">
        <f t="shared" si="11"/>
        <v>0</v>
      </c>
      <c r="Z22" s="1249">
        <f t="shared" si="11"/>
        <v>0</v>
      </c>
      <c r="AA22" s="1249">
        <f t="shared" si="11"/>
        <v>0</v>
      </c>
      <c r="AB22" s="1249">
        <f t="shared" si="11"/>
        <v>0</v>
      </c>
      <c r="AC22" s="1249">
        <f t="shared" si="11"/>
        <v>0</v>
      </c>
      <c r="AD22" s="1249">
        <f t="shared" si="11"/>
        <v>0</v>
      </c>
      <c r="AE22" s="1249">
        <f t="shared" si="11"/>
        <v>0</v>
      </c>
      <c r="AF22" s="1000"/>
      <c r="AG22" s="88"/>
    </row>
    <row r="23" spans="2:33" ht="13.15" customHeight="1" x14ac:dyDescent="0.2">
      <c r="B23" s="86"/>
      <c r="C23" s="1000"/>
      <c r="D23" s="1220"/>
      <c r="E23" s="1220"/>
      <c r="F23" s="1124"/>
      <c r="G23" s="1262"/>
      <c r="H23" s="1124"/>
      <c r="I23" s="1124"/>
      <c r="J23" s="1000"/>
      <c r="K23" s="1256">
        <f t="shared" si="3"/>
        <v>0</v>
      </c>
      <c r="L23" s="1249">
        <f t="shared" si="4"/>
        <v>0</v>
      </c>
      <c r="M23" s="1249">
        <f t="shared" si="5"/>
        <v>0</v>
      </c>
      <c r="N23" s="1291" t="str">
        <f t="shared" si="6"/>
        <v>-</v>
      </c>
      <c r="O23" s="1249">
        <f t="shared" si="7"/>
        <v>0</v>
      </c>
      <c r="P23" s="1000"/>
      <c r="Q23" s="1249">
        <f t="shared" si="8"/>
        <v>0</v>
      </c>
      <c r="R23" s="1249">
        <f t="shared" si="8"/>
        <v>0</v>
      </c>
      <c r="S23" s="1249">
        <f t="shared" si="9"/>
        <v>0</v>
      </c>
      <c r="T23" s="1249">
        <f t="shared" si="10"/>
        <v>0</v>
      </c>
      <c r="U23" s="1249">
        <f t="shared" si="10"/>
        <v>0</v>
      </c>
      <c r="V23" s="1249">
        <f t="shared" si="10"/>
        <v>0</v>
      </c>
      <c r="W23" s="1249">
        <f t="shared" si="10"/>
        <v>0</v>
      </c>
      <c r="X23" s="1000"/>
      <c r="Y23" s="1249">
        <f t="shared" si="11"/>
        <v>0</v>
      </c>
      <c r="Z23" s="1249">
        <f t="shared" si="11"/>
        <v>0</v>
      </c>
      <c r="AA23" s="1249">
        <f t="shared" si="11"/>
        <v>0</v>
      </c>
      <c r="AB23" s="1249">
        <f t="shared" si="11"/>
        <v>0</v>
      </c>
      <c r="AC23" s="1249">
        <f t="shared" si="11"/>
        <v>0</v>
      </c>
      <c r="AD23" s="1249">
        <f t="shared" si="11"/>
        <v>0</v>
      </c>
      <c r="AE23" s="1249">
        <f t="shared" si="11"/>
        <v>0</v>
      </c>
      <c r="AF23" s="1000"/>
      <c r="AG23" s="88"/>
    </row>
    <row r="24" spans="2:33" ht="13.15" customHeight="1" x14ac:dyDescent="0.2">
      <c r="B24" s="86"/>
      <c r="C24" s="1000"/>
      <c r="D24" s="1220"/>
      <c r="E24" s="1220"/>
      <c r="F24" s="1124"/>
      <c r="G24" s="1262"/>
      <c r="H24" s="1124"/>
      <c r="I24" s="1124"/>
      <c r="J24" s="1000"/>
      <c r="K24" s="1256">
        <f t="shared" si="3"/>
        <v>0</v>
      </c>
      <c r="L24" s="1249">
        <f t="shared" si="4"/>
        <v>0</v>
      </c>
      <c r="M24" s="1249">
        <f t="shared" si="5"/>
        <v>0</v>
      </c>
      <c r="N24" s="1291" t="str">
        <f t="shared" si="6"/>
        <v>-</v>
      </c>
      <c r="O24" s="1249">
        <f t="shared" si="7"/>
        <v>0</v>
      </c>
      <c r="P24" s="1000"/>
      <c r="Q24" s="1249">
        <f t="shared" si="8"/>
        <v>0</v>
      </c>
      <c r="R24" s="1249">
        <f t="shared" si="8"/>
        <v>0</v>
      </c>
      <c r="S24" s="1249">
        <f t="shared" si="9"/>
        <v>0</v>
      </c>
      <c r="T24" s="1249">
        <f t="shared" si="10"/>
        <v>0</v>
      </c>
      <c r="U24" s="1249">
        <f t="shared" si="10"/>
        <v>0</v>
      </c>
      <c r="V24" s="1249">
        <f t="shared" si="10"/>
        <v>0</v>
      </c>
      <c r="W24" s="1249">
        <f t="shared" si="10"/>
        <v>0</v>
      </c>
      <c r="X24" s="1000"/>
      <c r="Y24" s="1249">
        <f t="shared" ref="Y24:AE33" si="12">IF(Y$8=$H24,($F24*$G24),0)</f>
        <v>0</v>
      </c>
      <c r="Z24" s="1249">
        <f t="shared" si="12"/>
        <v>0</v>
      </c>
      <c r="AA24" s="1249">
        <f t="shared" si="12"/>
        <v>0</v>
      </c>
      <c r="AB24" s="1249">
        <f t="shared" si="12"/>
        <v>0</v>
      </c>
      <c r="AC24" s="1249">
        <f t="shared" si="12"/>
        <v>0</v>
      </c>
      <c r="AD24" s="1249">
        <f t="shared" si="12"/>
        <v>0</v>
      </c>
      <c r="AE24" s="1249">
        <f t="shared" si="12"/>
        <v>0</v>
      </c>
      <c r="AF24" s="1000"/>
      <c r="AG24" s="88"/>
    </row>
    <row r="25" spans="2:33" ht="13.15" customHeight="1" x14ac:dyDescent="0.2">
      <c r="B25" s="86"/>
      <c r="C25" s="1000"/>
      <c r="D25" s="1220"/>
      <c r="E25" s="1220"/>
      <c r="F25" s="1124"/>
      <c r="G25" s="1262"/>
      <c r="H25" s="1124"/>
      <c r="I25" s="1124"/>
      <c r="J25" s="1000"/>
      <c r="K25" s="1256">
        <f t="shared" si="3"/>
        <v>0</v>
      </c>
      <c r="L25" s="1249">
        <f t="shared" si="4"/>
        <v>0</v>
      </c>
      <c r="M25" s="1249">
        <f t="shared" si="5"/>
        <v>0</v>
      </c>
      <c r="N25" s="1291" t="str">
        <f t="shared" si="6"/>
        <v>-</v>
      </c>
      <c r="O25" s="1249">
        <f t="shared" si="7"/>
        <v>0</v>
      </c>
      <c r="P25" s="1000"/>
      <c r="Q25" s="1249">
        <f t="shared" si="8"/>
        <v>0</v>
      </c>
      <c r="R25" s="1249">
        <f t="shared" si="8"/>
        <v>0</v>
      </c>
      <c r="S25" s="1249">
        <f t="shared" si="9"/>
        <v>0</v>
      </c>
      <c r="T25" s="1249">
        <f t="shared" si="10"/>
        <v>0</v>
      </c>
      <c r="U25" s="1249">
        <f t="shared" si="10"/>
        <v>0</v>
      </c>
      <c r="V25" s="1249">
        <f t="shared" si="10"/>
        <v>0</v>
      </c>
      <c r="W25" s="1249">
        <f t="shared" si="10"/>
        <v>0</v>
      </c>
      <c r="X25" s="1000"/>
      <c r="Y25" s="1249">
        <f t="shared" si="12"/>
        <v>0</v>
      </c>
      <c r="Z25" s="1249">
        <f t="shared" si="12"/>
        <v>0</v>
      </c>
      <c r="AA25" s="1249">
        <f t="shared" si="12"/>
        <v>0</v>
      </c>
      <c r="AB25" s="1249">
        <f t="shared" si="12"/>
        <v>0</v>
      </c>
      <c r="AC25" s="1249">
        <f t="shared" si="12"/>
        <v>0</v>
      </c>
      <c r="AD25" s="1249">
        <f t="shared" si="12"/>
        <v>0</v>
      </c>
      <c r="AE25" s="1249">
        <f t="shared" si="12"/>
        <v>0</v>
      </c>
      <c r="AF25" s="1000"/>
      <c r="AG25" s="88"/>
    </row>
    <row r="26" spans="2:33" ht="13.15" customHeight="1" x14ac:dyDescent="0.2">
      <c r="B26" s="86"/>
      <c r="C26" s="1000"/>
      <c r="D26" s="1220"/>
      <c r="E26" s="1220"/>
      <c r="F26" s="1124"/>
      <c r="G26" s="1262"/>
      <c r="H26" s="1124"/>
      <c r="I26" s="1124"/>
      <c r="J26" s="1000"/>
      <c r="K26" s="1256">
        <f t="shared" si="3"/>
        <v>0</v>
      </c>
      <c r="L26" s="1249">
        <f t="shared" si="4"/>
        <v>0</v>
      </c>
      <c r="M26" s="1249">
        <f t="shared" si="5"/>
        <v>0</v>
      </c>
      <c r="N26" s="1291" t="str">
        <f t="shared" si="6"/>
        <v>-</v>
      </c>
      <c r="O26" s="1249">
        <f t="shared" si="7"/>
        <v>0</v>
      </c>
      <c r="P26" s="1000"/>
      <c r="Q26" s="1249">
        <f t="shared" si="8"/>
        <v>0</v>
      </c>
      <c r="R26" s="1249">
        <f t="shared" si="8"/>
        <v>0</v>
      </c>
      <c r="S26" s="1249">
        <f t="shared" si="9"/>
        <v>0</v>
      </c>
      <c r="T26" s="1249">
        <f t="shared" si="10"/>
        <v>0</v>
      </c>
      <c r="U26" s="1249">
        <f t="shared" si="10"/>
        <v>0</v>
      </c>
      <c r="V26" s="1249">
        <f t="shared" si="10"/>
        <v>0</v>
      </c>
      <c r="W26" s="1249">
        <f t="shared" si="10"/>
        <v>0</v>
      </c>
      <c r="X26" s="1000"/>
      <c r="Y26" s="1249">
        <f t="shared" si="12"/>
        <v>0</v>
      </c>
      <c r="Z26" s="1249">
        <f t="shared" si="12"/>
        <v>0</v>
      </c>
      <c r="AA26" s="1249">
        <f t="shared" si="12"/>
        <v>0</v>
      </c>
      <c r="AB26" s="1249">
        <f t="shared" si="12"/>
        <v>0</v>
      </c>
      <c r="AC26" s="1249">
        <f t="shared" si="12"/>
        <v>0</v>
      </c>
      <c r="AD26" s="1249">
        <f t="shared" si="12"/>
        <v>0</v>
      </c>
      <c r="AE26" s="1249">
        <f t="shared" si="12"/>
        <v>0</v>
      </c>
      <c r="AF26" s="1000"/>
      <c r="AG26" s="88"/>
    </row>
    <row r="27" spans="2:33" ht="13.15" customHeight="1" x14ac:dyDescent="0.2">
      <c r="B27" s="86"/>
      <c r="C27" s="1000"/>
      <c r="D27" s="1220"/>
      <c r="E27" s="1220"/>
      <c r="F27" s="1124"/>
      <c r="G27" s="1262"/>
      <c r="H27" s="1124"/>
      <c r="I27" s="1124"/>
      <c r="J27" s="1000"/>
      <c r="K27" s="1256">
        <f t="shared" si="3"/>
        <v>0</v>
      </c>
      <c r="L27" s="1249">
        <f t="shared" si="4"/>
        <v>0</v>
      </c>
      <c r="M27" s="1249">
        <f t="shared" si="5"/>
        <v>0</v>
      </c>
      <c r="N27" s="1291" t="str">
        <f t="shared" si="6"/>
        <v>-</v>
      </c>
      <c r="O27" s="1249">
        <f t="shared" si="7"/>
        <v>0</v>
      </c>
      <c r="P27" s="1000"/>
      <c r="Q27" s="1249">
        <f t="shared" si="8"/>
        <v>0</v>
      </c>
      <c r="R27" s="1249">
        <f t="shared" si="8"/>
        <v>0</v>
      </c>
      <c r="S27" s="1249">
        <f t="shared" si="9"/>
        <v>0</v>
      </c>
      <c r="T27" s="1249">
        <f t="shared" si="10"/>
        <v>0</v>
      </c>
      <c r="U27" s="1249">
        <f t="shared" si="10"/>
        <v>0</v>
      </c>
      <c r="V27" s="1249">
        <f t="shared" si="10"/>
        <v>0</v>
      </c>
      <c r="W27" s="1249">
        <f t="shared" si="10"/>
        <v>0</v>
      </c>
      <c r="X27" s="1000"/>
      <c r="Y27" s="1249">
        <f t="shared" si="12"/>
        <v>0</v>
      </c>
      <c r="Z27" s="1249">
        <f t="shared" si="12"/>
        <v>0</v>
      </c>
      <c r="AA27" s="1249">
        <f t="shared" si="12"/>
        <v>0</v>
      </c>
      <c r="AB27" s="1249">
        <f t="shared" si="12"/>
        <v>0</v>
      </c>
      <c r="AC27" s="1249">
        <f t="shared" si="12"/>
        <v>0</v>
      </c>
      <c r="AD27" s="1249">
        <f t="shared" si="12"/>
        <v>0</v>
      </c>
      <c r="AE27" s="1249">
        <f t="shared" si="12"/>
        <v>0</v>
      </c>
      <c r="AF27" s="1000"/>
      <c r="AG27" s="88"/>
    </row>
    <row r="28" spans="2:33" ht="13.15" customHeight="1" x14ac:dyDescent="0.2">
      <c r="B28" s="86"/>
      <c r="C28" s="1000"/>
      <c r="D28" s="1220"/>
      <c r="E28" s="1220"/>
      <c r="F28" s="1124"/>
      <c r="G28" s="1262"/>
      <c r="H28" s="1124"/>
      <c r="I28" s="1124"/>
      <c r="J28" s="1000"/>
      <c r="K28" s="1256">
        <f t="shared" si="3"/>
        <v>0</v>
      </c>
      <c r="L28" s="1249">
        <f t="shared" si="4"/>
        <v>0</v>
      </c>
      <c r="M28" s="1249">
        <f t="shared" si="5"/>
        <v>0</v>
      </c>
      <c r="N28" s="1291" t="str">
        <f t="shared" si="6"/>
        <v>-</v>
      </c>
      <c r="O28" s="1249">
        <f t="shared" si="7"/>
        <v>0</v>
      </c>
      <c r="P28" s="1000"/>
      <c r="Q28" s="1249">
        <f t="shared" si="8"/>
        <v>0</v>
      </c>
      <c r="R28" s="1249">
        <f t="shared" si="8"/>
        <v>0</v>
      </c>
      <c r="S28" s="1249">
        <f t="shared" si="9"/>
        <v>0</v>
      </c>
      <c r="T28" s="1249">
        <f t="shared" si="10"/>
        <v>0</v>
      </c>
      <c r="U28" s="1249">
        <f t="shared" si="10"/>
        <v>0</v>
      </c>
      <c r="V28" s="1249">
        <f t="shared" si="10"/>
        <v>0</v>
      </c>
      <c r="W28" s="1249">
        <f t="shared" si="10"/>
        <v>0</v>
      </c>
      <c r="X28" s="1000"/>
      <c r="Y28" s="1249">
        <f t="shared" si="12"/>
        <v>0</v>
      </c>
      <c r="Z28" s="1249">
        <f t="shared" si="12"/>
        <v>0</v>
      </c>
      <c r="AA28" s="1249">
        <f t="shared" si="12"/>
        <v>0</v>
      </c>
      <c r="AB28" s="1249">
        <f t="shared" si="12"/>
        <v>0</v>
      </c>
      <c r="AC28" s="1249">
        <f t="shared" si="12"/>
        <v>0</v>
      </c>
      <c r="AD28" s="1249">
        <f t="shared" si="12"/>
        <v>0</v>
      </c>
      <c r="AE28" s="1249">
        <f t="shared" si="12"/>
        <v>0</v>
      </c>
      <c r="AF28" s="1000"/>
      <c r="AG28" s="88"/>
    </row>
    <row r="29" spans="2:33" ht="13.15" customHeight="1" x14ac:dyDescent="0.2">
      <c r="B29" s="86"/>
      <c r="C29" s="1000"/>
      <c r="D29" s="1220"/>
      <c r="E29" s="1220"/>
      <c r="F29" s="1124"/>
      <c r="G29" s="1262"/>
      <c r="H29" s="1124"/>
      <c r="I29" s="1124"/>
      <c r="J29" s="1000"/>
      <c r="K29" s="1256">
        <f t="shared" si="3"/>
        <v>0</v>
      </c>
      <c r="L29" s="1249">
        <f t="shared" si="4"/>
        <v>0</v>
      </c>
      <c r="M29" s="1249">
        <f t="shared" si="5"/>
        <v>0</v>
      </c>
      <c r="N29" s="1291" t="str">
        <f t="shared" si="6"/>
        <v>-</v>
      </c>
      <c r="O29" s="1249">
        <f t="shared" si="7"/>
        <v>0</v>
      </c>
      <c r="P29" s="1000"/>
      <c r="Q29" s="1249">
        <f t="shared" si="8"/>
        <v>0</v>
      </c>
      <c r="R29" s="1249">
        <f t="shared" si="8"/>
        <v>0</v>
      </c>
      <c r="S29" s="1249">
        <f t="shared" si="9"/>
        <v>0</v>
      </c>
      <c r="T29" s="1249">
        <f t="shared" si="10"/>
        <v>0</v>
      </c>
      <c r="U29" s="1249">
        <f t="shared" si="10"/>
        <v>0</v>
      </c>
      <c r="V29" s="1249">
        <f t="shared" si="10"/>
        <v>0</v>
      </c>
      <c r="W29" s="1249">
        <f t="shared" si="10"/>
        <v>0</v>
      </c>
      <c r="X29" s="1000"/>
      <c r="Y29" s="1249">
        <f t="shared" si="12"/>
        <v>0</v>
      </c>
      <c r="Z29" s="1249">
        <f t="shared" si="12"/>
        <v>0</v>
      </c>
      <c r="AA29" s="1249">
        <f t="shared" si="12"/>
        <v>0</v>
      </c>
      <c r="AB29" s="1249">
        <f t="shared" si="12"/>
        <v>0</v>
      </c>
      <c r="AC29" s="1249">
        <f t="shared" si="12"/>
        <v>0</v>
      </c>
      <c r="AD29" s="1249">
        <f t="shared" si="12"/>
        <v>0</v>
      </c>
      <c r="AE29" s="1249">
        <f t="shared" si="12"/>
        <v>0</v>
      </c>
      <c r="AF29" s="1000"/>
      <c r="AG29" s="88"/>
    </row>
    <row r="30" spans="2:33" ht="13.15" customHeight="1" x14ac:dyDescent="0.2">
      <c r="B30" s="86"/>
      <c r="C30" s="1000"/>
      <c r="D30" s="1220"/>
      <c r="E30" s="1220"/>
      <c r="F30" s="1124"/>
      <c r="G30" s="1262"/>
      <c r="H30" s="1124"/>
      <c r="I30" s="1124"/>
      <c r="J30" s="1000"/>
      <c r="K30" s="1256">
        <f t="shared" si="3"/>
        <v>0</v>
      </c>
      <c r="L30" s="1249">
        <f t="shared" si="4"/>
        <v>0</v>
      </c>
      <c r="M30" s="1249">
        <f t="shared" si="5"/>
        <v>0</v>
      </c>
      <c r="N30" s="1291" t="str">
        <f t="shared" si="6"/>
        <v>-</v>
      </c>
      <c r="O30" s="1249">
        <f t="shared" si="7"/>
        <v>0</v>
      </c>
      <c r="P30" s="1000"/>
      <c r="Q30" s="1249">
        <f t="shared" si="8"/>
        <v>0</v>
      </c>
      <c r="R30" s="1249">
        <f t="shared" si="8"/>
        <v>0</v>
      </c>
      <c r="S30" s="1249">
        <f t="shared" si="9"/>
        <v>0</v>
      </c>
      <c r="T30" s="1249">
        <f t="shared" si="10"/>
        <v>0</v>
      </c>
      <c r="U30" s="1249">
        <f t="shared" si="10"/>
        <v>0</v>
      </c>
      <c r="V30" s="1249">
        <f t="shared" si="10"/>
        <v>0</v>
      </c>
      <c r="W30" s="1249">
        <f t="shared" si="10"/>
        <v>0</v>
      </c>
      <c r="X30" s="1000"/>
      <c r="Y30" s="1249">
        <f t="shared" si="12"/>
        <v>0</v>
      </c>
      <c r="Z30" s="1249">
        <f t="shared" si="12"/>
        <v>0</v>
      </c>
      <c r="AA30" s="1249">
        <f t="shared" si="12"/>
        <v>0</v>
      </c>
      <c r="AB30" s="1249">
        <f t="shared" si="12"/>
        <v>0</v>
      </c>
      <c r="AC30" s="1249">
        <f t="shared" si="12"/>
        <v>0</v>
      </c>
      <c r="AD30" s="1249">
        <f t="shared" si="12"/>
        <v>0</v>
      </c>
      <c r="AE30" s="1249">
        <f t="shared" si="12"/>
        <v>0</v>
      </c>
      <c r="AF30" s="1000"/>
      <c r="AG30" s="88"/>
    </row>
    <row r="31" spans="2:33" ht="13.15" customHeight="1" x14ac:dyDescent="0.2">
      <c r="B31" s="86"/>
      <c r="C31" s="1000"/>
      <c r="D31" s="1220"/>
      <c r="E31" s="1220"/>
      <c r="F31" s="1124"/>
      <c r="G31" s="1262"/>
      <c r="H31" s="1124"/>
      <c r="I31" s="1124"/>
      <c r="J31" s="1000"/>
      <c r="K31" s="1256">
        <f t="shared" si="3"/>
        <v>0</v>
      </c>
      <c r="L31" s="1249">
        <f t="shared" si="4"/>
        <v>0</v>
      </c>
      <c r="M31" s="1249">
        <f t="shared" si="5"/>
        <v>0</v>
      </c>
      <c r="N31" s="1291" t="str">
        <f t="shared" si="6"/>
        <v>-</v>
      </c>
      <c r="O31" s="1249">
        <f t="shared" si="7"/>
        <v>0</v>
      </c>
      <c r="P31" s="1000"/>
      <c r="Q31" s="1249">
        <f t="shared" si="8"/>
        <v>0</v>
      </c>
      <c r="R31" s="1249">
        <f t="shared" si="8"/>
        <v>0</v>
      </c>
      <c r="S31" s="1249">
        <f t="shared" si="9"/>
        <v>0</v>
      </c>
      <c r="T31" s="1249">
        <f t="shared" si="10"/>
        <v>0</v>
      </c>
      <c r="U31" s="1249">
        <f t="shared" si="10"/>
        <v>0</v>
      </c>
      <c r="V31" s="1249">
        <f t="shared" si="10"/>
        <v>0</v>
      </c>
      <c r="W31" s="1249">
        <f t="shared" si="10"/>
        <v>0</v>
      </c>
      <c r="X31" s="1000"/>
      <c r="Y31" s="1249">
        <f t="shared" si="12"/>
        <v>0</v>
      </c>
      <c r="Z31" s="1249">
        <f t="shared" si="12"/>
        <v>0</v>
      </c>
      <c r="AA31" s="1249">
        <f t="shared" si="12"/>
        <v>0</v>
      </c>
      <c r="AB31" s="1249">
        <f t="shared" si="12"/>
        <v>0</v>
      </c>
      <c r="AC31" s="1249">
        <f t="shared" si="12"/>
        <v>0</v>
      </c>
      <c r="AD31" s="1249">
        <f t="shared" si="12"/>
        <v>0</v>
      </c>
      <c r="AE31" s="1249">
        <f t="shared" si="12"/>
        <v>0</v>
      </c>
      <c r="AF31" s="1000"/>
      <c r="AG31" s="88"/>
    </row>
    <row r="32" spans="2:33" ht="13.15" customHeight="1" x14ac:dyDescent="0.2">
      <c r="B32" s="86"/>
      <c r="C32" s="1000"/>
      <c r="D32" s="1220"/>
      <c r="E32" s="1220"/>
      <c r="F32" s="1124"/>
      <c r="G32" s="1262"/>
      <c r="H32" s="1124"/>
      <c r="I32" s="1124"/>
      <c r="J32" s="1000"/>
      <c r="K32" s="1256">
        <f t="shared" si="3"/>
        <v>0</v>
      </c>
      <c r="L32" s="1249">
        <f t="shared" si="4"/>
        <v>0</v>
      </c>
      <c r="M32" s="1249">
        <f t="shared" si="5"/>
        <v>0</v>
      </c>
      <c r="N32" s="1291" t="str">
        <f t="shared" si="6"/>
        <v>-</v>
      </c>
      <c r="O32" s="1249">
        <f t="shared" si="7"/>
        <v>0</v>
      </c>
      <c r="P32" s="1000"/>
      <c r="Q32" s="1249">
        <f t="shared" si="8"/>
        <v>0</v>
      </c>
      <c r="R32" s="1249">
        <f t="shared" si="8"/>
        <v>0</v>
      </c>
      <c r="S32" s="1249">
        <f t="shared" si="9"/>
        <v>0</v>
      </c>
      <c r="T32" s="1249">
        <f t="shared" si="10"/>
        <v>0</v>
      </c>
      <c r="U32" s="1249">
        <f t="shared" si="10"/>
        <v>0</v>
      </c>
      <c r="V32" s="1249">
        <f t="shared" si="10"/>
        <v>0</v>
      </c>
      <c r="W32" s="1249">
        <f t="shared" si="10"/>
        <v>0</v>
      </c>
      <c r="X32" s="1000"/>
      <c r="Y32" s="1249">
        <f t="shared" si="12"/>
        <v>0</v>
      </c>
      <c r="Z32" s="1249">
        <f t="shared" si="12"/>
        <v>0</v>
      </c>
      <c r="AA32" s="1249">
        <f t="shared" si="12"/>
        <v>0</v>
      </c>
      <c r="AB32" s="1249">
        <f t="shared" si="12"/>
        <v>0</v>
      </c>
      <c r="AC32" s="1249">
        <f t="shared" si="12"/>
        <v>0</v>
      </c>
      <c r="AD32" s="1249">
        <f t="shared" si="12"/>
        <v>0</v>
      </c>
      <c r="AE32" s="1249">
        <f t="shared" si="12"/>
        <v>0</v>
      </c>
      <c r="AF32" s="1000"/>
      <c r="AG32" s="88"/>
    </row>
    <row r="33" spans="2:33" ht="13.15" customHeight="1" x14ac:dyDescent="0.2">
      <c r="B33" s="86"/>
      <c r="C33" s="1000"/>
      <c r="D33" s="1220"/>
      <c r="E33" s="1220"/>
      <c r="F33" s="1124"/>
      <c r="G33" s="1262"/>
      <c r="H33" s="1124"/>
      <c r="I33" s="1124"/>
      <c r="J33" s="1000"/>
      <c r="K33" s="1256">
        <f t="shared" si="3"/>
        <v>0</v>
      </c>
      <c r="L33" s="1249">
        <f t="shared" si="4"/>
        <v>0</v>
      </c>
      <c r="M33" s="1249">
        <f t="shared" si="5"/>
        <v>0</v>
      </c>
      <c r="N33" s="1291" t="str">
        <f t="shared" si="6"/>
        <v>-</v>
      </c>
      <c r="O33" s="1249">
        <f t="shared" si="7"/>
        <v>0</v>
      </c>
      <c r="P33" s="1000"/>
      <c r="Q33" s="1249">
        <f t="shared" si="8"/>
        <v>0</v>
      </c>
      <c r="R33" s="1249">
        <f t="shared" si="8"/>
        <v>0</v>
      </c>
      <c r="S33" s="1249">
        <f t="shared" si="9"/>
        <v>0</v>
      </c>
      <c r="T33" s="1249">
        <f t="shared" si="10"/>
        <v>0</v>
      </c>
      <c r="U33" s="1249">
        <f t="shared" si="10"/>
        <v>0</v>
      </c>
      <c r="V33" s="1249">
        <f t="shared" si="10"/>
        <v>0</v>
      </c>
      <c r="W33" s="1249">
        <f t="shared" si="10"/>
        <v>0</v>
      </c>
      <c r="X33" s="1000"/>
      <c r="Y33" s="1249">
        <f t="shared" si="12"/>
        <v>0</v>
      </c>
      <c r="Z33" s="1249">
        <f t="shared" si="12"/>
        <v>0</v>
      </c>
      <c r="AA33" s="1249">
        <f t="shared" si="12"/>
        <v>0</v>
      </c>
      <c r="AB33" s="1249">
        <f t="shared" si="12"/>
        <v>0</v>
      </c>
      <c r="AC33" s="1249">
        <f t="shared" si="12"/>
        <v>0</v>
      </c>
      <c r="AD33" s="1249">
        <f t="shared" si="12"/>
        <v>0</v>
      </c>
      <c r="AE33" s="1249">
        <f t="shared" si="12"/>
        <v>0</v>
      </c>
      <c r="AF33" s="1000"/>
      <c r="AG33" s="88"/>
    </row>
    <row r="34" spans="2:33" ht="13.15" customHeight="1" x14ac:dyDescent="0.2">
      <c r="B34" s="86"/>
      <c r="C34" s="1000"/>
      <c r="D34" s="1220"/>
      <c r="E34" s="1220"/>
      <c r="F34" s="1124"/>
      <c r="G34" s="1262"/>
      <c r="H34" s="1124"/>
      <c r="I34" s="1124"/>
      <c r="J34" s="1000"/>
      <c r="K34" s="1256">
        <f t="shared" si="3"/>
        <v>0</v>
      </c>
      <c r="L34" s="1249">
        <f t="shared" si="4"/>
        <v>0</v>
      </c>
      <c r="M34" s="1249">
        <f t="shared" si="5"/>
        <v>0</v>
      </c>
      <c r="N34" s="1291" t="str">
        <f t="shared" si="6"/>
        <v>-</v>
      </c>
      <c r="O34" s="1249">
        <f t="shared" si="7"/>
        <v>0</v>
      </c>
      <c r="P34" s="1000"/>
      <c r="Q34" s="1249">
        <f t="shared" ref="Q34:R53" si="13">(IF(Q$8&lt;$H34,0,IF($N34&lt;=Q$8-1,0,$M34)))</f>
        <v>0</v>
      </c>
      <c r="R34" s="1249">
        <f t="shared" si="13"/>
        <v>0</v>
      </c>
      <c r="S34" s="1249">
        <f t="shared" si="9"/>
        <v>0</v>
      </c>
      <c r="T34" s="1249">
        <f t="shared" ref="T34:W53" si="14">(IF(T$8&lt;$H34,0,IF($N34&lt;=T$8-1,0,$M34)))</f>
        <v>0</v>
      </c>
      <c r="U34" s="1249">
        <f t="shared" si="14"/>
        <v>0</v>
      </c>
      <c r="V34" s="1249">
        <f t="shared" si="14"/>
        <v>0</v>
      </c>
      <c r="W34" s="1249">
        <f t="shared" si="14"/>
        <v>0</v>
      </c>
      <c r="X34" s="1000"/>
      <c r="Y34" s="1249">
        <f t="shared" ref="Y34:AE43" si="15">IF(Y$8=$H34,($F34*$G34),0)</f>
        <v>0</v>
      </c>
      <c r="Z34" s="1249">
        <f t="shared" si="15"/>
        <v>0</v>
      </c>
      <c r="AA34" s="1249">
        <f t="shared" si="15"/>
        <v>0</v>
      </c>
      <c r="AB34" s="1249">
        <f t="shared" si="15"/>
        <v>0</v>
      </c>
      <c r="AC34" s="1249">
        <f t="shared" si="15"/>
        <v>0</v>
      </c>
      <c r="AD34" s="1249">
        <f t="shared" si="15"/>
        <v>0</v>
      </c>
      <c r="AE34" s="1249">
        <f t="shared" si="15"/>
        <v>0</v>
      </c>
      <c r="AF34" s="1000"/>
      <c r="AG34" s="88"/>
    </row>
    <row r="35" spans="2:33" ht="13.15" customHeight="1" x14ac:dyDescent="0.2">
      <c r="B35" s="86"/>
      <c r="C35" s="1000"/>
      <c r="D35" s="1220"/>
      <c r="E35" s="1220"/>
      <c r="F35" s="1124"/>
      <c r="G35" s="1262"/>
      <c r="H35" s="1124"/>
      <c r="I35" s="1124"/>
      <c r="J35" s="1000"/>
      <c r="K35" s="1256">
        <f t="shared" si="3"/>
        <v>0</v>
      </c>
      <c r="L35" s="1249">
        <f t="shared" si="4"/>
        <v>0</v>
      </c>
      <c r="M35" s="1249">
        <f t="shared" si="5"/>
        <v>0</v>
      </c>
      <c r="N35" s="1291" t="str">
        <f t="shared" si="6"/>
        <v>-</v>
      </c>
      <c r="O35" s="1249">
        <f t="shared" si="7"/>
        <v>0</v>
      </c>
      <c r="P35" s="1000"/>
      <c r="Q35" s="1249">
        <f t="shared" si="13"/>
        <v>0</v>
      </c>
      <c r="R35" s="1249">
        <f t="shared" si="13"/>
        <v>0</v>
      </c>
      <c r="S35" s="1249">
        <f t="shared" si="9"/>
        <v>0</v>
      </c>
      <c r="T35" s="1249">
        <f t="shared" si="14"/>
        <v>0</v>
      </c>
      <c r="U35" s="1249">
        <f t="shared" si="14"/>
        <v>0</v>
      </c>
      <c r="V35" s="1249">
        <f t="shared" si="14"/>
        <v>0</v>
      </c>
      <c r="W35" s="1249">
        <f t="shared" si="14"/>
        <v>0</v>
      </c>
      <c r="X35" s="1000"/>
      <c r="Y35" s="1249">
        <f t="shared" si="15"/>
        <v>0</v>
      </c>
      <c r="Z35" s="1249">
        <f t="shared" si="15"/>
        <v>0</v>
      </c>
      <c r="AA35" s="1249">
        <f t="shared" si="15"/>
        <v>0</v>
      </c>
      <c r="AB35" s="1249">
        <f t="shared" si="15"/>
        <v>0</v>
      </c>
      <c r="AC35" s="1249">
        <f t="shared" si="15"/>
        <v>0</v>
      </c>
      <c r="AD35" s="1249">
        <f t="shared" si="15"/>
        <v>0</v>
      </c>
      <c r="AE35" s="1249">
        <f t="shared" si="15"/>
        <v>0</v>
      </c>
      <c r="AF35" s="1000"/>
      <c r="AG35" s="88"/>
    </row>
    <row r="36" spans="2:33" ht="13.15" customHeight="1" x14ac:dyDescent="0.2">
      <c r="B36" s="86"/>
      <c r="C36" s="1000"/>
      <c r="D36" s="1220"/>
      <c r="E36" s="1220"/>
      <c r="F36" s="1124"/>
      <c r="G36" s="1262"/>
      <c r="H36" s="1124"/>
      <c r="I36" s="1124"/>
      <c r="J36" s="1000"/>
      <c r="K36" s="1256">
        <f t="shared" si="3"/>
        <v>0</v>
      </c>
      <c r="L36" s="1249">
        <f t="shared" si="4"/>
        <v>0</v>
      </c>
      <c r="M36" s="1249">
        <f t="shared" si="5"/>
        <v>0</v>
      </c>
      <c r="N36" s="1291" t="str">
        <f t="shared" si="6"/>
        <v>-</v>
      </c>
      <c r="O36" s="1249">
        <f t="shared" si="7"/>
        <v>0</v>
      </c>
      <c r="P36" s="1000"/>
      <c r="Q36" s="1249">
        <f t="shared" si="13"/>
        <v>0</v>
      </c>
      <c r="R36" s="1249">
        <f t="shared" si="13"/>
        <v>0</v>
      </c>
      <c r="S36" s="1249">
        <f t="shared" si="9"/>
        <v>0</v>
      </c>
      <c r="T36" s="1249">
        <f t="shared" si="14"/>
        <v>0</v>
      </c>
      <c r="U36" s="1249">
        <f t="shared" si="14"/>
        <v>0</v>
      </c>
      <c r="V36" s="1249">
        <f t="shared" si="14"/>
        <v>0</v>
      </c>
      <c r="W36" s="1249">
        <f t="shared" si="14"/>
        <v>0</v>
      </c>
      <c r="X36" s="1000"/>
      <c r="Y36" s="1249">
        <f t="shared" si="15"/>
        <v>0</v>
      </c>
      <c r="Z36" s="1249">
        <f t="shared" si="15"/>
        <v>0</v>
      </c>
      <c r="AA36" s="1249">
        <f t="shared" si="15"/>
        <v>0</v>
      </c>
      <c r="AB36" s="1249">
        <f t="shared" si="15"/>
        <v>0</v>
      </c>
      <c r="AC36" s="1249">
        <f t="shared" si="15"/>
        <v>0</v>
      </c>
      <c r="AD36" s="1249">
        <f t="shared" si="15"/>
        <v>0</v>
      </c>
      <c r="AE36" s="1249">
        <f t="shared" si="15"/>
        <v>0</v>
      </c>
      <c r="AF36" s="1000"/>
      <c r="AG36" s="88"/>
    </row>
    <row r="37" spans="2:33" ht="13.15" customHeight="1" x14ac:dyDescent="0.2">
      <c r="B37" s="86"/>
      <c r="C37" s="1000"/>
      <c r="D37" s="1220"/>
      <c r="E37" s="1220"/>
      <c r="F37" s="1124"/>
      <c r="G37" s="1262"/>
      <c r="H37" s="1124"/>
      <c r="I37" s="1124"/>
      <c r="J37" s="1000"/>
      <c r="K37" s="1256">
        <f t="shared" si="3"/>
        <v>0</v>
      </c>
      <c r="L37" s="1249">
        <f t="shared" si="4"/>
        <v>0</v>
      </c>
      <c r="M37" s="1249">
        <f t="shared" si="5"/>
        <v>0</v>
      </c>
      <c r="N37" s="1291" t="str">
        <f t="shared" si="6"/>
        <v>-</v>
      </c>
      <c r="O37" s="1249">
        <f t="shared" si="7"/>
        <v>0</v>
      </c>
      <c r="P37" s="1000"/>
      <c r="Q37" s="1249">
        <f t="shared" si="13"/>
        <v>0</v>
      </c>
      <c r="R37" s="1249">
        <f t="shared" si="13"/>
        <v>0</v>
      </c>
      <c r="S37" s="1249">
        <f t="shared" si="9"/>
        <v>0</v>
      </c>
      <c r="T37" s="1249">
        <f t="shared" si="14"/>
        <v>0</v>
      </c>
      <c r="U37" s="1249">
        <f t="shared" si="14"/>
        <v>0</v>
      </c>
      <c r="V37" s="1249">
        <f t="shared" si="14"/>
        <v>0</v>
      </c>
      <c r="W37" s="1249">
        <f t="shared" si="14"/>
        <v>0</v>
      </c>
      <c r="X37" s="1000"/>
      <c r="Y37" s="1249">
        <f t="shared" si="15"/>
        <v>0</v>
      </c>
      <c r="Z37" s="1249">
        <f t="shared" si="15"/>
        <v>0</v>
      </c>
      <c r="AA37" s="1249">
        <f t="shared" si="15"/>
        <v>0</v>
      </c>
      <c r="AB37" s="1249">
        <f t="shared" si="15"/>
        <v>0</v>
      </c>
      <c r="AC37" s="1249">
        <f t="shared" si="15"/>
        <v>0</v>
      </c>
      <c r="AD37" s="1249">
        <f t="shared" si="15"/>
        <v>0</v>
      </c>
      <c r="AE37" s="1249">
        <f t="shared" si="15"/>
        <v>0</v>
      </c>
      <c r="AF37" s="1000"/>
      <c r="AG37" s="88"/>
    </row>
    <row r="38" spans="2:33" ht="13.15" customHeight="1" x14ac:dyDescent="0.2">
      <c r="B38" s="86"/>
      <c r="C38" s="1000"/>
      <c r="D38" s="1220"/>
      <c r="E38" s="1220"/>
      <c r="F38" s="1124"/>
      <c r="G38" s="1262"/>
      <c r="H38" s="1124"/>
      <c r="I38" s="1124"/>
      <c r="J38" s="1000"/>
      <c r="K38" s="1256">
        <f t="shared" si="3"/>
        <v>0</v>
      </c>
      <c r="L38" s="1249">
        <f t="shared" si="4"/>
        <v>0</v>
      </c>
      <c r="M38" s="1249">
        <f t="shared" si="5"/>
        <v>0</v>
      </c>
      <c r="N38" s="1291" t="str">
        <f t="shared" si="6"/>
        <v>-</v>
      </c>
      <c r="O38" s="1249">
        <f t="shared" si="7"/>
        <v>0</v>
      </c>
      <c r="P38" s="1000"/>
      <c r="Q38" s="1249">
        <f t="shared" si="13"/>
        <v>0</v>
      </c>
      <c r="R38" s="1249">
        <f t="shared" si="13"/>
        <v>0</v>
      </c>
      <c r="S38" s="1249">
        <f t="shared" si="9"/>
        <v>0</v>
      </c>
      <c r="T38" s="1249">
        <f t="shared" si="14"/>
        <v>0</v>
      </c>
      <c r="U38" s="1249">
        <f t="shared" si="14"/>
        <v>0</v>
      </c>
      <c r="V38" s="1249">
        <f t="shared" si="14"/>
        <v>0</v>
      </c>
      <c r="W38" s="1249">
        <f t="shared" si="14"/>
        <v>0</v>
      </c>
      <c r="X38" s="1000"/>
      <c r="Y38" s="1249">
        <f t="shared" si="15"/>
        <v>0</v>
      </c>
      <c r="Z38" s="1249">
        <f t="shared" si="15"/>
        <v>0</v>
      </c>
      <c r="AA38" s="1249">
        <f t="shared" si="15"/>
        <v>0</v>
      </c>
      <c r="AB38" s="1249">
        <f t="shared" si="15"/>
        <v>0</v>
      </c>
      <c r="AC38" s="1249">
        <f t="shared" si="15"/>
        <v>0</v>
      </c>
      <c r="AD38" s="1249">
        <f t="shared" si="15"/>
        <v>0</v>
      </c>
      <c r="AE38" s="1249">
        <f t="shared" si="15"/>
        <v>0</v>
      </c>
      <c r="AF38" s="1000"/>
      <c r="AG38" s="88"/>
    </row>
    <row r="39" spans="2:33" ht="13.15" customHeight="1" x14ac:dyDescent="0.2">
      <c r="B39" s="86"/>
      <c r="C39" s="1000"/>
      <c r="D39" s="1220"/>
      <c r="E39" s="1220"/>
      <c r="F39" s="1124"/>
      <c r="G39" s="1262"/>
      <c r="H39" s="1124"/>
      <c r="I39" s="1124"/>
      <c r="J39" s="1000"/>
      <c r="K39" s="1256">
        <f t="shared" si="3"/>
        <v>0</v>
      </c>
      <c r="L39" s="1249">
        <f t="shared" si="4"/>
        <v>0</v>
      </c>
      <c r="M39" s="1249">
        <f t="shared" si="5"/>
        <v>0</v>
      </c>
      <c r="N39" s="1291" t="str">
        <f t="shared" si="6"/>
        <v>-</v>
      </c>
      <c r="O39" s="1249">
        <f t="shared" si="7"/>
        <v>0</v>
      </c>
      <c r="P39" s="1000"/>
      <c r="Q39" s="1249">
        <f t="shared" si="13"/>
        <v>0</v>
      </c>
      <c r="R39" s="1249">
        <f t="shared" si="13"/>
        <v>0</v>
      </c>
      <c r="S39" s="1249">
        <f t="shared" si="9"/>
        <v>0</v>
      </c>
      <c r="T39" s="1249">
        <f t="shared" si="14"/>
        <v>0</v>
      </c>
      <c r="U39" s="1249">
        <f t="shared" si="14"/>
        <v>0</v>
      </c>
      <c r="V39" s="1249">
        <f t="shared" si="14"/>
        <v>0</v>
      </c>
      <c r="W39" s="1249">
        <f t="shared" si="14"/>
        <v>0</v>
      </c>
      <c r="X39" s="1000"/>
      <c r="Y39" s="1249">
        <f t="shared" si="15"/>
        <v>0</v>
      </c>
      <c r="Z39" s="1249">
        <f t="shared" si="15"/>
        <v>0</v>
      </c>
      <c r="AA39" s="1249">
        <f t="shared" si="15"/>
        <v>0</v>
      </c>
      <c r="AB39" s="1249">
        <f t="shared" si="15"/>
        <v>0</v>
      </c>
      <c r="AC39" s="1249">
        <f t="shared" si="15"/>
        <v>0</v>
      </c>
      <c r="AD39" s="1249">
        <f t="shared" si="15"/>
        <v>0</v>
      </c>
      <c r="AE39" s="1249">
        <f t="shared" si="15"/>
        <v>0</v>
      </c>
      <c r="AF39" s="1000"/>
      <c r="AG39" s="88"/>
    </row>
    <row r="40" spans="2:33" ht="13.15" customHeight="1" x14ac:dyDescent="0.2">
      <c r="B40" s="86"/>
      <c r="C40" s="1000"/>
      <c r="D40" s="1220"/>
      <c r="E40" s="1220"/>
      <c r="F40" s="1124"/>
      <c r="G40" s="1262"/>
      <c r="H40" s="1124"/>
      <c r="I40" s="1124"/>
      <c r="J40" s="1000"/>
      <c r="K40" s="1256">
        <f t="shared" si="3"/>
        <v>0</v>
      </c>
      <c r="L40" s="1249">
        <f t="shared" si="4"/>
        <v>0</v>
      </c>
      <c r="M40" s="1249">
        <f t="shared" si="5"/>
        <v>0</v>
      </c>
      <c r="N40" s="1291" t="str">
        <f t="shared" si="6"/>
        <v>-</v>
      </c>
      <c r="O40" s="1249">
        <f t="shared" si="7"/>
        <v>0</v>
      </c>
      <c r="P40" s="1000"/>
      <c r="Q40" s="1249">
        <f t="shared" si="13"/>
        <v>0</v>
      </c>
      <c r="R40" s="1249">
        <f t="shared" si="13"/>
        <v>0</v>
      </c>
      <c r="S40" s="1249">
        <f t="shared" si="9"/>
        <v>0</v>
      </c>
      <c r="T40" s="1249">
        <f t="shared" si="14"/>
        <v>0</v>
      </c>
      <c r="U40" s="1249">
        <f t="shared" si="14"/>
        <v>0</v>
      </c>
      <c r="V40" s="1249">
        <f t="shared" si="14"/>
        <v>0</v>
      </c>
      <c r="W40" s="1249">
        <f t="shared" si="14"/>
        <v>0</v>
      </c>
      <c r="X40" s="1000"/>
      <c r="Y40" s="1249">
        <f t="shared" si="15"/>
        <v>0</v>
      </c>
      <c r="Z40" s="1249">
        <f t="shared" si="15"/>
        <v>0</v>
      </c>
      <c r="AA40" s="1249">
        <f t="shared" si="15"/>
        <v>0</v>
      </c>
      <c r="AB40" s="1249">
        <f t="shared" si="15"/>
        <v>0</v>
      </c>
      <c r="AC40" s="1249">
        <f t="shared" si="15"/>
        <v>0</v>
      </c>
      <c r="AD40" s="1249">
        <f t="shared" si="15"/>
        <v>0</v>
      </c>
      <c r="AE40" s="1249">
        <f t="shared" si="15"/>
        <v>0</v>
      </c>
      <c r="AF40" s="1000"/>
      <c r="AG40" s="88"/>
    </row>
    <row r="41" spans="2:33" ht="13.15" customHeight="1" x14ac:dyDescent="0.2">
      <c r="B41" s="86"/>
      <c r="C41" s="1000"/>
      <c r="D41" s="1220"/>
      <c r="E41" s="1220"/>
      <c r="F41" s="1124"/>
      <c r="G41" s="1262"/>
      <c r="H41" s="1124"/>
      <c r="I41" s="1124"/>
      <c r="J41" s="1000"/>
      <c r="K41" s="1256">
        <f t="shared" si="3"/>
        <v>0</v>
      </c>
      <c r="L41" s="1249">
        <f t="shared" si="4"/>
        <v>0</v>
      </c>
      <c r="M41" s="1249">
        <f t="shared" si="5"/>
        <v>0</v>
      </c>
      <c r="N41" s="1291" t="str">
        <f t="shared" si="6"/>
        <v>-</v>
      </c>
      <c r="O41" s="1249">
        <f t="shared" si="7"/>
        <v>0</v>
      </c>
      <c r="P41" s="1000"/>
      <c r="Q41" s="1249">
        <f t="shared" si="13"/>
        <v>0</v>
      </c>
      <c r="R41" s="1249">
        <f t="shared" si="13"/>
        <v>0</v>
      </c>
      <c r="S41" s="1249">
        <f t="shared" si="9"/>
        <v>0</v>
      </c>
      <c r="T41" s="1249">
        <f t="shared" si="14"/>
        <v>0</v>
      </c>
      <c r="U41" s="1249">
        <f t="shared" si="14"/>
        <v>0</v>
      </c>
      <c r="V41" s="1249">
        <f t="shared" si="14"/>
        <v>0</v>
      </c>
      <c r="W41" s="1249">
        <f t="shared" si="14"/>
        <v>0</v>
      </c>
      <c r="X41" s="1000"/>
      <c r="Y41" s="1249">
        <f t="shared" si="15"/>
        <v>0</v>
      </c>
      <c r="Z41" s="1249">
        <f t="shared" si="15"/>
        <v>0</v>
      </c>
      <c r="AA41" s="1249">
        <f t="shared" si="15"/>
        <v>0</v>
      </c>
      <c r="AB41" s="1249">
        <f t="shared" si="15"/>
        <v>0</v>
      </c>
      <c r="AC41" s="1249">
        <f t="shared" si="15"/>
        <v>0</v>
      </c>
      <c r="AD41" s="1249">
        <f t="shared" si="15"/>
        <v>0</v>
      </c>
      <c r="AE41" s="1249">
        <f t="shared" si="15"/>
        <v>0</v>
      </c>
      <c r="AF41" s="1000"/>
      <c r="AG41" s="88"/>
    </row>
    <row r="42" spans="2:33" ht="13.15" customHeight="1" x14ac:dyDescent="0.2">
      <c r="B42" s="86"/>
      <c r="C42" s="1000"/>
      <c r="D42" s="1220"/>
      <c r="E42" s="1220"/>
      <c r="F42" s="1124"/>
      <c r="G42" s="1262"/>
      <c r="H42" s="1124"/>
      <c r="I42" s="1124"/>
      <c r="J42" s="1000"/>
      <c r="K42" s="1256">
        <f t="shared" si="3"/>
        <v>0</v>
      </c>
      <c r="L42" s="1249">
        <f t="shared" si="4"/>
        <v>0</v>
      </c>
      <c r="M42" s="1249">
        <f t="shared" si="5"/>
        <v>0</v>
      </c>
      <c r="N42" s="1291" t="str">
        <f t="shared" si="6"/>
        <v>-</v>
      </c>
      <c r="O42" s="1249">
        <f t="shared" si="7"/>
        <v>0</v>
      </c>
      <c r="P42" s="1000"/>
      <c r="Q42" s="1249">
        <f t="shared" si="13"/>
        <v>0</v>
      </c>
      <c r="R42" s="1249">
        <f t="shared" si="13"/>
        <v>0</v>
      </c>
      <c r="S42" s="1249">
        <f t="shared" si="9"/>
        <v>0</v>
      </c>
      <c r="T42" s="1249">
        <f t="shared" si="14"/>
        <v>0</v>
      </c>
      <c r="U42" s="1249">
        <f t="shared" si="14"/>
        <v>0</v>
      </c>
      <c r="V42" s="1249">
        <f t="shared" si="14"/>
        <v>0</v>
      </c>
      <c r="W42" s="1249">
        <f t="shared" si="14"/>
        <v>0</v>
      </c>
      <c r="X42" s="1000"/>
      <c r="Y42" s="1249">
        <f t="shared" si="15"/>
        <v>0</v>
      </c>
      <c r="Z42" s="1249">
        <f t="shared" si="15"/>
        <v>0</v>
      </c>
      <c r="AA42" s="1249">
        <f t="shared" si="15"/>
        <v>0</v>
      </c>
      <c r="AB42" s="1249">
        <f t="shared" si="15"/>
        <v>0</v>
      </c>
      <c r="AC42" s="1249">
        <f t="shared" si="15"/>
        <v>0</v>
      </c>
      <c r="AD42" s="1249">
        <f t="shared" si="15"/>
        <v>0</v>
      </c>
      <c r="AE42" s="1249">
        <f t="shared" si="15"/>
        <v>0</v>
      </c>
      <c r="AF42" s="1000"/>
      <c r="AG42" s="88"/>
    </row>
    <row r="43" spans="2:33" ht="13.15" customHeight="1" x14ac:dyDescent="0.2">
      <c r="B43" s="86"/>
      <c r="C43" s="1000"/>
      <c r="D43" s="1220"/>
      <c r="E43" s="1220"/>
      <c r="F43" s="1124"/>
      <c r="G43" s="1262"/>
      <c r="H43" s="1124"/>
      <c r="I43" s="1124"/>
      <c r="J43" s="1000"/>
      <c r="K43" s="1256">
        <f t="shared" si="3"/>
        <v>0</v>
      </c>
      <c r="L43" s="1249">
        <f t="shared" si="4"/>
        <v>0</v>
      </c>
      <c r="M43" s="1249">
        <f t="shared" si="5"/>
        <v>0</v>
      </c>
      <c r="N43" s="1291" t="str">
        <f t="shared" si="6"/>
        <v>-</v>
      </c>
      <c r="O43" s="1249">
        <f t="shared" si="7"/>
        <v>0</v>
      </c>
      <c r="P43" s="1000"/>
      <c r="Q43" s="1249">
        <f t="shared" si="13"/>
        <v>0</v>
      </c>
      <c r="R43" s="1249">
        <f t="shared" si="13"/>
        <v>0</v>
      </c>
      <c r="S43" s="1249">
        <f t="shared" si="9"/>
        <v>0</v>
      </c>
      <c r="T43" s="1249">
        <f t="shared" si="14"/>
        <v>0</v>
      </c>
      <c r="U43" s="1249">
        <f t="shared" si="14"/>
        <v>0</v>
      </c>
      <c r="V43" s="1249">
        <f t="shared" si="14"/>
        <v>0</v>
      </c>
      <c r="W43" s="1249">
        <f t="shared" si="14"/>
        <v>0</v>
      </c>
      <c r="X43" s="1000"/>
      <c r="Y43" s="1249">
        <f t="shared" si="15"/>
        <v>0</v>
      </c>
      <c r="Z43" s="1249">
        <f t="shared" si="15"/>
        <v>0</v>
      </c>
      <c r="AA43" s="1249">
        <f t="shared" si="15"/>
        <v>0</v>
      </c>
      <c r="AB43" s="1249">
        <f t="shared" si="15"/>
        <v>0</v>
      </c>
      <c r="AC43" s="1249">
        <f t="shared" si="15"/>
        <v>0</v>
      </c>
      <c r="AD43" s="1249">
        <f t="shared" si="15"/>
        <v>0</v>
      </c>
      <c r="AE43" s="1249">
        <f t="shared" si="15"/>
        <v>0</v>
      </c>
      <c r="AF43" s="1000"/>
      <c r="AG43" s="88"/>
    </row>
    <row r="44" spans="2:33" ht="13.15" customHeight="1" x14ac:dyDescent="0.2">
      <c r="B44" s="86"/>
      <c r="C44" s="1000"/>
      <c r="D44" s="1220"/>
      <c r="E44" s="1220"/>
      <c r="F44" s="1124"/>
      <c r="G44" s="1262"/>
      <c r="H44" s="1124"/>
      <c r="I44" s="1124"/>
      <c r="J44" s="1000"/>
      <c r="K44" s="1256">
        <f t="shared" si="3"/>
        <v>0</v>
      </c>
      <c r="L44" s="1249">
        <f t="shared" si="4"/>
        <v>0</v>
      </c>
      <c r="M44" s="1249">
        <f t="shared" si="5"/>
        <v>0</v>
      </c>
      <c r="N44" s="1291" t="str">
        <f t="shared" si="6"/>
        <v>-</v>
      </c>
      <c r="O44" s="1249">
        <f t="shared" si="7"/>
        <v>0</v>
      </c>
      <c r="P44" s="1000"/>
      <c r="Q44" s="1249">
        <f t="shared" si="13"/>
        <v>0</v>
      </c>
      <c r="R44" s="1249">
        <f t="shared" si="13"/>
        <v>0</v>
      </c>
      <c r="S44" s="1249">
        <f t="shared" si="9"/>
        <v>0</v>
      </c>
      <c r="T44" s="1249">
        <f t="shared" si="14"/>
        <v>0</v>
      </c>
      <c r="U44" s="1249">
        <f t="shared" si="14"/>
        <v>0</v>
      </c>
      <c r="V44" s="1249">
        <f t="shared" si="14"/>
        <v>0</v>
      </c>
      <c r="W44" s="1249">
        <f t="shared" si="14"/>
        <v>0</v>
      </c>
      <c r="X44" s="1000"/>
      <c r="Y44" s="1249">
        <f t="shared" ref="Y44:AE53" si="16">IF(Y$8=$H44,($F44*$G44),0)</f>
        <v>0</v>
      </c>
      <c r="Z44" s="1249">
        <f t="shared" si="16"/>
        <v>0</v>
      </c>
      <c r="AA44" s="1249">
        <f t="shared" si="16"/>
        <v>0</v>
      </c>
      <c r="AB44" s="1249">
        <f t="shared" si="16"/>
        <v>0</v>
      </c>
      <c r="AC44" s="1249">
        <f t="shared" si="16"/>
        <v>0</v>
      </c>
      <c r="AD44" s="1249">
        <f t="shared" si="16"/>
        <v>0</v>
      </c>
      <c r="AE44" s="1249">
        <f t="shared" si="16"/>
        <v>0</v>
      </c>
      <c r="AF44" s="1000"/>
      <c r="AG44" s="88"/>
    </row>
    <row r="45" spans="2:33" ht="13.15" customHeight="1" x14ac:dyDescent="0.2">
      <c r="B45" s="86"/>
      <c r="C45" s="1000"/>
      <c r="D45" s="1220"/>
      <c r="E45" s="1220"/>
      <c r="F45" s="1124"/>
      <c r="G45" s="1262"/>
      <c r="H45" s="1124"/>
      <c r="I45" s="1124"/>
      <c r="J45" s="1000"/>
      <c r="K45" s="1256">
        <f t="shared" si="3"/>
        <v>0</v>
      </c>
      <c r="L45" s="1249">
        <f t="shared" si="4"/>
        <v>0</v>
      </c>
      <c r="M45" s="1249">
        <f t="shared" si="5"/>
        <v>0</v>
      </c>
      <c r="N45" s="1291" t="str">
        <f t="shared" si="6"/>
        <v>-</v>
      </c>
      <c r="O45" s="1249">
        <f t="shared" si="7"/>
        <v>0</v>
      </c>
      <c r="P45" s="1000"/>
      <c r="Q45" s="1249">
        <f t="shared" si="13"/>
        <v>0</v>
      </c>
      <c r="R45" s="1249">
        <f t="shared" si="13"/>
        <v>0</v>
      </c>
      <c r="S45" s="1249">
        <f t="shared" si="9"/>
        <v>0</v>
      </c>
      <c r="T45" s="1249">
        <f t="shared" si="14"/>
        <v>0</v>
      </c>
      <c r="U45" s="1249">
        <f t="shared" si="14"/>
        <v>0</v>
      </c>
      <c r="V45" s="1249">
        <f t="shared" si="14"/>
        <v>0</v>
      </c>
      <c r="W45" s="1249">
        <f t="shared" si="14"/>
        <v>0</v>
      </c>
      <c r="X45" s="1000"/>
      <c r="Y45" s="1249">
        <f t="shared" si="16"/>
        <v>0</v>
      </c>
      <c r="Z45" s="1249">
        <f t="shared" si="16"/>
        <v>0</v>
      </c>
      <c r="AA45" s="1249">
        <f t="shared" si="16"/>
        <v>0</v>
      </c>
      <c r="AB45" s="1249">
        <f t="shared" si="16"/>
        <v>0</v>
      </c>
      <c r="AC45" s="1249">
        <f t="shared" si="16"/>
        <v>0</v>
      </c>
      <c r="AD45" s="1249">
        <f t="shared" si="16"/>
        <v>0</v>
      </c>
      <c r="AE45" s="1249">
        <f t="shared" si="16"/>
        <v>0</v>
      </c>
      <c r="AF45" s="1000"/>
      <c r="AG45" s="88"/>
    </row>
    <row r="46" spans="2:33" ht="13.15" customHeight="1" x14ac:dyDescent="0.2">
      <c r="B46" s="86"/>
      <c r="C46" s="1000"/>
      <c r="D46" s="1220"/>
      <c r="E46" s="1220"/>
      <c r="F46" s="1124"/>
      <c r="G46" s="1262"/>
      <c r="H46" s="1124"/>
      <c r="I46" s="1124"/>
      <c r="J46" s="1000"/>
      <c r="K46" s="1256">
        <f t="shared" ref="K46:K70" si="17">IF(I46="geen",9999999999,I46)</f>
        <v>0</v>
      </c>
      <c r="L46" s="1249">
        <f t="shared" ref="L46:L70" si="18">F46*G46</f>
        <v>0</v>
      </c>
      <c r="M46" s="1249">
        <f t="shared" ref="M46:M70" si="19">IF(F46=0,0,(F46*G46)/K46)</f>
        <v>0</v>
      </c>
      <c r="N46" s="1291" t="str">
        <f t="shared" ref="N46:N70" si="20">IF(K46=0,"-",(IF(K46&gt;3000,"-",H46+K46-1)))</f>
        <v>-</v>
      </c>
      <c r="O46" s="1249">
        <f t="shared" ref="O46:O70" si="21">IF(I46="geen",IF(H46&lt;$Q$8,F46*G46,0),IF(H46&gt;=$Q$8,0,IF((G46*F46-(Q$8-H46)*M46)&lt;0,0,G46*F46-(Q$8-H46)*M46)))</f>
        <v>0</v>
      </c>
      <c r="P46" s="1000"/>
      <c r="Q46" s="1249">
        <f t="shared" si="13"/>
        <v>0</v>
      </c>
      <c r="R46" s="1249">
        <f t="shared" si="13"/>
        <v>0</v>
      </c>
      <c r="S46" s="1249">
        <f t="shared" ref="S46:S69" si="22">IF(S$8&lt;$H46,0,IF($N46&lt;=S$8-1,0,$M46))</f>
        <v>0</v>
      </c>
      <c r="T46" s="1249">
        <f t="shared" si="14"/>
        <v>0</v>
      </c>
      <c r="U46" s="1249">
        <f t="shared" si="14"/>
        <v>0</v>
      </c>
      <c r="V46" s="1249">
        <f t="shared" si="14"/>
        <v>0</v>
      </c>
      <c r="W46" s="1249">
        <f t="shared" si="14"/>
        <v>0</v>
      </c>
      <c r="X46" s="1000"/>
      <c r="Y46" s="1249">
        <f t="shared" si="16"/>
        <v>0</v>
      </c>
      <c r="Z46" s="1249">
        <f t="shared" si="16"/>
        <v>0</v>
      </c>
      <c r="AA46" s="1249">
        <f t="shared" si="16"/>
        <v>0</v>
      </c>
      <c r="AB46" s="1249">
        <f t="shared" si="16"/>
        <v>0</v>
      </c>
      <c r="AC46" s="1249">
        <f t="shared" si="16"/>
        <v>0</v>
      </c>
      <c r="AD46" s="1249">
        <f t="shared" si="16"/>
        <v>0</v>
      </c>
      <c r="AE46" s="1249">
        <f t="shared" si="16"/>
        <v>0</v>
      </c>
      <c r="AF46" s="1000"/>
      <c r="AG46" s="88"/>
    </row>
    <row r="47" spans="2:33" ht="13.15" customHeight="1" x14ac:dyDescent="0.2">
      <c r="B47" s="86"/>
      <c r="C47" s="1000"/>
      <c r="D47" s="1220"/>
      <c r="E47" s="1220"/>
      <c r="F47" s="1124"/>
      <c r="G47" s="1262"/>
      <c r="H47" s="1124"/>
      <c r="I47" s="1124"/>
      <c r="J47" s="1000"/>
      <c r="K47" s="1256">
        <f t="shared" si="17"/>
        <v>0</v>
      </c>
      <c r="L47" s="1249">
        <f t="shared" si="18"/>
        <v>0</v>
      </c>
      <c r="M47" s="1249">
        <f t="shared" si="19"/>
        <v>0</v>
      </c>
      <c r="N47" s="1291" t="str">
        <f t="shared" si="20"/>
        <v>-</v>
      </c>
      <c r="O47" s="1249">
        <f t="shared" si="21"/>
        <v>0</v>
      </c>
      <c r="P47" s="1000"/>
      <c r="Q47" s="1249">
        <f t="shared" si="13"/>
        <v>0</v>
      </c>
      <c r="R47" s="1249">
        <f t="shared" si="13"/>
        <v>0</v>
      </c>
      <c r="S47" s="1249">
        <f t="shared" si="22"/>
        <v>0</v>
      </c>
      <c r="T47" s="1249">
        <f t="shared" si="14"/>
        <v>0</v>
      </c>
      <c r="U47" s="1249">
        <f t="shared" si="14"/>
        <v>0</v>
      </c>
      <c r="V47" s="1249">
        <f t="shared" si="14"/>
        <v>0</v>
      </c>
      <c r="W47" s="1249">
        <f t="shared" si="14"/>
        <v>0</v>
      </c>
      <c r="X47" s="1000"/>
      <c r="Y47" s="1249">
        <f t="shared" si="16"/>
        <v>0</v>
      </c>
      <c r="Z47" s="1249">
        <f t="shared" si="16"/>
        <v>0</v>
      </c>
      <c r="AA47" s="1249">
        <f t="shared" si="16"/>
        <v>0</v>
      </c>
      <c r="AB47" s="1249">
        <f t="shared" si="16"/>
        <v>0</v>
      </c>
      <c r="AC47" s="1249">
        <f t="shared" si="16"/>
        <v>0</v>
      </c>
      <c r="AD47" s="1249">
        <f t="shared" si="16"/>
        <v>0</v>
      </c>
      <c r="AE47" s="1249">
        <f t="shared" si="16"/>
        <v>0</v>
      </c>
      <c r="AF47" s="1000"/>
      <c r="AG47" s="88"/>
    </row>
    <row r="48" spans="2:33" ht="13.15" customHeight="1" x14ac:dyDescent="0.2">
      <c r="B48" s="86"/>
      <c r="C48" s="1000"/>
      <c r="D48" s="1220"/>
      <c r="E48" s="1220"/>
      <c r="F48" s="1124"/>
      <c r="G48" s="1262"/>
      <c r="H48" s="1124"/>
      <c r="I48" s="1124"/>
      <c r="J48" s="1000"/>
      <c r="K48" s="1256">
        <f t="shared" si="17"/>
        <v>0</v>
      </c>
      <c r="L48" s="1249">
        <f t="shared" si="18"/>
        <v>0</v>
      </c>
      <c r="M48" s="1249">
        <f t="shared" si="19"/>
        <v>0</v>
      </c>
      <c r="N48" s="1291" t="str">
        <f t="shared" si="20"/>
        <v>-</v>
      </c>
      <c r="O48" s="1249">
        <f t="shared" si="21"/>
        <v>0</v>
      </c>
      <c r="P48" s="1000"/>
      <c r="Q48" s="1249">
        <f t="shared" si="13"/>
        <v>0</v>
      </c>
      <c r="R48" s="1249">
        <f t="shared" si="13"/>
        <v>0</v>
      </c>
      <c r="S48" s="1249">
        <f t="shared" si="22"/>
        <v>0</v>
      </c>
      <c r="T48" s="1249">
        <f t="shared" si="14"/>
        <v>0</v>
      </c>
      <c r="U48" s="1249">
        <f t="shared" si="14"/>
        <v>0</v>
      </c>
      <c r="V48" s="1249">
        <f t="shared" si="14"/>
        <v>0</v>
      </c>
      <c r="W48" s="1249">
        <f t="shared" si="14"/>
        <v>0</v>
      </c>
      <c r="X48" s="1000"/>
      <c r="Y48" s="1249">
        <f t="shared" si="16"/>
        <v>0</v>
      </c>
      <c r="Z48" s="1249">
        <f t="shared" si="16"/>
        <v>0</v>
      </c>
      <c r="AA48" s="1249">
        <f t="shared" si="16"/>
        <v>0</v>
      </c>
      <c r="AB48" s="1249">
        <f t="shared" si="16"/>
        <v>0</v>
      </c>
      <c r="AC48" s="1249">
        <f t="shared" si="16"/>
        <v>0</v>
      </c>
      <c r="AD48" s="1249">
        <f t="shared" si="16"/>
        <v>0</v>
      </c>
      <c r="AE48" s="1249">
        <f t="shared" si="16"/>
        <v>0</v>
      </c>
      <c r="AF48" s="1000"/>
      <c r="AG48" s="88"/>
    </row>
    <row r="49" spans="2:33" ht="13.15" customHeight="1" x14ac:dyDescent="0.2">
      <c r="B49" s="86"/>
      <c r="C49" s="1000"/>
      <c r="D49" s="1220"/>
      <c r="E49" s="1220"/>
      <c r="F49" s="1124"/>
      <c r="G49" s="1262"/>
      <c r="H49" s="1124"/>
      <c r="I49" s="1124"/>
      <c r="J49" s="1000"/>
      <c r="K49" s="1256">
        <f t="shared" si="17"/>
        <v>0</v>
      </c>
      <c r="L49" s="1249">
        <f t="shared" si="18"/>
        <v>0</v>
      </c>
      <c r="M49" s="1249">
        <f t="shared" si="19"/>
        <v>0</v>
      </c>
      <c r="N49" s="1291" t="str">
        <f t="shared" si="20"/>
        <v>-</v>
      </c>
      <c r="O49" s="1249">
        <f t="shared" si="21"/>
        <v>0</v>
      </c>
      <c r="P49" s="1000"/>
      <c r="Q49" s="1249">
        <f t="shared" si="13"/>
        <v>0</v>
      </c>
      <c r="R49" s="1249">
        <f t="shared" si="13"/>
        <v>0</v>
      </c>
      <c r="S49" s="1249">
        <f t="shared" si="22"/>
        <v>0</v>
      </c>
      <c r="T49" s="1249">
        <f t="shared" si="14"/>
        <v>0</v>
      </c>
      <c r="U49" s="1249">
        <f t="shared" si="14"/>
        <v>0</v>
      </c>
      <c r="V49" s="1249">
        <f t="shared" si="14"/>
        <v>0</v>
      </c>
      <c r="W49" s="1249">
        <f t="shared" si="14"/>
        <v>0</v>
      </c>
      <c r="X49" s="1000"/>
      <c r="Y49" s="1249">
        <f t="shared" si="16"/>
        <v>0</v>
      </c>
      <c r="Z49" s="1249">
        <f t="shared" si="16"/>
        <v>0</v>
      </c>
      <c r="AA49" s="1249">
        <f t="shared" si="16"/>
        <v>0</v>
      </c>
      <c r="AB49" s="1249">
        <f t="shared" si="16"/>
        <v>0</v>
      </c>
      <c r="AC49" s="1249">
        <f t="shared" si="16"/>
        <v>0</v>
      </c>
      <c r="AD49" s="1249">
        <f t="shared" si="16"/>
        <v>0</v>
      </c>
      <c r="AE49" s="1249">
        <f t="shared" si="16"/>
        <v>0</v>
      </c>
      <c r="AF49" s="1000"/>
      <c r="AG49" s="88"/>
    </row>
    <row r="50" spans="2:33" ht="13.15" customHeight="1" x14ac:dyDescent="0.2">
      <c r="B50" s="86"/>
      <c r="C50" s="1000"/>
      <c r="D50" s="1220"/>
      <c r="E50" s="1220"/>
      <c r="F50" s="1124"/>
      <c r="G50" s="1262"/>
      <c r="H50" s="1124"/>
      <c r="I50" s="1124"/>
      <c r="J50" s="1000"/>
      <c r="K50" s="1256">
        <f t="shared" si="17"/>
        <v>0</v>
      </c>
      <c r="L50" s="1249">
        <f t="shared" si="18"/>
        <v>0</v>
      </c>
      <c r="M50" s="1249">
        <f t="shared" si="19"/>
        <v>0</v>
      </c>
      <c r="N50" s="1291" t="str">
        <f t="shared" si="20"/>
        <v>-</v>
      </c>
      <c r="O50" s="1249">
        <f t="shared" si="21"/>
        <v>0</v>
      </c>
      <c r="P50" s="1000"/>
      <c r="Q50" s="1249">
        <f t="shared" si="13"/>
        <v>0</v>
      </c>
      <c r="R50" s="1249">
        <f t="shared" si="13"/>
        <v>0</v>
      </c>
      <c r="S50" s="1249">
        <f t="shared" si="22"/>
        <v>0</v>
      </c>
      <c r="T50" s="1249">
        <f t="shared" si="14"/>
        <v>0</v>
      </c>
      <c r="U50" s="1249">
        <f t="shared" si="14"/>
        <v>0</v>
      </c>
      <c r="V50" s="1249">
        <f t="shared" si="14"/>
        <v>0</v>
      </c>
      <c r="W50" s="1249">
        <f t="shared" si="14"/>
        <v>0</v>
      </c>
      <c r="X50" s="1000"/>
      <c r="Y50" s="1249">
        <f t="shared" si="16"/>
        <v>0</v>
      </c>
      <c r="Z50" s="1249">
        <f t="shared" si="16"/>
        <v>0</v>
      </c>
      <c r="AA50" s="1249">
        <f t="shared" si="16"/>
        <v>0</v>
      </c>
      <c r="AB50" s="1249">
        <f t="shared" si="16"/>
        <v>0</v>
      </c>
      <c r="AC50" s="1249">
        <f t="shared" si="16"/>
        <v>0</v>
      </c>
      <c r="AD50" s="1249">
        <f t="shared" si="16"/>
        <v>0</v>
      </c>
      <c r="AE50" s="1249">
        <f t="shared" si="16"/>
        <v>0</v>
      </c>
      <c r="AF50" s="1000"/>
      <c r="AG50" s="88"/>
    </row>
    <row r="51" spans="2:33" ht="13.15" customHeight="1" x14ac:dyDescent="0.2">
      <c r="B51" s="86"/>
      <c r="C51" s="1000"/>
      <c r="D51" s="1220"/>
      <c r="E51" s="1220"/>
      <c r="F51" s="1124"/>
      <c r="G51" s="1262"/>
      <c r="H51" s="1124"/>
      <c r="I51" s="1124"/>
      <c r="J51" s="1000"/>
      <c r="K51" s="1256">
        <f t="shared" si="17"/>
        <v>0</v>
      </c>
      <c r="L51" s="1249">
        <f t="shared" si="18"/>
        <v>0</v>
      </c>
      <c r="M51" s="1249">
        <f t="shared" si="19"/>
        <v>0</v>
      </c>
      <c r="N51" s="1291" t="str">
        <f t="shared" si="20"/>
        <v>-</v>
      </c>
      <c r="O51" s="1249">
        <f t="shared" si="21"/>
        <v>0</v>
      </c>
      <c r="P51" s="1000"/>
      <c r="Q51" s="1249">
        <f t="shared" si="13"/>
        <v>0</v>
      </c>
      <c r="R51" s="1249">
        <f t="shared" si="13"/>
        <v>0</v>
      </c>
      <c r="S51" s="1249">
        <f t="shared" si="22"/>
        <v>0</v>
      </c>
      <c r="T51" s="1249">
        <f t="shared" si="14"/>
        <v>0</v>
      </c>
      <c r="U51" s="1249">
        <f t="shared" si="14"/>
        <v>0</v>
      </c>
      <c r="V51" s="1249">
        <f t="shared" si="14"/>
        <v>0</v>
      </c>
      <c r="W51" s="1249">
        <f t="shared" si="14"/>
        <v>0</v>
      </c>
      <c r="X51" s="1000"/>
      <c r="Y51" s="1249">
        <f t="shared" si="16"/>
        <v>0</v>
      </c>
      <c r="Z51" s="1249">
        <f t="shared" si="16"/>
        <v>0</v>
      </c>
      <c r="AA51" s="1249">
        <f t="shared" si="16"/>
        <v>0</v>
      </c>
      <c r="AB51" s="1249">
        <f t="shared" si="16"/>
        <v>0</v>
      </c>
      <c r="AC51" s="1249">
        <f t="shared" si="16"/>
        <v>0</v>
      </c>
      <c r="AD51" s="1249">
        <f t="shared" si="16"/>
        <v>0</v>
      </c>
      <c r="AE51" s="1249">
        <f t="shared" si="16"/>
        <v>0</v>
      </c>
      <c r="AF51" s="1000"/>
      <c r="AG51" s="88"/>
    </row>
    <row r="52" spans="2:33" ht="13.15" customHeight="1" x14ac:dyDescent="0.2">
      <c r="B52" s="86"/>
      <c r="C52" s="1000"/>
      <c r="D52" s="1220"/>
      <c r="E52" s="1220"/>
      <c r="F52" s="1124"/>
      <c r="G52" s="1262"/>
      <c r="H52" s="1124"/>
      <c r="I52" s="1124"/>
      <c r="J52" s="1000"/>
      <c r="K52" s="1256">
        <f t="shared" si="17"/>
        <v>0</v>
      </c>
      <c r="L52" s="1249">
        <f t="shared" si="18"/>
        <v>0</v>
      </c>
      <c r="M52" s="1249">
        <f t="shared" si="19"/>
        <v>0</v>
      </c>
      <c r="N52" s="1291" t="str">
        <f t="shared" si="20"/>
        <v>-</v>
      </c>
      <c r="O52" s="1249">
        <f t="shared" si="21"/>
        <v>0</v>
      </c>
      <c r="P52" s="1000"/>
      <c r="Q52" s="1249">
        <f t="shared" si="13"/>
        <v>0</v>
      </c>
      <c r="R52" s="1249">
        <f t="shared" si="13"/>
        <v>0</v>
      </c>
      <c r="S52" s="1249">
        <f t="shared" si="22"/>
        <v>0</v>
      </c>
      <c r="T52" s="1249">
        <f t="shared" si="14"/>
        <v>0</v>
      </c>
      <c r="U52" s="1249">
        <f t="shared" si="14"/>
        <v>0</v>
      </c>
      <c r="V52" s="1249">
        <f t="shared" si="14"/>
        <v>0</v>
      </c>
      <c r="W52" s="1249">
        <f t="shared" si="14"/>
        <v>0</v>
      </c>
      <c r="X52" s="1000"/>
      <c r="Y52" s="1249">
        <f t="shared" si="16"/>
        <v>0</v>
      </c>
      <c r="Z52" s="1249">
        <f t="shared" si="16"/>
        <v>0</v>
      </c>
      <c r="AA52" s="1249">
        <f t="shared" si="16"/>
        <v>0</v>
      </c>
      <c r="AB52" s="1249">
        <f t="shared" si="16"/>
        <v>0</v>
      </c>
      <c r="AC52" s="1249">
        <f t="shared" si="16"/>
        <v>0</v>
      </c>
      <c r="AD52" s="1249">
        <f t="shared" si="16"/>
        <v>0</v>
      </c>
      <c r="AE52" s="1249">
        <f t="shared" si="16"/>
        <v>0</v>
      </c>
      <c r="AF52" s="1000"/>
      <c r="AG52" s="88"/>
    </row>
    <row r="53" spans="2:33" ht="13.15" customHeight="1" x14ac:dyDescent="0.2">
      <c r="B53" s="86"/>
      <c r="C53" s="1000"/>
      <c r="D53" s="1220"/>
      <c r="E53" s="1220"/>
      <c r="F53" s="1124"/>
      <c r="G53" s="1262"/>
      <c r="H53" s="1124"/>
      <c r="I53" s="1124"/>
      <c r="J53" s="1000"/>
      <c r="K53" s="1256">
        <f t="shared" si="17"/>
        <v>0</v>
      </c>
      <c r="L53" s="1249">
        <f t="shared" si="18"/>
        <v>0</v>
      </c>
      <c r="M53" s="1249">
        <f t="shared" si="19"/>
        <v>0</v>
      </c>
      <c r="N53" s="1291" t="str">
        <f t="shared" si="20"/>
        <v>-</v>
      </c>
      <c r="O53" s="1249">
        <f t="shared" si="21"/>
        <v>0</v>
      </c>
      <c r="P53" s="1000"/>
      <c r="Q53" s="1249">
        <f t="shared" si="13"/>
        <v>0</v>
      </c>
      <c r="R53" s="1249">
        <f t="shared" si="13"/>
        <v>0</v>
      </c>
      <c r="S53" s="1249">
        <f t="shared" si="22"/>
        <v>0</v>
      </c>
      <c r="T53" s="1249">
        <f t="shared" si="14"/>
        <v>0</v>
      </c>
      <c r="U53" s="1249">
        <f t="shared" si="14"/>
        <v>0</v>
      </c>
      <c r="V53" s="1249">
        <f t="shared" si="14"/>
        <v>0</v>
      </c>
      <c r="W53" s="1249">
        <f t="shared" si="14"/>
        <v>0</v>
      </c>
      <c r="X53" s="1000"/>
      <c r="Y53" s="1249">
        <f t="shared" si="16"/>
        <v>0</v>
      </c>
      <c r="Z53" s="1249">
        <f t="shared" si="16"/>
        <v>0</v>
      </c>
      <c r="AA53" s="1249">
        <f t="shared" si="16"/>
        <v>0</v>
      </c>
      <c r="AB53" s="1249">
        <f t="shared" si="16"/>
        <v>0</v>
      </c>
      <c r="AC53" s="1249">
        <f t="shared" si="16"/>
        <v>0</v>
      </c>
      <c r="AD53" s="1249">
        <f t="shared" si="16"/>
        <v>0</v>
      </c>
      <c r="AE53" s="1249">
        <f t="shared" si="16"/>
        <v>0</v>
      </c>
      <c r="AF53" s="1000"/>
      <c r="AG53" s="88"/>
    </row>
    <row r="54" spans="2:33" ht="13.15" customHeight="1" x14ac:dyDescent="0.2">
      <c r="B54" s="86"/>
      <c r="C54" s="1000"/>
      <c r="D54" s="1220"/>
      <c r="E54" s="1220"/>
      <c r="F54" s="1124"/>
      <c r="G54" s="1262"/>
      <c r="H54" s="1124"/>
      <c r="I54" s="1124"/>
      <c r="J54" s="1000"/>
      <c r="K54" s="1256">
        <f t="shared" si="17"/>
        <v>0</v>
      </c>
      <c r="L54" s="1249">
        <f t="shared" si="18"/>
        <v>0</v>
      </c>
      <c r="M54" s="1249">
        <f t="shared" si="19"/>
        <v>0</v>
      </c>
      <c r="N54" s="1291" t="str">
        <f t="shared" si="20"/>
        <v>-</v>
      </c>
      <c r="O54" s="1249">
        <f t="shared" si="21"/>
        <v>0</v>
      </c>
      <c r="P54" s="1000"/>
      <c r="Q54" s="1249">
        <f t="shared" ref="Q54:R70" si="23">(IF(Q$8&lt;$H54,0,IF($N54&lt;=Q$8-1,0,$M54)))</f>
        <v>0</v>
      </c>
      <c r="R54" s="1249">
        <f t="shared" si="23"/>
        <v>0</v>
      </c>
      <c r="S54" s="1249">
        <f t="shared" si="22"/>
        <v>0</v>
      </c>
      <c r="T54" s="1249">
        <f t="shared" ref="T54:W70" si="24">(IF(T$8&lt;$H54,0,IF($N54&lt;=T$8-1,0,$M54)))</f>
        <v>0</v>
      </c>
      <c r="U54" s="1249">
        <f t="shared" si="24"/>
        <v>0</v>
      </c>
      <c r="V54" s="1249">
        <f t="shared" si="24"/>
        <v>0</v>
      </c>
      <c r="W54" s="1249">
        <f t="shared" si="24"/>
        <v>0</v>
      </c>
      <c r="X54" s="1000"/>
      <c r="Y54" s="1249">
        <f t="shared" ref="Y54:AE63" si="25">IF(Y$8=$H54,($F54*$G54),0)</f>
        <v>0</v>
      </c>
      <c r="Z54" s="1249">
        <f t="shared" si="25"/>
        <v>0</v>
      </c>
      <c r="AA54" s="1249">
        <f t="shared" si="25"/>
        <v>0</v>
      </c>
      <c r="AB54" s="1249">
        <f t="shared" si="25"/>
        <v>0</v>
      </c>
      <c r="AC54" s="1249">
        <f t="shared" si="25"/>
        <v>0</v>
      </c>
      <c r="AD54" s="1249">
        <f t="shared" si="25"/>
        <v>0</v>
      </c>
      <c r="AE54" s="1249">
        <f t="shared" si="25"/>
        <v>0</v>
      </c>
      <c r="AF54" s="1000"/>
      <c r="AG54" s="88"/>
    </row>
    <row r="55" spans="2:33" ht="13.15" customHeight="1" x14ac:dyDescent="0.2">
      <c r="B55" s="86"/>
      <c r="C55" s="1000"/>
      <c r="D55" s="1220"/>
      <c r="E55" s="1220"/>
      <c r="F55" s="1124"/>
      <c r="G55" s="1262"/>
      <c r="H55" s="1124"/>
      <c r="I55" s="1124"/>
      <c r="J55" s="1000"/>
      <c r="K55" s="1256">
        <f t="shared" si="17"/>
        <v>0</v>
      </c>
      <c r="L55" s="1249">
        <f t="shared" si="18"/>
        <v>0</v>
      </c>
      <c r="M55" s="1249">
        <f t="shared" si="19"/>
        <v>0</v>
      </c>
      <c r="N55" s="1291" t="str">
        <f t="shared" si="20"/>
        <v>-</v>
      </c>
      <c r="O55" s="1249">
        <f t="shared" si="21"/>
        <v>0</v>
      </c>
      <c r="P55" s="1000"/>
      <c r="Q55" s="1249">
        <f t="shared" si="23"/>
        <v>0</v>
      </c>
      <c r="R55" s="1249">
        <f t="shared" si="23"/>
        <v>0</v>
      </c>
      <c r="S55" s="1249">
        <f t="shared" si="22"/>
        <v>0</v>
      </c>
      <c r="T55" s="1249">
        <f t="shared" si="24"/>
        <v>0</v>
      </c>
      <c r="U55" s="1249">
        <f t="shared" si="24"/>
        <v>0</v>
      </c>
      <c r="V55" s="1249">
        <f t="shared" si="24"/>
        <v>0</v>
      </c>
      <c r="W55" s="1249">
        <f t="shared" si="24"/>
        <v>0</v>
      </c>
      <c r="X55" s="1000"/>
      <c r="Y55" s="1249">
        <f t="shared" si="25"/>
        <v>0</v>
      </c>
      <c r="Z55" s="1249">
        <f t="shared" si="25"/>
        <v>0</v>
      </c>
      <c r="AA55" s="1249">
        <f t="shared" si="25"/>
        <v>0</v>
      </c>
      <c r="AB55" s="1249">
        <f t="shared" si="25"/>
        <v>0</v>
      </c>
      <c r="AC55" s="1249">
        <f t="shared" si="25"/>
        <v>0</v>
      </c>
      <c r="AD55" s="1249">
        <f t="shared" si="25"/>
        <v>0</v>
      </c>
      <c r="AE55" s="1249">
        <f t="shared" si="25"/>
        <v>0</v>
      </c>
      <c r="AF55" s="1000"/>
      <c r="AG55" s="88"/>
    </row>
    <row r="56" spans="2:33" ht="13.15" customHeight="1" x14ac:dyDescent="0.2">
      <c r="B56" s="86"/>
      <c r="C56" s="1000"/>
      <c r="D56" s="1220"/>
      <c r="E56" s="1220"/>
      <c r="F56" s="1124"/>
      <c r="G56" s="1262"/>
      <c r="H56" s="1124"/>
      <c r="I56" s="1124"/>
      <c r="J56" s="1000"/>
      <c r="K56" s="1256">
        <f t="shared" si="17"/>
        <v>0</v>
      </c>
      <c r="L56" s="1249">
        <f t="shared" si="18"/>
        <v>0</v>
      </c>
      <c r="M56" s="1249">
        <f t="shared" si="19"/>
        <v>0</v>
      </c>
      <c r="N56" s="1291" t="str">
        <f t="shared" si="20"/>
        <v>-</v>
      </c>
      <c r="O56" s="1249">
        <f t="shared" si="21"/>
        <v>0</v>
      </c>
      <c r="P56" s="1000"/>
      <c r="Q56" s="1249">
        <f t="shared" si="23"/>
        <v>0</v>
      </c>
      <c r="R56" s="1249">
        <f t="shared" si="23"/>
        <v>0</v>
      </c>
      <c r="S56" s="1249">
        <f t="shared" si="22"/>
        <v>0</v>
      </c>
      <c r="T56" s="1249">
        <f t="shared" si="24"/>
        <v>0</v>
      </c>
      <c r="U56" s="1249">
        <f t="shared" si="24"/>
        <v>0</v>
      </c>
      <c r="V56" s="1249">
        <f t="shared" si="24"/>
        <v>0</v>
      </c>
      <c r="W56" s="1249">
        <f t="shared" si="24"/>
        <v>0</v>
      </c>
      <c r="X56" s="1000"/>
      <c r="Y56" s="1249">
        <f t="shared" si="25"/>
        <v>0</v>
      </c>
      <c r="Z56" s="1249">
        <f t="shared" si="25"/>
        <v>0</v>
      </c>
      <c r="AA56" s="1249">
        <f t="shared" si="25"/>
        <v>0</v>
      </c>
      <c r="AB56" s="1249">
        <f t="shared" si="25"/>
        <v>0</v>
      </c>
      <c r="AC56" s="1249">
        <f t="shared" si="25"/>
        <v>0</v>
      </c>
      <c r="AD56" s="1249">
        <f t="shared" si="25"/>
        <v>0</v>
      </c>
      <c r="AE56" s="1249">
        <f t="shared" si="25"/>
        <v>0</v>
      </c>
      <c r="AF56" s="1000"/>
      <c r="AG56" s="88"/>
    </row>
    <row r="57" spans="2:33" ht="13.15" customHeight="1" x14ac:dyDescent="0.2">
      <c r="B57" s="86"/>
      <c r="C57" s="1000"/>
      <c r="D57" s="1220"/>
      <c r="E57" s="1220"/>
      <c r="F57" s="1124"/>
      <c r="G57" s="1262"/>
      <c r="H57" s="1124"/>
      <c r="I57" s="1124"/>
      <c r="J57" s="1000"/>
      <c r="K57" s="1256">
        <f t="shared" si="17"/>
        <v>0</v>
      </c>
      <c r="L57" s="1249">
        <f t="shared" si="18"/>
        <v>0</v>
      </c>
      <c r="M57" s="1249">
        <f t="shared" si="19"/>
        <v>0</v>
      </c>
      <c r="N57" s="1291" t="str">
        <f t="shared" si="20"/>
        <v>-</v>
      </c>
      <c r="O57" s="1249">
        <f t="shared" si="21"/>
        <v>0</v>
      </c>
      <c r="P57" s="1000"/>
      <c r="Q57" s="1249">
        <f t="shared" si="23"/>
        <v>0</v>
      </c>
      <c r="R57" s="1249">
        <f t="shared" si="23"/>
        <v>0</v>
      </c>
      <c r="S57" s="1249">
        <f t="shared" si="22"/>
        <v>0</v>
      </c>
      <c r="T57" s="1249">
        <f t="shared" si="24"/>
        <v>0</v>
      </c>
      <c r="U57" s="1249">
        <f t="shared" si="24"/>
        <v>0</v>
      </c>
      <c r="V57" s="1249">
        <f t="shared" si="24"/>
        <v>0</v>
      </c>
      <c r="W57" s="1249">
        <f t="shared" si="24"/>
        <v>0</v>
      </c>
      <c r="X57" s="1000"/>
      <c r="Y57" s="1249">
        <f t="shared" si="25"/>
        <v>0</v>
      </c>
      <c r="Z57" s="1249">
        <f t="shared" si="25"/>
        <v>0</v>
      </c>
      <c r="AA57" s="1249">
        <f t="shared" si="25"/>
        <v>0</v>
      </c>
      <c r="AB57" s="1249">
        <f t="shared" si="25"/>
        <v>0</v>
      </c>
      <c r="AC57" s="1249">
        <f t="shared" si="25"/>
        <v>0</v>
      </c>
      <c r="AD57" s="1249">
        <f t="shared" si="25"/>
        <v>0</v>
      </c>
      <c r="AE57" s="1249">
        <f t="shared" si="25"/>
        <v>0</v>
      </c>
      <c r="AF57" s="1000"/>
      <c r="AG57" s="88"/>
    </row>
    <row r="58" spans="2:33" ht="13.15" customHeight="1" x14ac:dyDescent="0.2">
      <c r="B58" s="86"/>
      <c r="C58" s="1000"/>
      <c r="D58" s="1220"/>
      <c r="E58" s="1220"/>
      <c r="F58" s="1124"/>
      <c r="G58" s="1262"/>
      <c r="H58" s="1124"/>
      <c r="I58" s="1124"/>
      <c r="J58" s="1000"/>
      <c r="K58" s="1256">
        <f t="shared" si="17"/>
        <v>0</v>
      </c>
      <c r="L58" s="1249">
        <f t="shared" si="18"/>
        <v>0</v>
      </c>
      <c r="M58" s="1249">
        <f t="shared" si="19"/>
        <v>0</v>
      </c>
      <c r="N58" s="1291" t="str">
        <f t="shared" si="20"/>
        <v>-</v>
      </c>
      <c r="O58" s="1249">
        <f t="shared" si="21"/>
        <v>0</v>
      </c>
      <c r="P58" s="1000"/>
      <c r="Q58" s="1249">
        <f t="shared" si="23"/>
        <v>0</v>
      </c>
      <c r="R58" s="1249">
        <f t="shared" si="23"/>
        <v>0</v>
      </c>
      <c r="S58" s="1249">
        <f t="shared" si="22"/>
        <v>0</v>
      </c>
      <c r="T58" s="1249">
        <f t="shared" si="24"/>
        <v>0</v>
      </c>
      <c r="U58" s="1249">
        <f t="shared" si="24"/>
        <v>0</v>
      </c>
      <c r="V58" s="1249">
        <f t="shared" si="24"/>
        <v>0</v>
      </c>
      <c r="W58" s="1249">
        <f t="shared" si="24"/>
        <v>0</v>
      </c>
      <c r="X58" s="1000"/>
      <c r="Y58" s="1249">
        <f t="shared" si="25"/>
        <v>0</v>
      </c>
      <c r="Z58" s="1249">
        <f t="shared" si="25"/>
        <v>0</v>
      </c>
      <c r="AA58" s="1249">
        <f t="shared" si="25"/>
        <v>0</v>
      </c>
      <c r="AB58" s="1249">
        <f t="shared" si="25"/>
        <v>0</v>
      </c>
      <c r="AC58" s="1249">
        <f t="shared" si="25"/>
        <v>0</v>
      </c>
      <c r="AD58" s="1249">
        <f t="shared" si="25"/>
        <v>0</v>
      </c>
      <c r="AE58" s="1249">
        <f t="shared" si="25"/>
        <v>0</v>
      </c>
      <c r="AF58" s="1000"/>
      <c r="AG58" s="88"/>
    </row>
    <row r="59" spans="2:33" ht="13.15" customHeight="1" x14ac:dyDescent="0.2">
      <c r="B59" s="86"/>
      <c r="C59" s="1000"/>
      <c r="D59" s="1220"/>
      <c r="E59" s="1220"/>
      <c r="F59" s="1124"/>
      <c r="G59" s="1262"/>
      <c r="H59" s="1124"/>
      <c r="I59" s="1124"/>
      <c r="J59" s="1000"/>
      <c r="K59" s="1256">
        <f t="shared" si="17"/>
        <v>0</v>
      </c>
      <c r="L59" s="1249">
        <f t="shared" si="18"/>
        <v>0</v>
      </c>
      <c r="M59" s="1249">
        <f t="shared" si="19"/>
        <v>0</v>
      </c>
      <c r="N59" s="1291" t="str">
        <f t="shared" si="20"/>
        <v>-</v>
      </c>
      <c r="O59" s="1249">
        <f t="shared" si="21"/>
        <v>0</v>
      </c>
      <c r="P59" s="1000"/>
      <c r="Q59" s="1249">
        <f t="shared" si="23"/>
        <v>0</v>
      </c>
      <c r="R59" s="1249">
        <f t="shared" si="23"/>
        <v>0</v>
      </c>
      <c r="S59" s="1249">
        <f t="shared" si="22"/>
        <v>0</v>
      </c>
      <c r="T59" s="1249">
        <f t="shared" si="24"/>
        <v>0</v>
      </c>
      <c r="U59" s="1249">
        <f t="shared" si="24"/>
        <v>0</v>
      </c>
      <c r="V59" s="1249">
        <f t="shared" si="24"/>
        <v>0</v>
      </c>
      <c r="W59" s="1249">
        <f t="shared" si="24"/>
        <v>0</v>
      </c>
      <c r="X59" s="1000"/>
      <c r="Y59" s="1249">
        <f t="shared" si="25"/>
        <v>0</v>
      </c>
      <c r="Z59" s="1249">
        <f t="shared" si="25"/>
        <v>0</v>
      </c>
      <c r="AA59" s="1249">
        <f t="shared" si="25"/>
        <v>0</v>
      </c>
      <c r="AB59" s="1249">
        <f t="shared" si="25"/>
        <v>0</v>
      </c>
      <c r="AC59" s="1249">
        <f t="shared" si="25"/>
        <v>0</v>
      </c>
      <c r="AD59" s="1249">
        <f t="shared" si="25"/>
        <v>0</v>
      </c>
      <c r="AE59" s="1249">
        <f t="shared" si="25"/>
        <v>0</v>
      </c>
      <c r="AF59" s="1000"/>
      <c r="AG59" s="88"/>
    </row>
    <row r="60" spans="2:33" ht="13.15" customHeight="1" x14ac:dyDescent="0.2">
      <c r="B60" s="86"/>
      <c r="C60" s="1000"/>
      <c r="D60" s="1220"/>
      <c r="E60" s="1220"/>
      <c r="F60" s="1124"/>
      <c r="G60" s="1262"/>
      <c r="H60" s="1124"/>
      <c r="I60" s="1124"/>
      <c r="J60" s="1000"/>
      <c r="K60" s="1256">
        <f t="shared" si="17"/>
        <v>0</v>
      </c>
      <c r="L60" s="1249">
        <f t="shared" si="18"/>
        <v>0</v>
      </c>
      <c r="M60" s="1249">
        <f t="shared" si="19"/>
        <v>0</v>
      </c>
      <c r="N60" s="1291" t="str">
        <f t="shared" si="20"/>
        <v>-</v>
      </c>
      <c r="O60" s="1249">
        <f t="shared" si="21"/>
        <v>0</v>
      </c>
      <c r="P60" s="1000"/>
      <c r="Q60" s="1249">
        <f t="shared" si="23"/>
        <v>0</v>
      </c>
      <c r="R60" s="1249">
        <f t="shared" si="23"/>
        <v>0</v>
      </c>
      <c r="S60" s="1249">
        <f t="shared" si="22"/>
        <v>0</v>
      </c>
      <c r="T60" s="1249">
        <f t="shared" si="24"/>
        <v>0</v>
      </c>
      <c r="U60" s="1249">
        <f t="shared" si="24"/>
        <v>0</v>
      </c>
      <c r="V60" s="1249">
        <f t="shared" si="24"/>
        <v>0</v>
      </c>
      <c r="W60" s="1249">
        <f t="shared" si="24"/>
        <v>0</v>
      </c>
      <c r="X60" s="1000"/>
      <c r="Y60" s="1249">
        <f t="shared" si="25"/>
        <v>0</v>
      </c>
      <c r="Z60" s="1249">
        <f t="shared" si="25"/>
        <v>0</v>
      </c>
      <c r="AA60" s="1249">
        <f t="shared" si="25"/>
        <v>0</v>
      </c>
      <c r="AB60" s="1249">
        <f t="shared" si="25"/>
        <v>0</v>
      </c>
      <c r="AC60" s="1249">
        <f t="shared" si="25"/>
        <v>0</v>
      </c>
      <c r="AD60" s="1249">
        <f t="shared" si="25"/>
        <v>0</v>
      </c>
      <c r="AE60" s="1249">
        <f t="shared" si="25"/>
        <v>0</v>
      </c>
      <c r="AF60" s="1000"/>
      <c r="AG60" s="88"/>
    </row>
    <row r="61" spans="2:33" ht="13.15" customHeight="1" x14ac:dyDescent="0.2">
      <c r="B61" s="86"/>
      <c r="C61" s="1000"/>
      <c r="D61" s="1220"/>
      <c r="E61" s="1220"/>
      <c r="F61" s="1124"/>
      <c r="G61" s="1262"/>
      <c r="H61" s="1124"/>
      <c r="I61" s="1124"/>
      <c r="J61" s="1000"/>
      <c r="K61" s="1256">
        <f t="shared" si="17"/>
        <v>0</v>
      </c>
      <c r="L61" s="1249">
        <f t="shared" si="18"/>
        <v>0</v>
      </c>
      <c r="M61" s="1249">
        <f t="shared" si="19"/>
        <v>0</v>
      </c>
      <c r="N61" s="1291" t="str">
        <f t="shared" si="20"/>
        <v>-</v>
      </c>
      <c r="O61" s="1249">
        <f t="shared" si="21"/>
        <v>0</v>
      </c>
      <c r="P61" s="1000"/>
      <c r="Q61" s="1249">
        <f t="shared" si="23"/>
        <v>0</v>
      </c>
      <c r="R61" s="1249">
        <f t="shared" si="23"/>
        <v>0</v>
      </c>
      <c r="S61" s="1249">
        <f t="shared" si="22"/>
        <v>0</v>
      </c>
      <c r="T61" s="1249">
        <f t="shared" si="24"/>
        <v>0</v>
      </c>
      <c r="U61" s="1249">
        <f t="shared" si="24"/>
        <v>0</v>
      </c>
      <c r="V61" s="1249">
        <f t="shared" si="24"/>
        <v>0</v>
      </c>
      <c r="W61" s="1249">
        <f t="shared" si="24"/>
        <v>0</v>
      </c>
      <c r="X61" s="1000"/>
      <c r="Y61" s="1249">
        <f t="shared" si="25"/>
        <v>0</v>
      </c>
      <c r="Z61" s="1249">
        <f t="shared" si="25"/>
        <v>0</v>
      </c>
      <c r="AA61" s="1249">
        <f t="shared" si="25"/>
        <v>0</v>
      </c>
      <c r="AB61" s="1249">
        <f t="shared" si="25"/>
        <v>0</v>
      </c>
      <c r="AC61" s="1249">
        <f t="shared" si="25"/>
        <v>0</v>
      </c>
      <c r="AD61" s="1249">
        <f t="shared" si="25"/>
        <v>0</v>
      </c>
      <c r="AE61" s="1249">
        <f t="shared" si="25"/>
        <v>0</v>
      </c>
      <c r="AF61" s="1000"/>
      <c r="AG61" s="88"/>
    </row>
    <row r="62" spans="2:33" ht="13.15" customHeight="1" x14ac:dyDescent="0.2">
      <c r="B62" s="86"/>
      <c r="C62" s="1000"/>
      <c r="D62" s="1220"/>
      <c r="E62" s="1220"/>
      <c r="F62" s="1124"/>
      <c r="G62" s="1262"/>
      <c r="H62" s="1124"/>
      <c r="I62" s="1124"/>
      <c r="J62" s="1000"/>
      <c r="K62" s="1256">
        <f t="shared" si="17"/>
        <v>0</v>
      </c>
      <c r="L62" s="1249">
        <f t="shared" si="18"/>
        <v>0</v>
      </c>
      <c r="M62" s="1249">
        <f t="shared" si="19"/>
        <v>0</v>
      </c>
      <c r="N62" s="1291" t="str">
        <f t="shared" si="20"/>
        <v>-</v>
      </c>
      <c r="O62" s="1249">
        <f t="shared" si="21"/>
        <v>0</v>
      </c>
      <c r="P62" s="1000"/>
      <c r="Q62" s="1249">
        <f t="shared" si="23"/>
        <v>0</v>
      </c>
      <c r="R62" s="1249">
        <f t="shared" si="23"/>
        <v>0</v>
      </c>
      <c r="S62" s="1249">
        <f t="shared" si="22"/>
        <v>0</v>
      </c>
      <c r="T62" s="1249">
        <f t="shared" si="24"/>
        <v>0</v>
      </c>
      <c r="U62" s="1249">
        <f t="shared" si="24"/>
        <v>0</v>
      </c>
      <c r="V62" s="1249">
        <f t="shared" si="24"/>
        <v>0</v>
      </c>
      <c r="W62" s="1249">
        <f t="shared" si="24"/>
        <v>0</v>
      </c>
      <c r="X62" s="1000"/>
      <c r="Y62" s="1249">
        <f t="shared" si="25"/>
        <v>0</v>
      </c>
      <c r="Z62" s="1249">
        <f t="shared" si="25"/>
        <v>0</v>
      </c>
      <c r="AA62" s="1249">
        <f t="shared" si="25"/>
        <v>0</v>
      </c>
      <c r="AB62" s="1249">
        <f t="shared" si="25"/>
        <v>0</v>
      </c>
      <c r="AC62" s="1249">
        <f t="shared" si="25"/>
        <v>0</v>
      </c>
      <c r="AD62" s="1249">
        <f t="shared" si="25"/>
        <v>0</v>
      </c>
      <c r="AE62" s="1249">
        <f t="shared" si="25"/>
        <v>0</v>
      </c>
      <c r="AF62" s="1000"/>
      <c r="AG62" s="88"/>
    </row>
    <row r="63" spans="2:33" ht="13.15" customHeight="1" x14ac:dyDescent="0.2">
      <c r="B63" s="86"/>
      <c r="C63" s="1000"/>
      <c r="D63" s="1220"/>
      <c r="E63" s="1220"/>
      <c r="F63" s="1124"/>
      <c r="G63" s="1262"/>
      <c r="H63" s="1124"/>
      <c r="I63" s="1124"/>
      <c r="J63" s="1000"/>
      <c r="K63" s="1256">
        <f t="shared" si="17"/>
        <v>0</v>
      </c>
      <c r="L63" s="1249">
        <f t="shared" si="18"/>
        <v>0</v>
      </c>
      <c r="M63" s="1249">
        <f t="shared" si="19"/>
        <v>0</v>
      </c>
      <c r="N63" s="1291" t="str">
        <f t="shared" si="20"/>
        <v>-</v>
      </c>
      <c r="O63" s="1249">
        <f t="shared" si="21"/>
        <v>0</v>
      </c>
      <c r="P63" s="1000"/>
      <c r="Q63" s="1249">
        <f t="shared" si="23"/>
        <v>0</v>
      </c>
      <c r="R63" s="1249">
        <f t="shared" si="23"/>
        <v>0</v>
      </c>
      <c r="S63" s="1249">
        <f t="shared" si="22"/>
        <v>0</v>
      </c>
      <c r="T63" s="1249">
        <f t="shared" si="24"/>
        <v>0</v>
      </c>
      <c r="U63" s="1249">
        <f t="shared" si="24"/>
        <v>0</v>
      </c>
      <c r="V63" s="1249">
        <f t="shared" si="24"/>
        <v>0</v>
      </c>
      <c r="W63" s="1249">
        <f t="shared" si="24"/>
        <v>0</v>
      </c>
      <c r="X63" s="1000"/>
      <c r="Y63" s="1249">
        <f t="shared" si="25"/>
        <v>0</v>
      </c>
      <c r="Z63" s="1249">
        <f t="shared" si="25"/>
        <v>0</v>
      </c>
      <c r="AA63" s="1249">
        <f t="shared" si="25"/>
        <v>0</v>
      </c>
      <c r="AB63" s="1249">
        <f t="shared" si="25"/>
        <v>0</v>
      </c>
      <c r="AC63" s="1249">
        <f t="shared" si="25"/>
        <v>0</v>
      </c>
      <c r="AD63" s="1249">
        <f t="shared" si="25"/>
        <v>0</v>
      </c>
      <c r="AE63" s="1249">
        <f t="shared" si="25"/>
        <v>0</v>
      </c>
      <c r="AF63" s="1000"/>
      <c r="AG63" s="88"/>
    </row>
    <row r="64" spans="2:33" ht="13.15" customHeight="1" x14ac:dyDescent="0.2">
      <c r="B64" s="86"/>
      <c r="C64" s="1000"/>
      <c r="D64" s="1220"/>
      <c r="E64" s="1220"/>
      <c r="F64" s="1124"/>
      <c r="G64" s="1262"/>
      <c r="H64" s="1124"/>
      <c r="I64" s="1124"/>
      <c r="J64" s="1000"/>
      <c r="K64" s="1256">
        <f t="shared" si="17"/>
        <v>0</v>
      </c>
      <c r="L64" s="1249">
        <f t="shared" si="18"/>
        <v>0</v>
      </c>
      <c r="M64" s="1249">
        <f t="shared" si="19"/>
        <v>0</v>
      </c>
      <c r="N64" s="1291" t="str">
        <f t="shared" si="20"/>
        <v>-</v>
      </c>
      <c r="O64" s="1249">
        <f t="shared" si="21"/>
        <v>0</v>
      </c>
      <c r="P64" s="1000"/>
      <c r="Q64" s="1249">
        <f t="shared" si="23"/>
        <v>0</v>
      </c>
      <c r="R64" s="1249">
        <f t="shared" si="23"/>
        <v>0</v>
      </c>
      <c r="S64" s="1249">
        <f t="shared" si="22"/>
        <v>0</v>
      </c>
      <c r="T64" s="1249">
        <f t="shared" si="24"/>
        <v>0</v>
      </c>
      <c r="U64" s="1249">
        <f t="shared" si="24"/>
        <v>0</v>
      </c>
      <c r="V64" s="1249">
        <f t="shared" si="24"/>
        <v>0</v>
      </c>
      <c r="W64" s="1249">
        <f t="shared" si="24"/>
        <v>0</v>
      </c>
      <c r="X64" s="1000"/>
      <c r="Y64" s="1249">
        <f t="shared" ref="Y64:AE70" si="26">IF(Y$8=$H64,($F64*$G64),0)</f>
        <v>0</v>
      </c>
      <c r="Z64" s="1249">
        <f t="shared" si="26"/>
        <v>0</v>
      </c>
      <c r="AA64" s="1249">
        <f t="shared" si="26"/>
        <v>0</v>
      </c>
      <c r="AB64" s="1249">
        <f t="shared" si="26"/>
        <v>0</v>
      </c>
      <c r="AC64" s="1249">
        <f t="shared" si="26"/>
        <v>0</v>
      </c>
      <c r="AD64" s="1249">
        <f t="shared" si="26"/>
        <v>0</v>
      </c>
      <c r="AE64" s="1249">
        <f t="shared" si="26"/>
        <v>0</v>
      </c>
      <c r="AF64" s="1000"/>
      <c r="AG64" s="88"/>
    </row>
    <row r="65" spans="2:33" ht="13.15" customHeight="1" x14ac:dyDescent="0.2">
      <c r="B65" s="86"/>
      <c r="C65" s="1000"/>
      <c r="D65" s="1220"/>
      <c r="E65" s="1220"/>
      <c r="F65" s="1124"/>
      <c r="G65" s="1262"/>
      <c r="H65" s="1124"/>
      <c r="I65" s="1124"/>
      <c r="J65" s="1000"/>
      <c r="K65" s="1256">
        <f t="shared" si="17"/>
        <v>0</v>
      </c>
      <c r="L65" s="1249">
        <f t="shared" si="18"/>
        <v>0</v>
      </c>
      <c r="M65" s="1249">
        <f t="shared" si="19"/>
        <v>0</v>
      </c>
      <c r="N65" s="1291" t="str">
        <f t="shared" si="20"/>
        <v>-</v>
      </c>
      <c r="O65" s="1249">
        <f t="shared" si="21"/>
        <v>0</v>
      </c>
      <c r="P65" s="1000"/>
      <c r="Q65" s="1249">
        <f t="shared" si="23"/>
        <v>0</v>
      </c>
      <c r="R65" s="1249">
        <f t="shared" si="23"/>
        <v>0</v>
      </c>
      <c r="S65" s="1249">
        <f t="shared" si="22"/>
        <v>0</v>
      </c>
      <c r="T65" s="1249">
        <f t="shared" si="24"/>
        <v>0</v>
      </c>
      <c r="U65" s="1249">
        <f t="shared" si="24"/>
        <v>0</v>
      </c>
      <c r="V65" s="1249">
        <f t="shared" si="24"/>
        <v>0</v>
      </c>
      <c r="W65" s="1249">
        <f t="shared" si="24"/>
        <v>0</v>
      </c>
      <c r="X65" s="1000"/>
      <c r="Y65" s="1249">
        <f t="shared" si="26"/>
        <v>0</v>
      </c>
      <c r="Z65" s="1249">
        <f t="shared" si="26"/>
        <v>0</v>
      </c>
      <c r="AA65" s="1249">
        <f t="shared" si="26"/>
        <v>0</v>
      </c>
      <c r="AB65" s="1249">
        <f t="shared" si="26"/>
        <v>0</v>
      </c>
      <c r="AC65" s="1249">
        <f t="shared" si="26"/>
        <v>0</v>
      </c>
      <c r="AD65" s="1249">
        <f t="shared" si="26"/>
        <v>0</v>
      </c>
      <c r="AE65" s="1249">
        <f t="shared" si="26"/>
        <v>0</v>
      </c>
      <c r="AF65" s="1000"/>
      <c r="AG65" s="88"/>
    </row>
    <row r="66" spans="2:33" ht="13.15" customHeight="1" x14ac:dyDescent="0.2">
      <c r="B66" s="86"/>
      <c r="C66" s="1000"/>
      <c r="D66" s="1220"/>
      <c r="E66" s="1220"/>
      <c r="F66" s="1124"/>
      <c r="G66" s="1262"/>
      <c r="H66" s="1124"/>
      <c r="I66" s="1124"/>
      <c r="J66" s="1000"/>
      <c r="K66" s="1256">
        <f t="shared" si="17"/>
        <v>0</v>
      </c>
      <c r="L66" s="1249">
        <f t="shared" si="18"/>
        <v>0</v>
      </c>
      <c r="M66" s="1249">
        <f t="shared" si="19"/>
        <v>0</v>
      </c>
      <c r="N66" s="1291" t="str">
        <f t="shared" si="20"/>
        <v>-</v>
      </c>
      <c r="O66" s="1249">
        <f t="shared" si="21"/>
        <v>0</v>
      </c>
      <c r="P66" s="1000"/>
      <c r="Q66" s="1249">
        <f t="shared" si="23"/>
        <v>0</v>
      </c>
      <c r="R66" s="1249">
        <f t="shared" si="23"/>
        <v>0</v>
      </c>
      <c r="S66" s="1249">
        <f t="shared" si="22"/>
        <v>0</v>
      </c>
      <c r="T66" s="1249">
        <f t="shared" si="24"/>
        <v>0</v>
      </c>
      <c r="U66" s="1249">
        <f t="shared" si="24"/>
        <v>0</v>
      </c>
      <c r="V66" s="1249">
        <f t="shared" si="24"/>
        <v>0</v>
      </c>
      <c r="W66" s="1249">
        <f t="shared" si="24"/>
        <v>0</v>
      </c>
      <c r="X66" s="1000"/>
      <c r="Y66" s="1249">
        <f t="shared" si="26"/>
        <v>0</v>
      </c>
      <c r="Z66" s="1249">
        <f t="shared" si="26"/>
        <v>0</v>
      </c>
      <c r="AA66" s="1249">
        <f t="shared" si="26"/>
        <v>0</v>
      </c>
      <c r="AB66" s="1249">
        <f t="shared" si="26"/>
        <v>0</v>
      </c>
      <c r="AC66" s="1249">
        <f t="shared" si="26"/>
        <v>0</v>
      </c>
      <c r="AD66" s="1249">
        <f t="shared" si="26"/>
        <v>0</v>
      </c>
      <c r="AE66" s="1249">
        <f t="shared" si="26"/>
        <v>0</v>
      </c>
      <c r="AF66" s="1000"/>
      <c r="AG66" s="88"/>
    </row>
    <row r="67" spans="2:33" ht="13.15" customHeight="1" x14ac:dyDescent="0.2">
      <c r="B67" s="86"/>
      <c r="C67" s="1000"/>
      <c r="D67" s="1220"/>
      <c r="E67" s="1220"/>
      <c r="F67" s="1124"/>
      <c r="G67" s="1262"/>
      <c r="H67" s="1124"/>
      <c r="I67" s="1124"/>
      <c r="J67" s="1000"/>
      <c r="K67" s="1256">
        <f t="shared" si="17"/>
        <v>0</v>
      </c>
      <c r="L67" s="1249">
        <f t="shared" si="18"/>
        <v>0</v>
      </c>
      <c r="M67" s="1249">
        <f t="shared" si="19"/>
        <v>0</v>
      </c>
      <c r="N67" s="1291" t="str">
        <f t="shared" si="20"/>
        <v>-</v>
      </c>
      <c r="O67" s="1249">
        <f t="shared" si="21"/>
        <v>0</v>
      </c>
      <c r="P67" s="1000"/>
      <c r="Q67" s="1249">
        <f t="shared" si="23"/>
        <v>0</v>
      </c>
      <c r="R67" s="1249">
        <f t="shared" si="23"/>
        <v>0</v>
      </c>
      <c r="S67" s="1249">
        <f t="shared" si="22"/>
        <v>0</v>
      </c>
      <c r="T67" s="1249">
        <f t="shared" si="24"/>
        <v>0</v>
      </c>
      <c r="U67" s="1249">
        <f t="shared" si="24"/>
        <v>0</v>
      </c>
      <c r="V67" s="1249">
        <f t="shared" si="24"/>
        <v>0</v>
      </c>
      <c r="W67" s="1249">
        <f t="shared" si="24"/>
        <v>0</v>
      </c>
      <c r="X67" s="1000"/>
      <c r="Y67" s="1249">
        <f t="shared" si="26"/>
        <v>0</v>
      </c>
      <c r="Z67" s="1249">
        <f t="shared" si="26"/>
        <v>0</v>
      </c>
      <c r="AA67" s="1249">
        <f t="shared" si="26"/>
        <v>0</v>
      </c>
      <c r="AB67" s="1249">
        <f t="shared" si="26"/>
        <v>0</v>
      </c>
      <c r="AC67" s="1249">
        <f t="shared" si="26"/>
        <v>0</v>
      </c>
      <c r="AD67" s="1249">
        <f t="shared" si="26"/>
        <v>0</v>
      </c>
      <c r="AE67" s="1249">
        <f t="shared" si="26"/>
        <v>0</v>
      </c>
      <c r="AF67" s="1000"/>
      <c r="AG67" s="88"/>
    </row>
    <row r="68" spans="2:33" ht="13.15" customHeight="1" x14ac:dyDescent="0.2">
      <c r="B68" s="86"/>
      <c r="C68" s="1000"/>
      <c r="D68" s="1220"/>
      <c r="E68" s="1220"/>
      <c r="F68" s="1124"/>
      <c r="G68" s="1262"/>
      <c r="H68" s="1124"/>
      <c r="I68" s="1124"/>
      <c r="J68" s="1000"/>
      <c r="K68" s="1256">
        <f t="shared" si="17"/>
        <v>0</v>
      </c>
      <c r="L68" s="1249">
        <f t="shared" si="18"/>
        <v>0</v>
      </c>
      <c r="M68" s="1249">
        <f t="shared" si="19"/>
        <v>0</v>
      </c>
      <c r="N68" s="1291" t="str">
        <f t="shared" si="20"/>
        <v>-</v>
      </c>
      <c r="O68" s="1249">
        <f t="shared" si="21"/>
        <v>0</v>
      </c>
      <c r="P68" s="1000"/>
      <c r="Q68" s="1249">
        <f t="shared" si="23"/>
        <v>0</v>
      </c>
      <c r="R68" s="1249">
        <f t="shared" si="23"/>
        <v>0</v>
      </c>
      <c r="S68" s="1249">
        <f t="shared" si="22"/>
        <v>0</v>
      </c>
      <c r="T68" s="1249">
        <f t="shared" si="24"/>
        <v>0</v>
      </c>
      <c r="U68" s="1249">
        <f t="shared" si="24"/>
        <v>0</v>
      </c>
      <c r="V68" s="1249">
        <f t="shared" si="24"/>
        <v>0</v>
      </c>
      <c r="W68" s="1249">
        <f t="shared" si="24"/>
        <v>0</v>
      </c>
      <c r="X68" s="1000"/>
      <c r="Y68" s="1249">
        <f t="shared" si="26"/>
        <v>0</v>
      </c>
      <c r="Z68" s="1249">
        <f t="shared" si="26"/>
        <v>0</v>
      </c>
      <c r="AA68" s="1249">
        <f t="shared" si="26"/>
        <v>0</v>
      </c>
      <c r="AB68" s="1249">
        <f t="shared" si="26"/>
        <v>0</v>
      </c>
      <c r="AC68" s="1249">
        <f t="shared" si="26"/>
        <v>0</v>
      </c>
      <c r="AD68" s="1249">
        <f t="shared" si="26"/>
        <v>0</v>
      </c>
      <c r="AE68" s="1249">
        <f t="shared" si="26"/>
        <v>0</v>
      </c>
      <c r="AF68" s="1000"/>
      <c r="AG68" s="88"/>
    </row>
    <row r="69" spans="2:33" ht="13.15" customHeight="1" x14ac:dyDescent="0.2">
      <c r="B69" s="86"/>
      <c r="C69" s="1000"/>
      <c r="D69" s="1220"/>
      <c r="E69" s="1220"/>
      <c r="F69" s="1124"/>
      <c r="G69" s="1262"/>
      <c r="H69" s="1124"/>
      <c r="I69" s="1124"/>
      <c r="J69" s="1000"/>
      <c r="K69" s="1256">
        <f t="shared" si="17"/>
        <v>0</v>
      </c>
      <c r="L69" s="1249">
        <f t="shared" si="18"/>
        <v>0</v>
      </c>
      <c r="M69" s="1249">
        <f t="shared" si="19"/>
        <v>0</v>
      </c>
      <c r="N69" s="1291" t="str">
        <f t="shared" si="20"/>
        <v>-</v>
      </c>
      <c r="O69" s="1249">
        <f t="shared" si="21"/>
        <v>0</v>
      </c>
      <c r="P69" s="1000"/>
      <c r="Q69" s="1249">
        <f t="shared" si="23"/>
        <v>0</v>
      </c>
      <c r="R69" s="1249">
        <f t="shared" si="23"/>
        <v>0</v>
      </c>
      <c r="S69" s="1249">
        <f t="shared" si="22"/>
        <v>0</v>
      </c>
      <c r="T69" s="1249">
        <f t="shared" si="24"/>
        <v>0</v>
      </c>
      <c r="U69" s="1249">
        <f t="shared" si="24"/>
        <v>0</v>
      </c>
      <c r="V69" s="1249">
        <f t="shared" si="24"/>
        <v>0</v>
      </c>
      <c r="W69" s="1249">
        <f t="shared" si="24"/>
        <v>0</v>
      </c>
      <c r="X69" s="1000"/>
      <c r="Y69" s="1249">
        <f t="shared" si="26"/>
        <v>0</v>
      </c>
      <c r="Z69" s="1249">
        <f t="shared" si="26"/>
        <v>0</v>
      </c>
      <c r="AA69" s="1249">
        <f t="shared" si="26"/>
        <v>0</v>
      </c>
      <c r="AB69" s="1249">
        <f t="shared" si="26"/>
        <v>0</v>
      </c>
      <c r="AC69" s="1249">
        <f t="shared" si="26"/>
        <v>0</v>
      </c>
      <c r="AD69" s="1249">
        <f t="shared" si="26"/>
        <v>0</v>
      </c>
      <c r="AE69" s="1249">
        <f t="shared" si="26"/>
        <v>0</v>
      </c>
      <c r="AF69" s="1000"/>
      <c r="AG69" s="88"/>
    </row>
    <row r="70" spans="2:33" ht="13.15" customHeight="1" x14ac:dyDescent="0.2">
      <c r="B70" s="86"/>
      <c r="C70" s="1000"/>
      <c r="D70" s="1076"/>
      <c r="E70" s="1076"/>
      <c r="F70" s="1076"/>
      <c r="G70" s="1076"/>
      <c r="H70" s="1076"/>
      <c r="I70" s="1076"/>
      <c r="J70" s="1000"/>
      <c r="K70" s="1256">
        <f t="shared" si="17"/>
        <v>0</v>
      </c>
      <c r="L70" s="1268">
        <f t="shared" si="18"/>
        <v>0</v>
      </c>
      <c r="M70" s="1268">
        <f t="shared" si="19"/>
        <v>0</v>
      </c>
      <c r="N70" s="1292" t="str">
        <f t="shared" si="20"/>
        <v>-</v>
      </c>
      <c r="O70" s="1268">
        <f t="shared" si="21"/>
        <v>0</v>
      </c>
      <c r="P70" s="1000"/>
      <c r="Q70" s="1268">
        <f t="shared" si="23"/>
        <v>0</v>
      </c>
      <c r="R70" s="1268">
        <f t="shared" si="23"/>
        <v>0</v>
      </c>
      <c r="S70" s="1268">
        <f>(IF(S$8&lt;$H70,0,IF($N70&lt;=S$8-1,0,$M70)))</f>
        <v>0</v>
      </c>
      <c r="T70" s="1268">
        <f t="shared" si="24"/>
        <v>0</v>
      </c>
      <c r="U70" s="1268">
        <f t="shared" si="24"/>
        <v>0</v>
      </c>
      <c r="V70" s="1268">
        <f t="shared" si="24"/>
        <v>0</v>
      </c>
      <c r="W70" s="1268">
        <f t="shared" si="24"/>
        <v>0</v>
      </c>
      <c r="X70" s="1000"/>
      <c r="Y70" s="1268">
        <f t="shared" si="26"/>
        <v>0</v>
      </c>
      <c r="Z70" s="1268">
        <f t="shared" si="26"/>
        <v>0</v>
      </c>
      <c r="AA70" s="1268">
        <f t="shared" si="26"/>
        <v>0</v>
      </c>
      <c r="AB70" s="1268">
        <f t="shared" si="26"/>
        <v>0</v>
      </c>
      <c r="AC70" s="1268">
        <f t="shared" si="26"/>
        <v>0</v>
      </c>
      <c r="AD70" s="1268">
        <f t="shared" si="26"/>
        <v>0</v>
      </c>
      <c r="AE70" s="1268">
        <f t="shared" si="26"/>
        <v>0</v>
      </c>
      <c r="AF70" s="1000"/>
      <c r="AG70" s="88"/>
    </row>
    <row r="71" spans="2:33" ht="13.15" customHeight="1" x14ac:dyDescent="0.2">
      <c r="B71" s="86"/>
      <c r="C71" s="1000"/>
      <c r="D71" s="1079"/>
      <c r="E71" s="1079"/>
      <c r="F71" s="1076"/>
      <c r="G71" s="1245"/>
      <c r="H71" s="1076"/>
      <c r="I71" s="1076"/>
      <c r="J71" s="1000"/>
      <c r="K71" s="1256"/>
      <c r="L71" s="1245"/>
      <c r="M71" s="1245"/>
      <c r="N71" s="1289"/>
      <c r="O71" s="1245"/>
      <c r="P71" s="1000"/>
      <c r="Q71" s="1245"/>
      <c r="R71" s="1245"/>
      <c r="S71" s="1245"/>
      <c r="T71" s="1245"/>
      <c r="U71" s="1245"/>
      <c r="V71" s="1245"/>
      <c r="W71" s="1245"/>
      <c r="X71" s="1000"/>
      <c r="Y71" s="1293"/>
      <c r="Z71" s="1245"/>
      <c r="AA71" s="1245"/>
      <c r="AB71" s="1245"/>
      <c r="AC71" s="1245"/>
      <c r="AD71" s="1245"/>
      <c r="AE71" s="1245"/>
      <c r="AF71" s="1000"/>
      <c r="AG71" s="88"/>
    </row>
    <row r="72" spans="2:33" ht="13.15" customHeight="1" x14ac:dyDescent="0.2">
      <c r="B72" s="96"/>
      <c r="C72" s="93"/>
      <c r="D72" s="155"/>
      <c r="E72" s="155"/>
      <c r="F72" s="94"/>
      <c r="G72" s="94"/>
      <c r="H72" s="94"/>
      <c r="I72" s="94"/>
      <c r="J72" s="93"/>
      <c r="K72" s="93"/>
      <c r="L72" s="93"/>
      <c r="M72" s="93"/>
      <c r="N72" s="93"/>
      <c r="O72" s="93"/>
      <c r="P72" s="93"/>
      <c r="Q72" s="93"/>
      <c r="R72" s="93"/>
      <c r="S72" s="93"/>
      <c r="T72" s="93"/>
      <c r="U72" s="93"/>
      <c r="V72" s="93"/>
      <c r="W72" s="93"/>
      <c r="X72" s="93"/>
      <c r="Y72" s="93"/>
      <c r="Z72" s="93"/>
      <c r="AA72" s="93"/>
      <c r="AB72" s="93"/>
      <c r="AC72" s="93"/>
      <c r="AD72" s="93"/>
      <c r="AE72" s="93"/>
      <c r="AF72" s="93"/>
      <c r="AG72" s="95"/>
    </row>
    <row r="73" spans="2:33" s="476" customFormat="1" ht="13.15" customHeight="1" x14ac:dyDescent="0.2">
      <c r="D73" s="679"/>
      <c r="E73" s="679"/>
      <c r="F73" s="614"/>
      <c r="G73" s="614"/>
      <c r="H73" s="614"/>
      <c r="I73" s="614"/>
      <c r="Y73" s="625"/>
    </row>
    <row r="74" spans="2:33" s="476" customFormat="1" ht="13.15" customHeight="1" x14ac:dyDescent="0.2">
      <c r="D74" s="679"/>
      <c r="E74" s="679"/>
      <c r="F74" s="614"/>
      <c r="G74" s="614"/>
      <c r="H74" s="614"/>
      <c r="I74" s="614"/>
      <c r="Y74" s="625"/>
    </row>
    <row r="75" spans="2:33" s="476" customFormat="1" ht="13.15" customHeight="1" x14ac:dyDescent="0.2">
      <c r="D75" s="679"/>
      <c r="E75" s="679"/>
      <c r="F75" s="614"/>
      <c r="G75" s="614"/>
      <c r="H75" s="614"/>
      <c r="I75" s="614"/>
      <c r="Y75" s="625"/>
    </row>
    <row r="76" spans="2:33" s="476" customFormat="1" ht="13.15" customHeight="1" x14ac:dyDescent="0.2">
      <c r="D76" s="679"/>
      <c r="E76" s="679"/>
      <c r="F76" s="614"/>
      <c r="G76" s="614"/>
      <c r="H76" s="614"/>
      <c r="I76" s="614"/>
      <c r="Y76" s="625"/>
    </row>
    <row r="77" spans="2:33" s="476" customFormat="1" ht="13.15" customHeight="1" x14ac:dyDescent="0.2">
      <c r="D77" s="679"/>
      <c r="E77" s="679"/>
      <c r="F77" s="614"/>
      <c r="G77" s="614"/>
      <c r="H77" s="614"/>
      <c r="I77" s="614"/>
      <c r="Y77" s="625"/>
    </row>
    <row r="78" spans="2:33" s="476" customFormat="1" ht="13.15" customHeight="1" x14ac:dyDescent="0.2">
      <c r="D78" s="679"/>
      <c r="E78" s="679"/>
      <c r="F78" s="614"/>
      <c r="G78" s="614"/>
      <c r="H78" s="614"/>
      <c r="I78" s="614"/>
      <c r="Y78" s="625"/>
    </row>
    <row r="79" spans="2:33" s="476" customFormat="1" ht="13.15" customHeight="1" x14ac:dyDescent="0.2">
      <c r="D79" s="679"/>
      <c r="E79" s="679"/>
      <c r="F79" s="614"/>
      <c r="G79" s="614"/>
      <c r="H79" s="614"/>
      <c r="I79" s="614"/>
      <c r="Y79" s="625"/>
    </row>
    <row r="80" spans="2:33" s="476" customFormat="1" ht="13.15" customHeight="1" x14ac:dyDescent="0.2">
      <c r="D80" s="679"/>
      <c r="E80" s="679"/>
      <c r="F80" s="614"/>
      <c r="G80" s="614"/>
      <c r="H80" s="614"/>
      <c r="I80" s="614"/>
      <c r="Y80" s="625"/>
    </row>
    <row r="81" spans="4:25" s="476" customFormat="1" ht="13.15" customHeight="1" x14ac:dyDescent="0.2">
      <c r="D81" s="679"/>
      <c r="E81" s="679"/>
      <c r="F81" s="614"/>
      <c r="G81" s="614"/>
      <c r="H81" s="614"/>
      <c r="I81" s="614"/>
      <c r="Y81" s="625"/>
    </row>
    <row r="82" spans="4:25" s="476" customFormat="1" ht="13.15" customHeight="1" x14ac:dyDescent="0.2">
      <c r="D82" s="679"/>
      <c r="E82" s="679"/>
      <c r="F82" s="614"/>
      <c r="G82" s="614"/>
      <c r="H82" s="614"/>
      <c r="I82" s="614"/>
      <c r="Y82" s="625"/>
    </row>
    <row r="83" spans="4:25" s="476" customFormat="1" ht="13.15" customHeight="1" x14ac:dyDescent="0.2">
      <c r="D83" s="679"/>
      <c r="E83" s="679"/>
      <c r="F83" s="614"/>
      <c r="G83" s="614"/>
      <c r="H83" s="614"/>
      <c r="I83" s="614"/>
      <c r="Y83" s="625"/>
    </row>
    <row r="84" spans="4:25" s="476" customFormat="1" ht="13.15" customHeight="1" x14ac:dyDescent="0.2">
      <c r="D84" s="679"/>
      <c r="E84" s="679"/>
      <c r="F84" s="614"/>
      <c r="G84" s="614"/>
      <c r="H84" s="614"/>
      <c r="I84" s="614"/>
      <c r="Y84" s="625"/>
    </row>
    <row r="85" spans="4:25" s="476" customFormat="1" ht="13.15" customHeight="1" x14ac:dyDescent="0.2">
      <c r="D85" s="679"/>
      <c r="E85" s="679"/>
      <c r="F85" s="614"/>
      <c r="G85" s="614"/>
      <c r="H85" s="614"/>
      <c r="I85" s="614"/>
      <c r="Y85" s="625"/>
    </row>
    <row r="86" spans="4:25" s="476" customFormat="1" ht="13.15" customHeight="1" x14ac:dyDescent="0.2">
      <c r="D86" s="679"/>
      <c r="E86" s="679"/>
      <c r="F86" s="614"/>
      <c r="G86" s="614"/>
      <c r="H86" s="614"/>
      <c r="I86" s="614"/>
      <c r="Y86" s="625"/>
    </row>
    <row r="87" spans="4:25" s="476" customFormat="1" ht="13.15" customHeight="1" x14ac:dyDescent="0.2">
      <c r="D87" s="679"/>
      <c r="E87" s="679"/>
      <c r="F87" s="614"/>
      <c r="G87" s="614"/>
      <c r="H87" s="614"/>
      <c r="I87" s="614"/>
      <c r="Y87" s="625"/>
    </row>
    <row r="88" spans="4:25" s="476" customFormat="1" ht="13.15" customHeight="1" x14ac:dyDescent="0.2">
      <c r="D88" s="679"/>
      <c r="E88" s="679"/>
      <c r="F88" s="614"/>
      <c r="G88" s="614"/>
      <c r="H88" s="614"/>
      <c r="I88" s="614"/>
      <c r="Y88" s="625"/>
    </row>
    <row r="89" spans="4:25" s="476" customFormat="1" ht="13.15" customHeight="1" x14ac:dyDescent="0.2">
      <c r="D89" s="679"/>
      <c r="E89" s="679"/>
      <c r="F89" s="614"/>
      <c r="G89" s="614"/>
      <c r="H89" s="614"/>
      <c r="I89" s="614"/>
      <c r="Y89" s="625"/>
    </row>
    <row r="90" spans="4:25" s="476" customFormat="1" ht="13.15" customHeight="1" x14ac:dyDescent="0.2">
      <c r="D90" s="679"/>
      <c r="E90" s="679"/>
      <c r="F90" s="614"/>
      <c r="G90" s="614"/>
      <c r="H90" s="614"/>
      <c r="I90" s="614"/>
      <c r="Y90" s="625"/>
    </row>
    <row r="91" spans="4:25" s="476" customFormat="1" ht="13.15" customHeight="1" x14ac:dyDescent="0.2">
      <c r="D91" s="679"/>
      <c r="E91" s="679"/>
      <c r="F91" s="614"/>
      <c r="G91" s="614"/>
      <c r="H91" s="614"/>
      <c r="I91" s="614"/>
      <c r="Y91" s="625"/>
    </row>
    <row r="92" spans="4:25" s="476" customFormat="1" ht="13.15" customHeight="1" x14ac:dyDescent="0.2">
      <c r="D92" s="679"/>
      <c r="E92" s="679"/>
      <c r="F92" s="614"/>
      <c r="G92" s="614"/>
      <c r="H92" s="614"/>
      <c r="I92" s="614"/>
      <c r="Y92" s="625"/>
    </row>
    <row r="93" spans="4:25" s="476" customFormat="1" ht="13.15" customHeight="1" x14ac:dyDescent="0.2">
      <c r="D93" s="679"/>
      <c r="E93" s="679"/>
      <c r="F93" s="614"/>
      <c r="G93" s="614"/>
      <c r="H93" s="614"/>
      <c r="I93" s="614"/>
      <c r="Y93" s="625"/>
    </row>
    <row r="94" spans="4:25" s="476" customFormat="1" ht="13.15" customHeight="1" x14ac:dyDescent="0.2">
      <c r="D94" s="679"/>
      <c r="E94" s="679"/>
      <c r="F94" s="614"/>
      <c r="G94" s="614"/>
      <c r="H94" s="614"/>
      <c r="I94" s="614"/>
      <c r="Y94" s="625"/>
    </row>
    <row r="95" spans="4:25" s="476" customFormat="1" ht="13.15" customHeight="1" x14ac:dyDescent="0.2">
      <c r="D95" s="679"/>
      <c r="E95" s="679"/>
      <c r="F95" s="614"/>
      <c r="G95" s="614"/>
      <c r="H95" s="614"/>
      <c r="I95" s="614"/>
      <c r="Y95" s="625"/>
    </row>
    <row r="96" spans="4:25" s="476" customFormat="1" ht="13.15" customHeight="1" x14ac:dyDescent="0.2">
      <c r="D96" s="679"/>
      <c r="E96" s="679"/>
      <c r="F96" s="614"/>
      <c r="G96" s="614"/>
      <c r="H96" s="614"/>
      <c r="I96" s="614"/>
      <c r="Y96" s="625"/>
    </row>
    <row r="97" spans="4:25" s="476" customFormat="1" ht="13.15" customHeight="1" x14ac:dyDescent="0.2">
      <c r="D97" s="679"/>
      <c r="E97" s="679"/>
      <c r="F97" s="614"/>
      <c r="G97" s="614"/>
      <c r="H97" s="614"/>
      <c r="I97" s="614"/>
      <c r="Y97" s="625"/>
    </row>
    <row r="98" spans="4:25" s="476" customFormat="1" ht="13.15" customHeight="1" x14ac:dyDescent="0.2">
      <c r="D98" s="679"/>
      <c r="E98" s="679"/>
      <c r="F98" s="614"/>
      <c r="G98" s="614"/>
      <c r="H98" s="614"/>
      <c r="I98" s="614"/>
      <c r="Y98" s="625"/>
    </row>
    <row r="99" spans="4:25" s="476" customFormat="1" ht="13.15" customHeight="1" x14ac:dyDescent="0.2">
      <c r="D99" s="679"/>
      <c r="E99" s="679"/>
      <c r="F99" s="614"/>
      <c r="G99" s="614"/>
      <c r="H99" s="614"/>
      <c r="I99" s="614"/>
      <c r="Y99" s="625"/>
    </row>
    <row r="100" spans="4:25" s="476" customFormat="1" ht="13.15" customHeight="1" x14ac:dyDescent="0.2">
      <c r="D100" s="679"/>
      <c r="E100" s="679"/>
      <c r="F100" s="614"/>
      <c r="G100" s="614"/>
      <c r="H100" s="614"/>
      <c r="I100" s="614"/>
      <c r="Y100" s="625"/>
    </row>
    <row r="101" spans="4:25" s="476" customFormat="1" ht="13.15" customHeight="1" x14ac:dyDescent="0.2">
      <c r="D101" s="679"/>
      <c r="E101" s="679"/>
      <c r="F101" s="614"/>
      <c r="G101" s="614"/>
      <c r="H101" s="614"/>
      <c r="I101" s="614"/>
      <c r="Y101" s="625"/>
    </row>
    <row r="102" spans="4:25" s="476" customFormat="1" ht="13.15" customHeight="1" x14ac:dyDescent="0.2">
      <c r="D102" s="679"/>
      <c r="E102" s="679"/>
      <c r="F102" s="614"/>
      <c r="G102" s="614"/>
      <c r="H102" s="614"/>
      <c r="I102" s="614"/>
      <c r="Y102" s="625"/>
    </row>
    <row r="103" spans="4:25" s="476" customFormat="1" ht="13.15" customHeight="1" x14ac:dyDescent="0.2">
      <c r="D103" s="679"/>
      <c r="E103" s="679"/>
      <c r="F103" s="614"/>
      <c r="G103" s="614"/>
      <c r="H103" s="614"/>
      <c r="I103" s="614"/>
      <c r="Y103" s="625"/>
    </row>
    <row r="104" spans="4:25" s="476" customFormat="1" ht="13.15" customHeight="1" x14ac:dyDescent="0.2">
      <c r="D104" s="679"/>
      <c r="E104" s="679"/>
      <c r="F104" s="614"/>
      <c r="G104" s="614"/>
      <c r="H104" s="614"/>
      <c r="I104" s="614"/>
      <c r="Y104" s="625"/>
    </row>
    <row r="105" spans="4:25" s="476" customFormat="1" ht="13.15" customHeight="1" x14ac:dyDescent="0.2">
      <c r="D105" s="679"/>
      <c r="E105" s="679"/>
      <c r="F105" s="614"/>
      <c r="G105" s="614"/>
      <c r="H105" s="614"/>
      <c r="I105" s="614"/>
      <c r="Y105" s="625"/>
    </row>
    <row r="106" spans="4:25" s="476" customFormat="1" ht="13.15" customHeight="1" x14ac:dyDescent="0.2">
      <c r="D106" s="679"/>
      <c r="E106" s="679"/>
      <c r="F106" s="614"/>
      <c r="G106" s="614"/>
      <c r="H106" s="614"/>
      <c r="I106" s="614"/>
      <c r="Y106" s="625"/>
    </row>
    <row r="107" spans="4:25" s="476" customFormat="1" ht="13.15" customHeight="1" x14ac:dyDescent="0.2">
      <c r="D107" s="679"/>
      <c r="E107" s="679"/>
      <c r="F107" s="614"/>
      <c r="G107" s="614"/>
      <c r="H107" s="614"/>
      <c r="I107" s="614"/>
      <c r="Y107" s="625"/>
    </row>
    <row r="108" spans="4:25" s="476" customFormat="1" ht="13.15" customHeight="1" x14ac:dyDescent="0.2">
      <c r="D108" s="679"/>
      <c r="E108" s="679"/>
      <c r="F108" s="614"/>
      <c r="G108" s="614"/>
      <c r="H108" s="614"/>
      <c r="I108" s="614"/>
      <c r="Y108" s="625"/>
    </row>
    <row r="109" spans="4:25" s="476" customFormat="1" ht="13.15" customHeight="1" x14ac:dyDescent="0.2">
      <c r="D109" s="679"/>
      <c r="E109" s="679"/>
      <c r="F109" s="614"/>
      <c r="G109" s="614"/>
      <c r="H109" s="614"/>
      <c r="I109" s="614"/>
      <c r="Y109" s="625"/>
    </row>
    <row r="110" spans="4:25" s="476" customFormat="1" ht="13.15" customHeight="1" x14ac:dyDescent="0.2">
      <c r="D110" s="679"/>
      <c r="E110" s="679"/>
      <c r="F110" s="614"/>
      <c r="G110" s="614"/>
      <c r="H110" s="614"/>
      <c r="I110" s="614"/>
      <c r="Y110" s="625"/>
    </row>
    <row r="111" spans="4:25" s="476" customFormat="1" ht="13.15" customHeight="1" x14ac:dyDescent="0.2">
      <c r="D111" s="679"/>
      <c r="E111" s="679"/>
      <c r="F111" s="614"/>
      <c r="G111" s="614"/>
      <c r="H111" s="614"/>
      <c r="I111" s="614"/>
      <c r="Y111" s="625"/>
    </row>
    <row r="112" spans="4:25" s="476" customFormat="1" ht="13.15" customHeight="1" x14ac:dyDescent="0.2">
      <c r="D112" s="679"/>
      <c r="E112" s="679"/>
      <c r="F112" s="614"/>
      <c r="G112" s="614"/>
      <c r="H112" s="614"/>
      <c r="I112" s="614"/>
      <c r="Y112" s="625"/>
    </row>
    <row r="113" spans="4:25" s="476" customFormat="1" ht="13.15" customHeight="1" x14ac:dyDescent="0.2">
      <c r="D113" s="679"/>
      <c r="E113" s="679"/>
      <c r="F113" s="614"/>
      <c r="G113" s="614"/>
      <c r="H113" s="614"/>
      <c r="I113" s="614"/>
      <c r="Y113" s="625"/>
    </row>
    <row r="114" spans="4:25" s="476" customFormat="1" ht="13.15" customHeight="1" x14ac:dyDescent="0.2">
      <c r="D114" s="679"/>
      <c r="E114" s="679"/>
      <c r="F114" s="614"/>
      <c r="G114" s="614"/>
      <c r="H114" s="614"/>
      <c r="I114" s="614"/>
      <c r="Y114" s="625"/>
    </row>
    <row r="115" spans="4:25" s="476" customFormat="1" ht="13.15" customHeight="1" x14ac:dyDescent="0.2">
      <c r="D115" s="679"/>
      <c r="E115" s="679"/>
      <c r="F115" s="614"/>
      <c r="G115" s="614"/>
      <c r="H115" s="614"/>
      <c r="I115" s="614"/>
      <c r="Y115" s="625"/>
    </row>
    <row r="116" spans="4:25" s="476" customFormat="1" ht="13.15" customHeight="1" x14ac:dyDescent="0.2">
      <c r="D116" s="679"/>
      <c r="E116" s="679"/>
      <c r="F116" s="614"/>
      <c r="G116" s="614"/>
      <c r="H116" s="614"/>
      <c r="I116" s="614"/>
      <c r="Y116" s="625"/>
    </row>
    <row r="117" spans="4:25" s="476" customFormat="1" ht="13.15" customHeight="1" x14ac:dyDescent="0.2">
      <c r="D117" s="679"/>
      <c r="E117" s="679"/>
      <c r="F117" s="614"/>
      <c r="G117" s="614"/>
      <c r="H117" s="614"/>
      <c r="I117" s="614"/>
      <c r="Y117" s="625"/>
    </row>
    <row r="118" spans="4:25" s="476" customFormat="1" ht="13.15" customHeight="1" x14ac:dyDescent="0.2">
      <c r="D118" s="679"/>
      <c r="E118" s="679"/>
      <c r="F118" s="614"/>
      <c r="G118" s="614"/>
      <c r="H118" s="614"/>
      <c r="I118" s="614"/>
      <c r="Y118" s="625"/>
    </row>
    <row r="119" spans="4:25" s="476" customFormat="1" ht="13.15" customHeight="1" x14ac:dyDescent="0.2">
      <c r="D119" s="679"/>
      <c r="E119" s="679"/>
      <c r="F119" s="614"/>
      <c r="G119" s="614"/>
      <c r="H119" s="614"/>
      <c r="I119" s="614"/>
      <c r="Y119" s="625"/>
    </row>
    <row r="120" spans="4:25" s="476" customFormat="1" ht="13.15" customHeight="1" x14ac:dyDescent="0.2">
      <c r="D120" s="679"/>
      <c r="E120" s="679"/>
      <c r="F120" s="614"/>
      <c r="G120" s="614"/>
      <c r="H120" s="614"/>
      <c r="I120" s="614"/>
      <c r="Y120" s="625"/>
    </row>
    <row r="121" spans="4:25" s="476" customFormat="1" ht="13.15" customHeight="1" x14ac:dyDescent="0.2">
      <c r="D121" s="679"/>
      <c r="E121" s="679"/>
      <c r="F121" s="614"/>
      <c r="G121" s="614"/>
      <c r="H121" s="614"/>
      <c r="I121" s="614"/>
      <c r="Y121" s="625"/>
    </row>
    <row r="122" spans="4:25" s="476" customFormat="1" ht="13.15" customHeight="1" x14ac:dyDescent="0.2">
      <c r="D122" s="679"/>
      <c r="E122" s="679"/>
      <c r="F122" s="614"/>
      <c r="G122" s="614"/>
      <c r="H122" s="614"/>
      <c r="I122" s="614"/>
      <c r="Y122" s="625"/>
    </row>
    <row r="123" spans="4:25" s="476" customFormat="1" ht="13.15" customHeight="1" x14ac:dyDescent="0.2">
      <c r="D123" s="679"/>
      <c r="E123" s="679"/>
      <c r="F123" s="614"/>
      <c r="G123" s="614"/>
      <c r="H123" s="614"/>
      <c r="I123" s="614"/>
      <c r="Y123" s="625"/>
    </row>
    <row r="124" spans="4:25" s="476" customFormat="1" ht="13.15" customHeight="1" x14ac:dyDescent="0.2">
      <c r="D124" s="679"/>
      <c r="E124" s="679"/>
      <c r="F124" s="614"/>
      <c r="G124" s="614"/>
      <c r="H124" s="614"/>
      <c r="I124" s="614"/>
      <c r="Y124" s="625"/>
    </row>
    <row r="125" spans="4:25" s="476" customFormat="1" ht="13.15" customHeight="1" x14ac:dyDescent="0.2">
      <c r="D125" s="679"/>
      <c r="E125" s="679"/>
      <c r="F125" s="614"/>
      <c r="G125" s="614"/>
      <c r="H125" s="614"/>
      <c r="I125" s="614"/>
      <c r="Y125" s="625"/>
    </row>
    <row r="126" spans="4:25" s="476" customFormat="1" ht="13.15" customHeight="1" x14ac:dyDescent="0.2">
      <c r="D126" s="679"/>
      <c r="E126" s="679"/>
      <c r="F126" s="614"/>
      <c r="G126" s="614"/>
      <c r="H126" s="614"/>
      <c r="I126" s="614"/>
      <c r="Y126" s="625"/>
    </row>
    <row r="127" spans="4:25" s="476" customFormat="1" ht="13.15" customHeight="1" x14ac:dyDescent="0.2">
      <c r="D127" s="679"/>
      <c r="E127" s="679"/>
      <c r="F127" s="614"/>
      <c r="G127" s="614"/>
      <c r="H127" s="614"/>
      <c r="I127" s="614"/>
      <c r="Y127" s="625"/>
    </row>
    <row r="128" spans="4:25" s="476" customFormat="1" ht="13.15" customHeight="1" x14ac:dyDescent="0.2">
      <c r="D128" s="679"/>
      <c r="E128" s="679"/>
      <c r="F128" s="614"/>
      <c r="G128" s="614"/>
      <c r="H128" s="614"/>
      <c r="I128" s="614"/>
      <c r="Y128" s="625"/>
    </row>
    <row r="129" spans="4:25" s="476" customFormat="1" ht="13.15" customHeight="1" x14ac:dyDescent="0.2">
      <c r="D129" s="679"/>
      <c r="E129" s="679"/>
      <c r="F129" s="614"/>
      <c r="G129" s="614"/>
      <c r="H129" s="614"/>
      <c r="I129" s="614"/>
      <c r="Y129" s="625"/>
    </row>
    <row r="130" spans="4:25" s="476" customFormat="1" ht="13.15" customHeight="1" x14ac:dyDescent="0.2">
      <c r="D130" s="679"/>
      <c r="E130" s="679"/>
      <c r="F130" s="614"/>
      <c r="G130" s="614"/>
      <c r="H130" s="614"/>
      <c r="I130" s="614"/>
      <c r="Y130" s="625"/>
    </row>
    <row r="131" spans="4:25" s="476" customFormat="1" ht="13.15" customHeight="1" x14ac:dyDescent="0.2">
      <c r="D131" s="679"/>
      <c r="E131" s="679"/>
      <c r="F131" s="614"/>
      <c r="G131" s="614"/>
      <c r="H131" s="614"/>
      <c r="I131" s="614"/>
      <c r="Y131" s="625"/>
    </row>
    <row r="132" spans="4:25" s="476" customFormat="1" ht="13.15" customHeight="1" x14ac:dyDescent="0.2">
      <c r="D132" s="679"/>
      <c r="E132" s="679"/>
      <c r="F132" s="614"/>
      <c r="G132" s="614"/>
      <c r="H132" s="614"/>
      <c r="I132" s="614"/>
      <c r="Y132" s="625"/>
    </row>
    <row r="133" spans="4:25" s="476" customFormat="1" ht="13.15" customHeight="1" x14ac:dyDescent="0.2">
      <c r="D133" s="679"/>
      <c r="E133" s="679"/>
      <c r="F133" s="614"/>
      <c r="G133" s="614"/>
      <c r="H133" s="614"/>
      <c r="I133" s="614"/>
      <c r="Y133" s="625"/>
    </row>
    <row r="134" spans="4:25" s="476" customFormat="1" ht="13.15" customHeight="1" x14ac:dyDescent="0.2">
      <c r="D134" s="679"/>
      <c r="E134" s="679"/>
      <c r="F134" s="614"/>
      <c r="G134" s="614"/>
      <c r="H134" s="614"/>
      <c r="I134" s="614"/>
      <c r="Y134" s="625"/>
    </row>
    <row r="135" spans="4:25" s="476" customFormat="1" ht="13.15" customHeight="1" x14ac:dyDescent="0.2">
      <c r="D135" s="679"/>
      <c r="E135" s="679"/>
      <c r="F135" s="614"/>
      <c r="G135" s="614"/>
      <c r="H135" s="614"/>
      <c r="I135" s="614"/>
      <c r="Y135" s="625"/>
    </row>
    <row r="136" spans="4:25" s="476" customFormat="1" ht="13.15" customHeight="1" x14ac:dyDescent="0.2">
      <c r="D136" s="679"/>
      <c r="E136" s="679"/>
      <c r="F136" s="614"/>
      <c r="G136" s="614"/>
      <c r="H136" s="614"/>
      <c r="I136" s="614"/>
      <c r="Y136" s="625"/>
    </row>
    <row r="137" spans="4:25" s="476" customFormat="1" ht="13.15" customHeight="1" x14ac:dyDescent="0.2">
      <c r="D137" s="679"/>
      <c r="E137" s="679"/>
      <c r="F137" s="614"/>
      <c r="G137" s="614"/>
      <c r="H137" s="614"/>
      <c r="I137" s="614"/>
      <c r="Y137" s="625"/>
    </row>
    <row r="138" spans="4:25" s="476" customFormat="1" ht="13.15" customHeight="1" x14ac:dyDescent="0.2">
      <c r="D138" s="679"/>
      <c r="E138" s="679"/>
      <c r="F138" s="614"/>
      <c r="G138" s="614"/>
      <c r="H138" s="614"/>
      <c r="I138" s="614"/>
      <c r="Y138" s="625"/>
    </row>
    <row r="139" spans="4:25" s="476" customFormat="1" ht="13.15" customHeight="1" x14ac:dyDescent="0.2">
      <c r="D139" s="679"/>
      <c r="E139" s="679"/>
      <c r="F139" s="614"/>
      <c r="G139" s="614"/>
      <c r="H139" s="614"/>
      <c r="I139" s="614"/>
      <c r="Y139" s="625"/>
    </row>
    <row r="140" spans="4:25" s="476" customFormat="1" ht="13.15" customHeight="1" x14ac:dyDescent="0.2">
      <c r="D140" s="679"/>
      <c r="E140" s="679"/>
      <c r="F140" s="614"/>
      <c r="G140" s="614"/>
      <c r="H140" s="614"/>
      <c r="I140" s="614"/>
      <c r="Y140" s="625"/>
    </row>
    <row r="141" spans="4:25" s="476" customFormat="1" ht="13.15" customHeight="1" x14ac:dyDescent="0.2">
      <c r="D141" s="679"/>
      <c r="E141" s="679"/>
      <c r="F141" s="614"/>
      <c r="G141" s="614"/>
      <c r="H141" s="614"/>
      <c r="I141" s="614"/>
      <c r="Y141" s="625"/>
    </row>
    <row r="142" spans="4:25" s="476" customFormat="1" ht="13.15" customHeight="1" x14ac:dyDescent="0.2">
      <c r="D142" s="679"/>
      <c r="E142" s="679"/>
      <c r="F142" s="614"/>
      <c r="G142" s="614"/>
      <c r="H142" s="614"/>
      <c r="I142" s="614"/>
      <c r="Y142" s="625"/>
    </row>
    <row r="143" spans="4:25" s="476" customFormat="1" ht="13.15" customHeight="1" x14ac:dyDescent="0.2">
      <c r="D143" s="679"/>
      <c r="E143" s="679"/>
      <c r="F143" s="614"/>
      <c r="G143" s="614"/>
      <c r="H143" s="614"/>
      <c r="I143" s="614"/>
      <c r="Y143" s="625"/>
    </row>
    <row r="144" spans="4:25" s="476" customFormat="1" ht="13.15" customHeight="1" x14ac:dyDescent="0.2">
      <c r="D144" s="679"/>
      <c r="E144" s="679"/>
      <c r="F144" s="614"/>
      <c r="G144" s="614"/>
      <c r="H144" s="614"/>
      <c r="I144" s="614"/>
      <c r="Y144" s="625"/>
    </row>
    <row r="145" spans="4:25" s="476" customFormat="1" ht="13.15" customHeight="1" x14ac:dyDescent="0.2">
      <c r="D145" s="679"/>
      <c r="E145" s="679"/>
      <c r="F145" s="614"/>
      <c r="G145" s="614"/>
      <c r="H145" s="614"/>
      <c r="I145" s="614"/>
      <c r="Y145" s="625"/>
    </row>
    <row r="146" spans="4:25" s="476" customFormat="1" ht="13.15" customHeight="1" x14ac:dyDescent="0.2">
      <c r="D146" s="679"/>
      <c r="E146" s="679"/>
      <c r="F146" s="614"/>
      <c r="G146" s="614"/>
      <c r="H146" s="614"/>
      <c r="I146" s="614"/>
      <c r="Y146" s="625"/>
    </row>
    <row r="147" spans="4:25" s="476" customFormat="1" ht="13.15" customHeight="1" x14ac:dyDescent="0.2">
      <c r="D147" s="679"/>
      <c r="E147" s="679"/>
      <c r="F147" s="614"/>
      <c r="G147" s="614"/>
      <c r="H147" s="614"/>
      <c r="I147" s="614"/>
      <c r="Y147" s="625"/>
    </row>
    <row r="148" spans="4:25" s="476" customFormat="1" ht="13.15" customHeight="1" x14ac:dyDescent="0.2">
      <c r="D148" s="679"/>
      <c r="E148" s="679"/>
      <c r="F148" s="614"/>
      <c r="G148" s="614"/>
      <c r="H148" s="614"/>
      <c r="I148" s="614"/>
      <c r="Y148" s="625"/>
    </row>
    <row r="149" spans="4:25" s="476" customFormat="1" ht="13.15" customHeight="1" x14ac:dyDescent="0.2">
      <c r="D149" s="679"/>
      <c r="E149" s="679"/>
      <c r="F149" s="614"/>
      <c r="G149" s="614"/>
      <c r="H149" s="614"/>
      <c r="I149" s="614"/>
      <c r="Y149" s="625"/>
    </row>
    <row r="150" spans="4:25" s="476" customFormat="1" ht="13.15" customHeight="1" x14ac:dyDescent="0.2">
      <c r="D150" s="679"/>
      <c r="E150" s="679"/>
      <c r="F150" s="614"/>
      <c r="G150" s="614"/>
      <c r="H150" s="614"/>
      <c r="I150" s="614"/>
      <c r="Y150" s="625"/>
    </row>
    <row r="151" spans="4:25" s="476" customFormat="1" ht="13.15" customHeight="1" x14ac:dyDescent="0.2">
      <c r="D151" s="679"/>
      <c r="E151" s="679"/>
      <c r="F151" s="614"/>
      <c r="G151" s="614"/>
      <c r="H151" s="614"/>
      <c r="I151" s="614"/>
      <c r="Y151" s="625"/>
    </row>
    <row r="152" spans="4:25" s="476" customFormat="1" ht="13.15" customHeight="1" x14ac:dyDescent="0.2">
      <c r="D152" s="679"/>
      <c r="E152" s="679"/>
      <c r="F152" s="614"/>
      <c r="G152" s="614"/>
      <c r="H152" s="614"/>
      <c r="I152" s="614"/>
      <c r="Y152" s="625"/>
    </row>
    <row r="153" spans="4:25" s="476" customFormat="1" ht="13.15" customHeight="1" x14ac:dyDescent="0.2">
      <c r="D153" s="679"/>
      <c r="E153" s="679"/>
      <c r="F153" s="614"/>
      <c r="G153" s="614"/>
      <c r="H153" s="614"/>
      <c r="I153" s="614"/>
      <c r="Y153" s="625"/>
    </row>
    <row r="154" spans="4:25" s="476" customFormat="1" ht="13.15" customHeight="1" x14ac:dyDescent="0.2">
      <c r="D154" s="679"/>
      <c r="E154" s="679"/>
      <c r="F154" s="614"/>
      <c r="G154" s="614"/>
      <c r="H154" s="614"/>
      <c r="I154" s="614"/>
      <c r="Y154" s="625"/>
    </row>
    <row r="155" spans="4:25" s="476" customFormat="1" ht="13.15" customHeight="1" x14ac:dyDescent="0.2">
      <c r="D155" s="679"/>
      <c r="E155" s="679"/>
      <c r="F155" s="614"/>
      <c r="G155" s="614"/>
      <c r="H155" s="614"/>
      <c r="I155" s="614"/>
      <c r="Y155" s="625"/>
    </row>
    <row r="156" spans="4:25" s="476" customFormat="1" ht="13.15" customHeight="1" x14ac:dyDescent="0.2">
      <c r="D156" s="679"/>
      <c r="E156" s="679"/>
      <c r="F156" s="614"/>
      <c r="G156" s="614"/>
      <c r="H156" s="614"/>
      <c r="I156" s="614"/>
      <c r="Y156" s="625"/>
    </row>
    <row r="157" spans="4:25" s="476" customFormat="1" ht="13.15" customHeight="1" x14ac:dyDescent="0.2">
      <c r="D157" s="679"/>
      <c r="E157" s="679"/>
      <c r="F157" s="614"/>
      <c r="G157" s="614"/>
      <c r="H157" s="614"/>
      <c r="I157" s="614"/>
      <c r="Y157" s="625"/>
    </row>
    <row r="158" spans="4:25" s="476" customFormat="1" ht="13.15" customHeight="1" x14ac:dyDescent="0.2">
      <c r="D158" s="679"/>
      <c r="E158" s="679"/>
      <c r="F158" s="614"/>
      <c r="G158" s="614"/>
      <c r="H158" s="614"/>
      <c r="I158" s="614"/>
      <c r="Y158" s="625"/>
    </row>
    <row r="159" spans="4:25" s="476" customFormat="1" ht="13.15" customHeight="1" x14ac:dyDescent="0.2">
      <c r="D159" s="679"/>
      <c r="E159" s="679"/>
      <c r="F159" s="614"/>
      <c r="G159" s="614"/>
      <c r="H159" s="614"/>
      <c r="I159" s="614"/>
      <c r="Y159" s="625"/>
    </row>
    <row r="160" spans="4:25" s="476" customFormat="1" ht="13.15" customHeight="1" x14ac:dyDescent="0.2">
      <c r="D160" s="679"/>
      <c r="E160" s="679"/>
      <c r="F160" s="614"/>
      <c r="G160" s="614"/>
      <c r="H160" s="614"/>
      <c r="I160" s="614"/>
      <c r="Y160" s="625"/>
    </row>
    <row r="161" spans="4:25" s="476" customFormat="1" ht="13.15" customHeight="1" x14ac:dyDescent="0.2">
      <c r="D161" s="679"/>
      <c r="E161" s="679"/>
      <c r="F161" s="614"/>
      <c r="G161" s="614"/>
      <c r="H161" s="614"/>
      <c r="I161" s="614"/>
      <c r="Y161" s="625"/>
    </row>
    <row r="162" spans="4:25" s="476" customFormat="1" ht="13.15" customHeight="1" x14ac:dyDescent="0.2">
      <c r="D162" s="679"/>
      <c r="E162" s="679"/>
      <c r="F162" s="614"/>
      <c r="G162" s="614"/>
      <c r="H162" s="614"/>
      <c r="I162" s="614"/>
      <c r="Y162" s="625"/>
    </row>
    <row r="163" spans="4:25" s="476" customFormat="1" ht="13.15" customHeight="1" x14ac:dyDescent="0.2">
      <c r="D163" s="679"/>
      <c r="E163" s="679"/>
      <c r="F163" s="614"/>
      <c r="G163" s="614"/>
      <c r="H163" s="614"/>
      <c r="I163" s="614"/>
      <c r="Y163" s="625"/>
    </row>
    <row r="164" spans="4:25" s="476" customFormat="1" ht="13.15" customHeight="1" x14ac:dyDescent="0.2">
      <c r="D164" s="679"/>
      <c r="E164" s="679"/>
      <c r="F164" s="614"/>
      <c r="G164" s="614"/>
      <c r="H164" s="614"/>
      <c r="I164" s="614"/>
      <c r="Y164" s="625"/>
    </row>
    <row r="165" spans="4:25" s="476" customFormat="1" ht="13.15" customHeight="1" x14ac:dyDescent="0.2">
      <c r="D165" s="679"/>
      <c r="E165" s="679"/>
      <c r="F165" s="614"/>
      <c r="G165" s="614"/>
      <c r="H165" s="614"/>
      <c r="I165" s="614"/>
      <c r="Y165" s="625"/>
    </row>
    <row r="166" spans="4:25" s="476" customFormat="1" ht="13.15" customHeight="1" x14ac:dyDescent="0.2">
      <c r="D166" s="679"/>
      <c r="E166" s="679"/>
      <c r="F166" s="614"/>
      <c r="G166" s="614"/>
      <c r="H166" s="614"/>
      <c r="I166" s="614"/>
      <c r="Y166" s="625"/>
    </row>
    <row r="167" spans="4:25" s="476" customFormat="1" ht="13.15" customHeight="1" x14ac:dyDescent="0.2">
      <c r="D167" s="679"/>
      <c r="E167" s="679"/>
      <c r="F167" s="614"/>
      <c r="G167" s="614"/>
      <c r="H167" s="614"/>
      <c r="I167" s="614"/>
      <c r="Y167" s="625"/>
    </row>
    <row r="168" spans="4:25" s="476" customFormat="1" ht="13.15" customHeight="1" x14ac:dyDescent="0.2">
      <c r="D168" s="679"/>
      <c r="E168" s="679"/>
      <c r="F168" s="614"/>
      <c r="G168" s="614"/>
      <c r="H168" s="614"/>
      <c r="I168" s="614"/>
      <c r="Y168" s="625"/>
    </row>
    <row r="169" spans="4:25" s="476" customFormat="1" ht="13.15" customHeight="1" x14ac:dyDescent="0.2">
      <c r="D169" s="679"/>
      <c r="E169" s="679"/>
      <c r="F169" s="614"/>
      <c r="G169" s="614"/>
      <c r="H169" s="614"/>
      <c r="I169" s="614"/>
      <c r="Y169" s="625"/>
    </row>
    <row r="170" spans="4:25" s="476" customFormat="1" ht="13.15" customHeight="1" x14ac:dyDescent="0.2">
      <c r="D170" s="679"/>
      <c r="E170" s="679"/>
      <c r="F170" s="614"/>
      <c r="G170" s="614"/>
      <c r="H170" s="614"/>
      <c r="I170" s="614"/>
      <c r="Y170" s="625"/>
    </row>
    <row r="171" spans="4:25" s="476" customFormat="1" ht="13.15" customHeight="1" x14ac:dyDescent="0.2">
      <c r="D171" s="679"/>
      <c r="E171" s="679"/>
      <c r="F171" s="614"/>
      <c r="G171" s="614"/>
      <c r="H171" s="614"/>
      <c r="I171" s="614"/>
      <c r="Y171" s="625"/>
    </row>
    <row r="172" spans="4:25" s="476" customFormat="1" ht="13.15" customHeight="1" x14ac:dyDescent="0.2">
      <c r="D172" s="679"/>
      <c r="E172" s="679"/>
      <c r="F172" s="614"/>
      <c r="G172" s="614"/>
      <c r="H172" s="614"/>
      <c r="I172" s="614"/>
      <c r="Y172" s="625"/>
    </row>
    <row r="173" spans="4:25" s="476" customFormat="1" ht="13.15" customHeight="1" x14ac:dyDescent="0.2">
      <c r="D173" s="679"/>
      <c r="E173" s="679"/>
      <c r="F173" s="614"/>
      <c r="G173" s="614"/>
      <c r="H173" s="614"/>
      <c r="I173" s="614"/>
      <c r="Y173" s="625"/>
    </row>
    <row r="174" spans="4:25" s="476" customFormat="1" ht="13.15" customHeight="1" x14ac:dyDescent="0.2">
      <c r="D174" s="679"/>
      <c r="E174" s="679"/>
      <c r="F174" s="614"/>
      <c r="G174" s="614"/>
      <c r="H174" s="614"/>
      <c r="I174" s="614"/>
      <c r="Y174" s="625"/>
    </row>
    <row r="175" spans="4:25" s="476" customFormat="1" ht="13.15" customHeight="1" x14ac:dyDescent="0.2">
      <c r="D175" s="679"/>
      <c r="E175" s="679"/>
      <c r="F175" s="614"/>
      <c r="G175" s="614"/>
      <c r="H175" s="614"/>
      <c r="I175" s="614"/>
      <c r="Y175" s="625"/>
    </row>
    <row r="176" spans="4:25" s="476" customFormat="1" ht="13.15" customHeight="1" x14ac:dyDescent="0.2">
      <c r="D176" s="679"/>
      <c r="E176" s="679"/>
      <c r="F176" s="614"/>
      <c r="G176" s="614"/>
      <c r="H176" s="614"/>
      <c r="I176" s="614"/>
      <c r="Y176" s="625"/>
    </row>
    <row r="177" spans="4:25" s="476" customFormat="1" ht="13.15" customHeight="1" x14ac:dyDescent="0.2">
      <c r="D177" s="679"/>
      <c r="E177" s="679"/>
      <c r="F177" s="614"/>
      <c r="G177" s="614"/>
      <c r="H177" s="614"/>
      <c r="I177" s="614"/>
      <c r="Y177" s="625"/>
    </row>
    <row r="178" spans="4:25" s="476" customFormat="1" ht="13.15" customHeight="1" x14ac:dyDescent="0.2">
      <c r="D178" s="679"/>
      <c r="E178" s="679"/>
      <c r="F178" s="614"/>
      <c r="G178" s="614"/>
      <c r="H178" s="614"/>
      <c r="I178" s="614"/>
      <c r="Y178" s="625"/>
    </row>
    <row r="179" spans="4:25" s="476" customFormat="1" ht="13.15" customHeight="1" x14ac:dyDescent="0.2">
      <c r="D179" s="679"/>
      <c r="E179" s="679"/>
      <c r="F179" s="614"/>
      <c r="G179" s="614"/>
      <c r="H179" s="614"/>
      <c r="I179" s="614"/>
      <c r="Y179" s="625"/>
    </row>
    <row r="180" spans="4:25" s="476" customFormat="1" ht="13.15" customHeight="1" x14ac:dyDescent="0.2">
      <c r="D180" s="679"/>
      <c r="E180" s="679"/>
      <c r="F180" s="614"/>
      <c r="G180" s="614"/>
      <c r="H180" s="614"/>
      <c r="I180" s="614"/>
      <c r="Y180" s="625"/>
    </row>
    <row r="181" spans="4:25" s="476" customFormat="1" ht="13.15" customHeight="1" x14ac:dyDescent="0.2">
      <c r="D181" s="679"/>
      <c r="E181" s="679"/>
      <c r="F181" s="614"/>
      <c r="G181" s="614"/>
      <c r="H181" s="614"/>
      <c r="I181" s="614"/>
      <c r="Y181" s="625"/>
    </row>
    <row r="182" spans="4:25" s="476" customFormat="1" ht="13.15" customHeight="1" x14ac:dyDescent="0.2">
      <c r="D182" s="679"/>
      <c r="E182" s="679"/>
      <c r="F182" s="614"/>
      <c r="G182" s="614"/>
      <c r="H182" s="614"/>
      <c r="I182" s="614"/>
      <c r="Y182" s="625"/>
    </row>
    <row r="183" spans="4:25" s="476" customFormat="1" ht="13.15" customHeight="1" x14ac:dyDescent="0.2">
      <c r="D183" s="679"/>
      <c r="E183" s="679"/>
      <c r="F183" s="614"/>
      <c r="G183" s="614"/>
      <c r="H183" s="614"/>
      <c r="I183" s="614"/>
      <c r="Y183" s="625"/>
    </row>
    <row r="184" spans="4:25" s="476" customFormat="1" ht="13.15" customHeight="1" x14ac:dyDescent="0.2">
      <c r="D184" s="679"/>
      <c r="E184" s="679"/>
      <c r="F184" s="614"/>
      <c r="G184" s="614"/>
      <c r="H184" s="614"/>
      <c r="I184" s="614"/>
      <c r="Y184" s="625"/>
    </row>
    <row r="185" spans="4:25" s="476" customFormat="1" ht="13.15" customHeight="1" x14ac:dyDescent="0.2">
      <c r="D185" s="679"/>
      <c r="E185" s="679"/>
      <c r="F185" s="614"/>
      <c r="G185" s="614"/>
      <c r="H185" s="614"/>
      <c r="I185" s="614"/>
      <c r="Y185" s="625"/>
    </row>
    <row r="186" spans="4:25" s="476" customFormat="1" ht="13.15" customHeight="1" x14ac:dyDescent="0.2">
      <c r="D186" s="679"/>
      <c r="E186" s="679"/>
      <c r="F186" s="614"/>
      <c r="G186" s="614"/>
      <c r="H186" s="614"/>
      <c r="I186" s="614"/>
      <c r="Y186" s="625"/>
    </row>
    <row r="187" spans="4:25" s="476" customFormat="1" ht="13.15" customHeight="1" x14ac:dyDescent="0.2">
      <c r="D187" s="679"/>
      <c r="E187" s="679"/>
      <c r="F187" s="614"/>
      <c r="G187" s="614"/>
      <c r="H187" s="614"/>
      <c r="I187" s="614"/>
      <c r="Y187" s="625"/>
    </row>
    <row r="188" spans="4:25" s="476" customFormat="1" ht="13.15" customHeight="1" x14ac:dyDescent="0.2">
      <c r="D188" s="679"/>
      <c r="E188" s="679"/>
      <c r="F188" s="614"/>
      <c r="G188" s="614"/>
      <c r="H188" s="614"/>
      <c r="I188" s="614"/>
      <c r="Y188" s="625"/>
    </row>
    <row r="189" spans="4:25" s="476" customFormat="1" ht="13.15" customHeight="1" x14ac:dyDescent="0.2">
      <c r="D189" s="679"/>
      <c r="E189" s="679"/>
      <c r="F189" s="614"/>
      <c r="G189" s="614"/>
      <c r="H189" s="614"/>
      <c r="I189" s="614"/>
      <c r="Y189" s="625"/>
    </row>
    <row r="190" spans="4:25" s="476" customFormat="1" ht="13.15" customHeight="1" x14ac:dyDescent="0.2">
      <c r="D190" s="679"/>
      <c r="E190" s="679"/>
      <c r="F190" s="614"/>
      <c r="G190" s="614"/>
      <c r="H190" s="614"/>
      <c r="I190" s="614"/>
      <c r="Y190" s="625"/>
    </row>
    <row r="191" spans="4:25" s="476" customFormat="1" ht="13.15" customHeight="1" x14ac:dyDescent="0.2">
      <c r="D191" s="679"/>
      <c r="E191" s="679"/>
      <c r="F191" s="614"/>
      <c r="G191" s="614"/>
      <c r="H191" s="614"/>
      <c r="I191" s="614"/>
      <c r="Y191" s="625"/>
    </row>
    <row r="192" spans="4:25" s="476" customFormat="1" ht="13.15" customHeight="1" x14ac:dyDescent="0.2">
      <c r="D192" s="679"/>
      <c r="E192" s="679"/>
      <c r="F192" s="614"/>
      <c r="G192" s="614"/>
      <c r="H192" s="614"/>
      <c r="I192" s="614"/>
      <c r="Y192" s="625"/>
    </row>
    <row r="193" spans="4:25" s="476" customFormat="1" ht="13.15" customHeight="1" x14ac:dyDescent="0.2">
      <c r="D193" s="679"/>
      <c r="E193" s="679"/>
      <c r="F193" s="614"/>
      <c r="G193" s="614"/>
      <c r="H193" s="614"/>
      <c r="I193" s="614"/>
      <c r="Y193" s="625"/>
    </row>
    <row r="194" spans="4:25" s="476" customFormat="1" ht="13.15" customHeight="1" x14ac:dyDescent="0.2">
      <c r="D194" s="679"/>
      <c r="E194" s="679"/>
      <c r="F194" s="614"/>
      <c r="G194" s="614"/>
      <c r="H194" s="614"/>
      <c r="I194" s="614"/>
      <c r="Y194" s="625"/>
    </row>
    <row r="195" spans="4:25" s="476" customFormat="1" ht="13.15" customHeight="1" x14ac:dyDescent="0.2">
      <c r="D195" s="679"/>
      <c r="E195" s="679"/>
      <c r="F195" s="614"/>
      <c r="G195" s="614"/>
      <c r="H195" s="614"/>
      <c r="I195" s="614"/>
      <c r="Y195" s="625"/>
    </row>
    <row r="196" spans="4:25" s="476" customFormat="1" ht="13.15" customHeight="1" x14ac:dyDescent="0.2">
      <c r="D196" s="679"/>
      <c r="E196" s="679"/>
      <c r="F196" s="614"/>
      <c r="G196" s="614"/>
      <c r="H196" s="614"/>
      <c r="I196" s="614"/>
      <c r="Y196" s="625"/>
    </row>
    <row r="197" spans="4:25" s="476" customFormat="1" ht="13.15" customHeight="1" x14ac:dyDescent="0.2">
      <c r="D197" s="679"/>
      <c r="E197" s="679"/>
      <c r="F197" s="614"/>
      <c r="G197" s="614"/>
      <c r="H197" s="614"/>
      <c r="I197" s="614"/>
      <c r="Y197" s="625"/>
    </row>
    <row r="198" spans="4:25" s="476" customFormat="1" ht="13.15" customHeight="1" x14ac:dyDescent="0.2">
      <c r="D198" s="679"/>
      <c r="E198" s="679"/>
      <c r="F198" s="614"/>
      <c r="G198" s="614"/>
      <c r="H198" s="614"/>
      <c r="I198" s="614"/>
      <c r="Y198" s="625"/>
    </row>
    <row r="199" spans="4:25" s="476" customFormat="1" ht="13.15" customHeight="1" x14ac:dyDescent="0.2">
      <c r="D199" s="679"/>
      <c r="E199" s="679"/>
      <c r="F199" s="614"/>
      <c r="G199" s="614"/>
      <c r="H199" s="614"/>
      <c r="I199" s="614"/>
      <c r="Y199" s="625"/>
    </row>
    <row r="200" spans="4:25" s="476" customFormat="1" ht="13.15" customHeight="1" x14ac:dyDescent="0.2">
      <c r="D200" s="679"/>
      <c r="E200" s="679"/>
      <c r="F200" s="614"/>
      <c r="G200" s="614"/>
      <c r="H200" s="614"/>
      <c r="I200" s="614"/>
      <c r="Y200" s="625"/>
    </row>
    <row r="201" spans="4:25" s="476" customFormat="1" ht="13.15" customHeight="1" x14ac:dyDescent="0.2">
      <c r="D201" s="679"/>
      <c r="E201" s="679"/>
      <c r="F201" s="614"/>
      <c r="G201" s="614"/>
      <c r="H201" s="614"/>
      <c r="I201" s="614"/>
      <c r="Y201" s="625"/>
    </row>
    <row r="202" spans="4:25" s="476" customFormat="1" ht="13.15" customHeight="1" x14ac:dyDescent="0.2">
      <c r="D202" s="679"/>
      <c r="E202" s="679"/>
      <c r="F202" s="614"/>
      <c r="G202" s="614"/>
      <c r="H202" s="614"/>
      <c r="I202" s="614"/>
      <c r="Y202" s="625"/>
    </row>
    <row r="203" spans="4:25" s="476" customFormat="1" ht="13.15" customHeight="1" x14ac:dyDescent="0.2">
      <c r="D203" s="679"/>
      <c r="E203" s="679"/>
      <c r="F203" s="614"/>
      <c r="G203" s="614"/>
      <c r="H203" s="614"/>
      <c r="I203" s="614"/>
      <c r="Y203" s="625"/>
    </row>
    <row r="204" spans="4:25" s="476" customFormat="1" ht="13.15" customHeight="1" x14ac:dyDescent="0.2">
      <c r="D204" s="679"/>
      <c r="E204" s="679"/>
      <c r="F204" s="614"/>
      <c r="G204" s="614"/>
      <c r="H204" s="614"/>
      <c r="I204" s="614"/>
      <c r="Y204" s="625"/>
    </row>
    <row r="205" spans="4:25" s="476" customFormat="1" ht="13.15" customHeight="1" x14ac:dyDescent="0.2">
      <c r="D205" s="679"/>
      <c r="E205" s="679"/>
      <c r="F205" s="614"/>
      <c r="G205" s="614"/>
      <c r="H205" s="614"/>
      <c r="I205" s="614"/>
      <c r="Y205" s="625"/>
    </row>
    <row r="206" spans="4:25" s="476" customFormat="1" ht="13.15" customHeight="1" x14ac:dyDescent="0.2">
      <c r="D206" s="679"/>
      <c r="E206" s="679"/>
      <c r="F206" s="614"/>
      <c r="G206" s="614"/>
      <c r="H206" s="614"/>
      <c r="I206" s="614"/>
      <c r="Y206" s="625"/>
    </row>
    <row r="207" spans="4:25" s="476" customFormat="1" ht="13.15" customHeight="1" x14ac:dyDescent="0.2">
      <c r="D207" s="679"/>
      <c r="E207" s="679"/>
      <c r="F207" s="614"/>
      <c r="G207" s="614"/>
      <c r="H207" s="614"/>
      <c r="I207" s="614"/>
      <c r="Y207" s="625"/>
    </row>
    <row r="208" spans="4:25" s="476" customFormat="1" ht="13.15" customHeight="1" x14ac:dyDescent="0.2">
      <c r="D208" s="679"/>
      <c r="E208" s="679"/>
      <c r="F208" s="614"/>
      <c r="G208" s="614"/>
      <c r="H208" s="614"/>
      <c r="I208" s="614"/>
      <c r="Y208" s="625"/>
    </row>
    <row r="209" spans="4:25" s="476" customFormat="1" ht="13.15" customHeight="1" x14ac:dyDescent="0.2">
      <c r="D209" s="679"/>
      <c r="E209" s="679"/>
      <c r="F209" s="614"/>
      <c r="G209" s="614"/>
      <c r="H209" s="614"/>
      <c r="I209" s="614"/>
      <c r="Y209" s="625"/>
    </row>
    <row r="210" spans="4:25" s="476" customFormat="1" ht="13.15" customHeight="1" x14ac:dyDescent="0.2">
      <c r="D210" s="679"/>
      <c r="E210" s="679"/>
      <c r="F210" s="614"/>
      <c r="G210" s="614"/>
      <c r="H210" s="614"/>
      <c r="I210" s="614"/>
      <c r="Y210" s="625"/>
    </row>
    <row r="211" spans="4:25" s="476" customFormat="1" ht="13.15" customHeight="1" x14ac:dyDescent="0.2">
      <c r="D211" s="679"/>
      <c r="E211" s="679"/>
      <c r="F211" s="614"/>
      <c r="G211" s="614"/>
      <c r="H211" s="614"/>
      <c r="I211" s="614"/>
      <c r="Y211" s="625"/>
    </row>
    <row r="212" spans="4:25" s="476" customFormat="1" ht="13.15" customHeight="1" x14ac:dyDescent="0.2">
      <c r="D212" s="679"/>
      <c r="E212" s="679"/>
      <c r="F212" s="614"/>
      <c r="G212" s="614"/>
      <c r="H212" s="614"/>
      <c r="I212" s="614"/>
      <c r="Y212" s="625"/>
    </row>
    <row r="213" spans="4:25" s="476" customFormat="1" ht="13.15" customHeight="1" x14ac:dyDescent="0.2">
      <c r="D213" s="679"/>
      <c r="E213" s="679"/>
      <c r="F213" s="614"/>
      <c r="G213" s="614"/>
      <c r="H213" s="614"/>
      <c r="I213" s="614"/>
      <c r="Y213" s="625"/>
    </row>
    <row r="214" spans="4:25" s="476" customFormat="1" ht="13.15" customHeight="1" x14ac:dyDescent="0.2">
      <c r="D214" s="679"/>
      <c r="E214" s="679"/>
      <c r="F214" s="614"/>
      <c r="G214" s="614"/>
      <c r="H214" s="614"/>
      <c r="I214" s="614"/>
      <c r="Y214" s="625"/>
    </row>
    <row r="215" spans="4:25" s="476" customFormat="1" ht="13.15" customHeight="1" x14ac:dyDescent="0.2">
      <c r="D215" s="679"/>
      <c r="E215" s="679"/>
      <c r="F215" s="614"/>
      <c r="G215" s="614"/>
      <c r="H215" s="614"/>
      <c r="I215" s="614"/>
      <c r="Y215" s="625"/>
    </row>
    <row r="216" spans="4:25" s="476" customFormat="1" ht="13.15" customHeight="1" x14ac:dyDescent="0.2">
      <c r="D216" s="679"/>
      <c r="E216" s="679"/>
      <c r="F216" s="614"/>
      <c r="G216" s="614"/>
      <c r="H216" s="614"/>
      <c r="I216" s="614"/>
      <c r="Y216" s="625"/>
    </row>
    <row r="217" spans="4:25" s="476" customFormat="1" ht="13.15" customHeight="1" x14ac:dyDescent="0.2">
      <c r="D217" s="679"/>
      <c r="E217" s="679"/>
      <c r="F217" s="614"/>
      <c r="G217" s="614"/>
      <c r="H217" s="614"/>
      <c r="I217" s="614"/>
      <c r="Y217" s="625"/>
    </row>
    <row r="218" spans="4:25" s="476" customFormat="1" ht="13.15" customHeight="1" x14ac:dyDescent="0.2">
      <c r="D218" s="679"/>
      <c r="E218" s="679"/>
      <c r="F218" s="614"/>
      <c r="G218" s="614"/>
      <c r="H218" s="614"/>
      <c r="I218" s="614"/>
      <c r="Y218" s="625"/>
    </row>
    <row r="219" spans="4:25" s="476" customFormat="1" ht="13.15" customHeight="1" x14ac:dyDescent="0.2">
      <c r="D219" s="679"/>
      <c r="E219" s="679"/>
      <c r="F219" s="614"/>
      <c r="G219" s="614"/>
      <c r="H219" s="614"/>
      <c r="I219" s="614"/>
      <c r="Y219" s="625"/>
    </row>
    <row r="220" spans="4:25" s="476" customFormat="1" ht="13.15" customHeight="1" x14ac:dyDescent="0.2">
      <c r="D220" s="679"/>
      <c r="E220" s="679"/>
      <c r="F220" s="614"/>
      <c r="G220" s="614"/>
      <c r="H220" s="614"/>
      <c r="I220" s="614"/>
      <c r="Y220" s="625"/>
    </row>
    <row r="221" spans="4:25" s="476" customFormat="1" ht="13.15" customHeight="1" x14ac:dyDescent="0.2">
      <c r="D221" s="679"/>
      <c r="E221" s="679"/>
      <c r="F221" s="614"/>
      <c r="G221" s="614"/>
      <c r="H221" s="614"/>
      <c r="I221" s="614"/>
      <c r="Y221" s="625"/>
    </row>
    <row r="222" spans="4:25" s="476" customFormat="1" ht="13.15" customHeight="1" x14ac:dyDescent="0.2">
      <c r="D222" s="679"/>
      <c r="E222" s="679"/>
      <c r="F222" s="614"/>
      <c r="G222" s="614"/>
      <c r="H222" s="614"/>
      <c r="I222" s="614"/>
      <c r="Y222" s="625"/>
    </row>
    <row r="223" spans="4:25" s="476" customFormat="1" ht="13.15" customHeight="1" x14ac:dyDescent="0.2">
      <c r="D223" s="679"/>
      <c r="E223" s="679"/>
      <c r="F223" s="614"/>
      <c r="G223" s="614"/>
      <c r="H223" s="614"/>
      <c r="I223" s="614"/>
      <c r="Y223" s="625"/>
    </row>
    <row r="224" spans="4:25" s="476" customFormat="1" ht="13.15" customHeight="1" x14ac:dyDescent="0.2">
      <c r="D224" s="679"/>
      <c r="E224" s="679"/>
      <c r="F224" s="614"/>
      <c r="G224" s="614"/>
      <c r="H224" s="614"/>
      <c r="I224" s="614"/>
      <c r="Y224" s="625"/>
    </row>
    <row r="225" spans="4:25" s="476" customFormat="1" ht="13.15" customHeight="1" x14ac:dyDescent="0.2">
      <c r="D225" s="679"/>
      <c r="E225" s="679"/>
      <c r="F225" s="614"/>
      <c r="G225" s="614"/>
      <c r="H225" s="614"/>
      <c r="I225" s="614"/>
      <c r="Y225" s="625"/>
    </row>
    <row r="226" spans="4:25" s="476" customFormat="1" ht="13.15" customHeight="1" x14ac:dyDescent="0.2">
      <c r="D226" s="679"/>
      <c r="E226" s="679"/>
      <c r="F226" s="614"/>
      <c r="G226" s="614"/>
      <c r="H226" s="614"/>
      <c r="I226" s="614"/>
      <c r="Y226" s="625"/>
    </row>
    <row r="227" spans="4:25" s="476" customFormat="1" ht="13.15" customHeight="1" x14ac:dyDescent="0.2">
      <c r="D227" s="679"/>
      <c r="E227" s="679"/>
      <c r="F227" s="614"/>
      <c r="G227" s="614"/>
      <c r="H227" s="614"/>
      <c r="I227" s="614"/>
      <c r="Y227" s="625"/>
    </row>
    <row r="228" spans="4:25" s="476" customFormat="1" ht="13.15" customHeight="1" x14ac:dyDescent="0.2">
      <c r="D228" s="679"/>
      <c r="E228" s="679"/>
      <c r="F228" s="614"/>
      <c r="G228" s="614"/>
      <c r="H228" s="614"/>
      <c r="I228" s="614"/>
      <c r="Y228" s="625"/>
    </row>
    <row r="229" spans="4:25" s="476" customFormat="1" ht="13.15" customHeight="1" x14ac:dyDescent="0.2">
      <c r="D229" s="679"/>
      <c r="E229" s="679"/>
      <c r="F229" s="614"/>
      <c r="G229" s="614"/>
      <c r="H229" s="614"/>
      <c r="I229" s="614"/>
      <c r="Y229" s="625"/>
    </row>
    <row r="230" spans="4:25" s="476" customFormat="1" ht="13.15" customHeight="1" x14ac:dyDescent="0.2">
      <c r="D230" s="679"/>
      <c r="E230" s="679"/>
      <c r="F230" s="614"/>
      <c r="G230" s="614"/>
      <c r="H230" s="614"/>
      <c r="I230" s="614"/>
      <c r="Y230" s="625"/>
    </row>
    <row r="231" spans="4:25" s="476" customFormat="1" ht="13.15" customHeight="1" x14ac:dyDescent="0.2">
      <c r="D231" s="679"/>
      <c r="E231" s="679"/>
      <c r="F231" s="614"/>
      <c r="G231" s="614"/>
      <c r="H231" s="614"/>
      <c r="I231" s="614"/>
      <c r="Y231" s="625"/>
    </row>
    <row r="232" spans="4:25" s="476" customFormat="1" ht="13.15" customHeight="1" x14ac:dyDescent="0.2">
      <c r="D232" s="679"/>
      <c r="E232" s="679"/>
      <c r="F232" s="614"/>
      <c r="G232" s="614"/>
      <c r="H232" s="614"/>
      <c r="I232" s="614"/>
      <c r="Y232" s="625"/>
    </row>
    <row r="233" spans="4:25" s="476" customFormat="1" ht="13.15" customHeight="1" x14ac:dyDescent="0.2">
      <c r="D233" s="679"/>
      <c r="E233" s="679"/>
      <c r="F233" s="614"/>
      <c r="G233" s="614"/>
      <c r="H233" s="614"/>
      <c r="I233" s="614"/>
      <c r="Y233" s="625"/>
    </row>
    <row r="234" spans="4:25" s="476" customFormat="1" ht="13.15" customHeight="1" x14ac:dyDescent="0.2">
      <c r="D234" s="679"/>
      <c r="E234" s="679"/>
      <c r="F234" s="614"/>
      <c r="G234" s="614"/>
      <c r="H234" s="614"/>
      <c r="I234" s="614"/>
      <c r="Y234" s="625"/>
    </row>
    <row r="235" spans="4:25" s="476" customFormat="1" ht="13.15" customHeight="1" x14ac:dyDescent="0.2">
      <c r="D235" s="679"/>
      <c r="E235" s="679"/>
      <c r="F235" s="614"/>
      <c r="G235" s="614"/>
      <c r="H235" s="614"/>
      <c r="I235" s="614"/>
      <c r="Y235" s="625"/>
    </row>
    <row r="236" spans="4:25" s="476" customFormat="1" ht="13.15" customHeight="1" x14ac:dyDescent="0.2">
      <c r="D236" s="679"/>
      <c r="E236" s="679"/>
      <c r="F236" s="614"/>
      <c r="G236" s="614"/>
      <c r="H236" s="614"/>
      <c r="I236" s="614"/>
      <c r="Y236" s="625"/>
    </row>
    <row r="237" spans="4:25" s="476" customFormat="1" ht="13.15" customHeight="1" x14ac:dyDescent="0.2">
      <c r="D237" s="679"/>
      <c r="E237" s="679"/>
      <c r="F237" s="614"/>
      <c r="G237" s="614"/>
      <c r="H237" s="614"/>
      <c r="I237" s="614"/>
      <c r="Y237" s="625"/>
    </row>
    <row r="238" spans="4:25" s="476" customFormat="1" ht="13.15" customHeight="1" x14ac:dyDescent="0.2">
      <c r="D238" s="679"/>
      <c r="E238" s="679"/>
      <c r="F238" s="614"/>
      <c r="G238" s="614"/>
      <c r="H238" s="614"/>
      <c r="I238" s="614"/>
      <c r="Y238" s="625"/>
    </row>
    <row r="239" spans="4:25" s="476" customFormat="1" ht="13.15" customHeight="1" x14ac:dyDescent="0.2">
      <c r="D239" s="679"/>
      <c r="E239" s="679"/>
      <c r="F239" s="614"/>
      <c r="G239" s="614"/>
      <c r="H239" s="614"/>
      <c r="I239" s="614"/>
      <c r="Y239" s="625"/>
    </row>
    <row r="240" spans="4:25" s="476" customFormat="1" ht="13.15" customHeight="1" x14ac:dyDescent="0.2">
      <c r="D240" s="679"/>
      <c r="E240" s="679"/>
      <c r="F240" s="614"/>
      <c r="G240" s="614"/>
      <c r="H240" s="614"/>
      <c r="I240" s="614"/>
      <c r="Y240" s="625"/>
    </row>
    <row r="241" spans="4:25" s="476" customFormat="1" ht="13.15" customHeight="1" x14ac:dyDescent="0.2">
      <c r="D241" s="679"/>
      <c r="E241" s="679"/>
      <c r="F241" s="614"/>
      <c r="G241" s="614"/>
      <c r="H241" s="614"/>
      <c r="I241" s="614"/>
      <c r="Y241" s="625"/>
    </row>
    <row r="242" spans="4:25" s="476" customFormat="1" ht="13.15" customHeight="1" x14ac:dyDescent="0.2">
      <c r="D242" s="679"/>
      <c r="E242" s="679"/>
      <c r="F242" s="614"/>
      <c r="G242" s="614"/>
      <c r="H242" s="614"/>
      <c r="I242" s="614"/>
      <c r="Y242" s="625"/>
    </row>
    <row r="243" spans="4:25" s="476" customFormat="1" ht="13.15" customHeight="1" x14ac:dyDescent="0.2">
      <c r="D243" s="679"/>
      <c r="E243" s="679"/>
      <c r="F243" s="614"/>
      <c r="G243" s="614"/>
      <c r="H243" s="614"/>
      <c r="I243" s="614"/>
      <c r="Y243" s="625"/>
    </row>
    <row r="244" spans="4:25" s="476" customFormat="1" ht="13.15" customHeight="1" x14ac:dyDescent="0.2">
      <c r="D244" s="679"/>
      <c r="E244" s="679"/>
      <c r="F244" s="614"/>
      <c r="G244" s="614"/>
      <c r="H244" s="614"/>
      <c r="I244" s="614"/>
      <c r="Y244" s="625"/>
    </row>
    <row r="245" spans="4:25" s="476" customFormat="1" ht="13.15" customHeight="1" x14ac:dyDescent="0.2">
      <c r="D245" s="679"/>
      <c r="E245" s="679"/>
      <c r="F245" s="614"/>
      <c r="G245" s="614"/>
      <c r="H245" s="614"/>
      <c r="I245" s="614"/>
      <c r="Y245" s="625"/>
    </row>
    <row r="246" spans="4:25" s="476" customFormat="1" ht="13.15" customHeight="1" x14ac:dyDescent="0.2">
      <c r="D246" s="679"/>
      <c r="E246" s="679"/>
      <c r="F246" s="614"/>
      <c r="G246" s="614"/>
      <c r="H246" s="614"/>
      <c r="I246" s="614"/>
      <c r="Y246" s="625"/>
    </row>
    <row r="247" spans="4:25" s="476" customFormat="1" ht="13.15" customHeight="1" x14ac:dyDescent="0.2">
      <c r="D247" s="679"/>
      <c r="E247" s="679"/>
      <c r="F247" s="614"/>
      <c r="G247" s="614"/>
      <c r="H247" s="614"/>
      <c r="I247" s="614"/>
      <c r="Y247" s="625"/>
    </row>
    <row r="248" spans="4:25" s="476" customFormat="1" ht="13.15" customHeight="1" x14ac:dyDescent="0.2">
      <c r="D248" s="679"/>
      <c r="E248" s="679"/>
      <c r="F248" s="614"/>
      <c r="G248" s="614"/>
      <c r="H248" s="614"/>
      <c r="I248" s="614"/>
      <c r="Y248" s="625"/>
    </row>
    <row r="249" spans="4:25" s="476" customFormat="1" ht="13.15" customHeight="1" x14ac:dyDescent="0.2">
      <c r="D249" s="679"/>
      <c r="E249" s="679"/>
      <c r="F249" s="614"/>
      <c r="G249" s="614"/>
      <c r="H249" s="614"/>
      <c r="I249" s="614"/>
      <c r="Y249" s="625"/>
    </row>
    <row r="250" spans="4:25" s="476" customFormat="1" ht="13.15" customHeight="1" x14ac:dyDescent="0.2">
      <c r="D250" s="679"/>
      <c r="E250" s="679"/>
      <c r="F250" s="614"/>
      <c r="G250" s="614"/>
      <c r="H250" s="614"/>
      <c r="I250" s="614"/>
      <c r="Y250" s="625"/>
    </row>
    <row r="251" spans="4:25" s="476" customFormat="1" ht="13.15" customHeight="1" x14ac:dyDescent="0.2">
      <c r="D251" s="679"/>
      <c r="E251" s="679"/>
      <c r="F251" s="614"/>
      <c r="G251" s="614"/>
      <c r="H251" s="614"/>
      <c r="I251" s="614"/>
      <c r="Y251" s="625"/>
    </row>
    <row r="252" spans="4:25" s="476" customFormat="1" ht="13.15" customHeight="1" x14ac:dyDescent="0.2">
      <c r="D252" s="679"/>
      <c r="E252" s="679"/>
      <c r="F252" s="614"/>
      <c r="G252" s="614"/>
      <c r="H252" s="614"/>
      <c r="I252" s="614"/>
      <c r="Y252" s="625"/>
    </row>
    <row r="253" spans="4:25" s="476" customFormat="1" ht="13.15" customHeight="1" x14ac:dyDescent="0.2">
      <c r="D253" s="679"/>
      <c r="E253" s="679"/>
      <c r="F253" s="614"/>
      <c r="G253" s="614"/>
      <c r="H253" s="614"/>
      <c r="I253" s="614"/>
      <c r="Y253" s="625"/>
    </row>
    <row r="254" spans="4:25" s="476" customFormat="1" ht="13.15" customHeight="1" x14ac:dyDescent="0.2">
      <c r="D254" s="679"/>
      <c r="E254" s="679"/>
      <c r="F254" s="614"/>
      <c r="G254" s="614"/>
      <c r="H254" s="614"/>
      <c r="I254" s="614"/>
      <c r="Y254" s="625"/>
    </row>
    <row r="255" spans="4:25" s="476" customFormat="1" ht="13.15" customHeight="1" x14ac:dyDescent="0.2">
      <c r="D255" s="679"/>
      <c r="E255" s="679"/>
      <c r="F255" s="614"/>
      <c r="G255" s="614"/>
      <c r="H255" s="614"/>
      <c r="I255" s="614"/>
      <c r="Y255" s="625"/>
    </row>
    <row r="256" spans="4:25" s="476" customFormat="1" ht="13.15" customHeight="1" x14ac:dyDescent="0.2">
      <c r="D256" s="679"/>
      <c r="E256" s="679"/>
      <c r="F256" s="614"/>
      <c r="G256" s="614"/>
      <c r="H256" s="614"/>
      <c r="I256" s="614"/>
      <c r="Y256" s="625"/>
    </row>
    <row r="257" spans="4:25" s="476" customFormat="1" ht="13.15" customHeight="1" x14ac:dyDescent="0.2">
      <c r="D257" s="679"/>
      <c r="E257" s="679"/>
      <c r="F257" s="614"/>
      <c r="G257" s="614"/>
      <c r="H257" s="614"/>
      <c r="I257" s="614"/>
      <c r="Y257" s="625"/>
    </row>
    <row r="258" spans="4:25" s="476" customFormat="1" ht="13.15" customHeight="1" x14ac:dyDescent="0.2">
      <c r="D258" s="679"/>
      <c r="E258" s="679"/>
      <c r="F258" s="614"/>
      <c r="G258" s="614"/>
      <c r="H258" s="614"/>
      <c r="I258" s="614"/>
      <c r="Y258" s="625"/>
    </row>
    <row r="259" spans="4:25" s="476" customFormat="1" ht="13.15" customHeight="1" x14ac:dyDescent="0.2">
      <c r="D259" s="679"/>
      <c r="E259" s="679"/>
      <c r="F259" s="614"/>
      <c r="G259" s="614"/>
      <c r="H259" s="614"/>
      <c r="I259" s="614"/>
      <c r="Y259" s="625"/>
    </row>
    <row r="260" spans="4:25" s="476" customFormat="1" ht="13.15" customHeight="1" x14ac:dyDescent="0.2">
      <c r="D260" s="679"/>
      <c r="E260" s="679"/>
      <c r="F260" s="614"/>
      <c r="G260" s="614"/>
      <c r="H260" s="614"/>
      <c r="I260" s="614"/>
      <c r="Y260" s="625"/>
    </row>
    <row r="261" spans="4:25" s="476" customFormat="1" ht="13.15" customHeight="1" x14ac:dyDescent="0.2">
      <c r="D261" s="679"/>
      <c r="E261" s="679"/>
      <c r="F261" s="614"/>
      <c r="G261" s="614"/>
      <c r="H261" s="614"/>
      <c r="I261" s="614"/>
      <c r="Y261" s="625"/>
    </row>
    <row r="262" spans="4:25" s="476" customFormat="1" ht="13.15" customHeight="1" x14ac:dyDescent="0.2">
      <c r="D262" s="679"/>
      <c r="E262" s="679"/>
      <c r="F262" s="614"/>
      <c r="G262" s="614"/>
      <c r="H262" s="614"/>
      <c r="I262" s="614"/>
      <c r="Y262" s="625"/>
    </row>
    <row r="263" spans="4:25" s="476" customFormat="1" ht="13.15" customHeight="1" x14ac:dyDescent="0.2">
      <c r="D263" s="679"/>
      <c r="E263" s="679"/>
      <c r="F263" s="614"/>
      <c r="G263" s="614"/>
      <c r="H263" s="614"/>
      <c r="I263" s="614"/>
      <c r="Y263" s="625"/>
    </row>
    <row r="264" spans="4:25" s="476" customFormat="1" ht="13.15" customHeight="1" x14ac:dyDescent="0.2">
      <c r="D264" s="679"/>
      <c r="E264" s="679"/>
      <c r="F264" s="614"/>
      <c r="G264" s="614"/>
      <c r="H264" s="614"/>
      <c r="I264" s="614"/>
      <c r="Y264" s="625"/>
    </row>
    <row r="265" spans="4:25" s="476" customFormat="1" ht="13.15" customHeight="1" x14ac:dyDescent="0.2">
      <c r="D265" s="679"/>
      <c r="E265" s="679"/>
      <c r="F265" s="614"/>
      <c r="G265" s="614"/>
      <c r="H265" s="614"/>
      <c r="I265" s="614"/>
      <c r="Y265" s="625"/>
    </row>
    <row r="266" spans="4:25" s="476" customFormat="1" ht="13.15" customHeight="1" x14ac:dyDescent="0.2">
      <c r="D266" s="679"/>
      <c r="E266" s="679"/>
      <c r="F266" s="614"/>
      <c r="G266" s="614"/>
      <c r="H266" s="614"/>
      <c r="I266" s="614"/>
      <c r="Y266" s="625"/>
    </row>
    <row r="267" spans="4:25" s="476" customFormat="1" ht="13.15" customHeight="1" x14ac:dyDescent="0.2">
      <c r="D267" s="679"/>
      <c r="E267" s="679"/>
      <c r="F267" s="614"/>
      <c r="G267" s="614"/>
      <c r="H267" s="614"/>
      <c r="I267" s="614"/>
      <c r="Y267" s="625"/>
    </row>
    <row r="268" spans="4:25" s="476" customFormat="1" ht="13.15" customHeight="1" x14ac:dyDescent="0.2">
      <c r="D268" s="679"/>
      <c r="E268" s="679"/>
      <c r="F268" s="614"/>
      <c r="G268" s="614"/>
      <c r="H268" s="614"/>
      <c r="I268" s="614"/>
      <c r="Y268" s="625"/>
    </row>
    <row r="269" spans="4:25" s="476" customFormat="1" ht="13.15" customHeight="1" x14ac:dyDescent="0.2">
      <c r="D269" s="679"/>
      <c r="E269" s="679"/>
      <c r="F269" s="614"/>
      <c r="G269" s="614"/>
      <c r="H269" s="614"/>
      <c r="I269" s="614"/>
      <c r="Y269" s="625"/>
    </row>
    <row r="270" spans="4:25" s="476" customFormat="1" ht="13.15" customHeight="1" x14ac:dyDescent="0.2">
      <c r="D270" s="679"/>
      <c r="E270" s="679"/>
      <c r="F270" s="614"/>
      <c r="G270" s="614"/>
      <c r="H270" s="614"/>
      <c r="I270" s="614"/>
      <c r="Y270" s="625"/>
    </row>
    <row r="271" spans="4:25" s="476" customFormat="1" ht="13.15" customHeight="1" x14ac:dyDescent="0.2">
      <c r="D271" s="679"/>
      <c r="E271" s="679"/>
      <c r="F271" s="614"/>
      <c r="G271" s="614"/>
      <c r="H271" s="614"/>
      <c r="I271" s="614"/>
      <c r="Y271" s="625"/>
    </row>
    <row r="272" spans="4:25" s="476" customFormat="1" ht="13.15" customHeight="1" x14ac:dyDescent="0.2">
      <c r="D272" s="679"/>
      <c r="E272" s="679"/>
      <c r="F272" s="614"/>
      <c r="G272" s="614"/>
      <c r="H272" s="614"/>
      <c r="I272" s="614"/>
      <c r="Y272" s="625"/>
    </row>
    <row r="273" spans="4:25" s="476" customFormat="1" ht="13.15" customHeight="1" x14ac:dyDescent="0.2">
      <c r="D273" s="679"/>
      <c r="E273" s="679"/>
      <c r="F273" s="614"/>
      <c r="G273" s="614"/>
      <c r="H273" s="614"/>
      <c r="I273" s="614"/>
      <c r="Y273" s="625"/>
    </row>
    <row r="274" spans="4:25" s="476" customFormat="1" ht="13.15" customHeight="1" x14ac:dyDescent="0.2">
      <c r="D274" s="679"/>
      <c r="E274" s="679"/>
      <c r="F274" s="614"/>
      <c r="G274" s="614"/>
      <c r="H274" s="614"/>
      <c r="I274" s="614"/>
      <c r="Y274" s="625"/>
    </row>
    <row r="275" spans="4:25" s="476" customFormat="1" ht="13.15" customHeight="1" x14ac:dyDescent="0.2">
      <c r="D275" s="679"/>
      <c r="E275" s="679"/>
      <c r="F275" s="614"/>
      <c r="G275" s="614"/>
      <c r="H275" s="614"/>
      <c r="I275" s="614"/>
      <c r="Y275" s="625"/>
    </row>
    <row r="276" spans="4:25" s="476" customFormat="1" ht="13.15" customHeight="1" x14ac:dyDescent="0.2">
      <c r="D276" s="679"/>
      <c r="E276" s="679"/>
      <c r="F276" s="614"/>
      <c r="G276" s="614"/>
      <c r="H276" s="614"/>
      <c r="I276" s="614"/>
      <c r="Y276" s="625"/>
    </row>
    <row r="277" spans="4:25" s="476" customFormat="1" ht="13.15" customHeight="1" x14ac:dyDescent="0.2">
      <c r="D277" s="679"/>
      <c r="E277" s="679"/>
      <c r="F277" s="614"/>
      <c r="G277" s="614"/>
      <c r="H277" s="614"/>
      <c r="I277" s="614"/>
      <c r="Y277" s="625"/>
    </row>
    <row r="278" spans="4:25" s="476" customFormat="1" ht="13.15" customHeight="1" x14ac:dyDescent="0.2">
      <c r="D278" s="679"/>
      <c r="E278" s="679"/>
      <c r="F278" s="614"/>
      <c r="G278" s="614"/>
      <c r="H278" s="614"/>
      <c r="I278" s="614"/>
      <c r="Y278" s="625"/>
    </row>
    <row r="279" spans="4:25" s="476" customFormat="1" ht="13.15" customHeight="1" x14ac:dyDescent="0.2">
      <c r="D279" s="679"/>
      <c r="E279" s="679"/>
      <c r="F279" s="614"/>
      <c r="G279" s="614"/>
      <c r="H279" s="614"/>
      <c r="I279" s="614"/>
      <c r="Y279" s="625"/>
    </row>
    <row r="280" spans="4:25" s="476" customFormat="1" ht="13.15" customHeight="1" x14ac:dyDescent="0.2">
      <c r="D280" s="679"/>
      <c r="E280" s="679"/>
      <c r="F280" s="614"/>
      <c r="G280" s="614"/>
      <c r="H280" s="614"/>
      <c r="I280" s="614"/>
      <c r="Y280" s="625"/>
    </row>
    <row r="281" spans="4:25" s="476" customFormat="1" ht="13.15" customHeight="1" x14ac:dyDescent="0.2">
      <c r="D281" s="679"/>
      <c r="E281" s="679"/>
      <c r="F281" s="614"/>
      <c r="G281" s="614"/>
      <c r="H281" s="614"/>
      <c r="I281" s="614"/>
      <c r="Y281" s="625"/>
    </row>
    <row r="282" spans="4:25" s="476" customFormat="1" ht="13.15" customHeight="1" x14ac:dyDescent="0.2">
      <c r="D282" s="679"/>
      <c r="E282" s="679"/>
      <c r="F282" s="614"/>
      <c r="G282" s="614"/>
      <c r="H282" s="614"/>
      <c r="I282" s="614"/>
      <c r="Y282" s="625"/>
    </row>
    <row r="283" spans="4:25" s="476" customFormat="1" ht="13.15" customHeight="1" x14ac:dyDescent="0.2">
      <c r="D283" s="679"/>
      <c r="E283" s="679"/>
      <c r="F283" s="614"/>
      <c r="G283" s="614"/>
      <c r="H283" s="614"/>
      <c r="I283" s="614"/>
      <c r="Y283" s="625"/>
    </row>
    <row r="284" spans="4:25" s="476" customFormat="1" ht="13.15" customHeight="1" x14ac:dyDescent="0.2">
      <c r="D284" s="679"/>
      <c r="E284" s="679"/>
      <c r="F284" s="614"/>
      <c r="G284" s="614"/>
      <c r="H284" s="614"/>
      <c r="I284" s="614"/>
      <c r="Y284" s="625"/>
    </row>
    <row r="285" spans="4:25" s="476" customFormat="1" ht="13.15" customHeight="1" x14ac:dyDescent="0.2">
      <c r="D285" s="679"/>
      <c r="E285" s="679"/>
      <c r="F285" s="614"/>
      <c r="G285" s="614"/>
      <c r="H285" s="614"/>
      <c r="I285" s="614"/>
      <c r="Y285" s="625"/>
    </row>
    <row r="286" spans="4:25" s="476" customFormat="1" ht="13.15" customHeight="1" x14ac:dyDescent="0.2">
      <c r="D286" s="679"/>
      <c r="E286" s="679"/>
      <c r="F286" s="614"/>
      <c r="G286" s="614"/>
      <c r="H286" s="614"/>
      <c r="I286" s="614"/>
      <c r="Y286" s="625"/>
    </row>
    <row r="287" spans="4:25" s="476" customFormat="1" ht="13.15" customHeight="1" x14ac:dyDescent="0.2">
      <c r="D287" s="679"/>
      <c r="E287" s="679"/>
      <c r="F287" s="614"/>
      <c r="G287" s="614"/>
      <c r="H287" s="614"/>
      <c r="I287" s="614"/>
      <c r="Y287" s="625"/>
    </row>
    <row r="288" spans="4:25" s="476" customFormat="1" ht="13.15" customHeight="1" x14ac:dyDescent="0.2">
      <c r="D288" s="679"/>
      <c r="E288" s="679"/>
      <c r="F288" s="614"/>
      <c r="G288" s="614"/>
      <c r="H288" s="614"/>
      <c r="I288" s="614"/>
      <c r="Y288" s="625"/>
    </row>
    <row r="289" spans="4:25" s="476" customFormat="1" ht="13.15" customHeight="1" x14ac:dyDescent="0.2">
      <c r="D289" s="679"/>
      <c r="E289" s="679"/>
      <c r="F289" s="614"/>
      <c r="G289" s="614"/>
      <c r="H289" s="614"/>
      <c r="I289" s="614"/>
      <c r="Y289" s="625"/>
    </row>
    <row r="290" spans="4:25" s="476" customFormat="1" ht="13.15" customHeight="1" x14ac:dyDescent="0.2">
      <c r="D290" s="679"/>
      <c r="E290" s="679"/>
      <c r="F290" s="614"/>
      <c r="G290" s="614"/>
      <c r="H290" s="614"/>
      <c r="I290" s="614"/>
      <c r="Y290" s="625"/>
    </row>
    <row r="291" spans="4:25" s="476" customFormat="1" ht="13.15" customHeight="1" x14ac:dyDescent="0.2">
      <c r="D291" s="679"/>
      <c r="E291" s="679"/>
      <c r="F291" s="614"/>
      <c r="G291" s="614"/>
      <c r="H291" s="614"/>
      <c r="I291" s="614"/>
      <c r="Y291" s="625"/>
    </row>
    <row r="292" spans="4:25" s="476" customFormat="1" ht="13.15" customHeight="1" x14ac:dyDescent="0.2">
      <c r="D292" s="679"/>
      <c r="E292" s="679"/>
      <c r="F292" s="614"/>
      <c r="G292" s="614"/>
      <c r="H292" s="614"/>
      <c r="I292" s="614"/>
      <c r="Y292" s="625"/>
    </row>
    <row r="293" spans="4:25" s="476" customFormat="1" ht="13.15" customHeight="1" x14ac:dyDescent="0.2">
      <c r="D293" s="679"/>
      <c r="E293" s="679"/>
      <c r="F293" s="614"/>
      <c r="G293" s="614"/>
      <c r="H293" s="614"/>
      <c r="I293" s="614"/>
      <c r="Y293" s="625"/>
    </row>
    <row r="294" spans="4:25" s="476" customFormat="1" ht="13.15" customHeight="1" x14ac:dyDescent="0.2">
      <c r="D294" s="679"/>
      <c r="E294" s="679"/>
      <c r="F294" s="614"/>
      <c r="G294" s="614"/>
      <c r="H294" s="614"/>
      <c r="I294" s="614"/>
      <c r="Y294" s="625"/>
    </row>
    <row r="295" spans="4:25" s="476" customFormat="1" ht="13.15" customHeight="1" x14ac:dyDescent="0.2">
      <c r="D295" s="679"/>
      <c r="E295" s="679"/>
      <c r="F295" s="614"/>
      <c r="G295" s="614"/>
      <c r="H295" s="614"/>
      <c r="I295" s="614"/>
      <c r="Y295" s="625"/>
    </row>
    <row r="296" spans="4:25" s="476" customFormat="1" ht="13.15" customHeight="1" x14ac:dyDescent="0.2">
      <c r="D296" s="679"/>
      <c r="E296" s="679"/>
      <c r="F296" s="614"/>
      <c r="G296" s="614"/>
      <c r="H296" s="614"/>
      <c r="I296" s="614"/>
      <c r="Y296" s="625"/>
    </row>
    <row r="297" spans="4:25" s="476" customFormat="1" ht="13.15" customHeight="1" x14ac:dyDescent="0.2">
      <c r="D297" s="679"/>
      <c r="E297" s="679"/>
      <c r="F297" s="614"/>
      <c r="G297" s="614"/>
      <c r="H297" s="614"/>
      <c r="I297" s="614"/>
      <c r="Y297" s="625"/>
    </row>
    <row r="298" spans="4:25" s="476" customFormat="1" ht="13.15" customHeight="1" x14ac:dyDescent="0.2">
      <c r="D298" s="679"/>
      <c r="E298" s="679"/>
      <c r="F298" s="614"/>
      <c r="G298" s="614"/>
      <c r="H298" s="614"/>
      <c r="I298" s="614"/>
      <c r="Y298" s="625"/>
    </row>
    <row r="299" spans="4:25" s="476" customFormat="1" ht="13.15" customHeight="1" x14ac:dyDescent="0.2">
      <c r="D299" s="679"/>
      <c r="E299" s="679"/>
      <c r="F299" s="614"/>
      <c r="G299" s="614"/>
      <c r="H299" s="614"/>
      <c r="I299" s="614"/>
      <c r="Y299" s="625"/>
    </row>
    <row r="300" spans="4:25" s="476" customFormat="1" ht="13.15" customHeight="1" x14ac:dyDescent="0.2">
      <c r="D300" s="679"/>
      <c r="E300" s="679"/>
      <c r="F300" s="614"/>
      <c r="G300" s="614"/>
      <c r="H300" s="614"/>
      <c r="I300" s="614"/>
      <c r="Y300" s="625"/>
    </row>
    <row r="301" spans="4:25" s="476" customFormat="1" ht="13.15" customHeight="1" x14ac:dyDescent="0.2">
      <c r="D301" s="679"/>
      <c r="E301" s="679"/>
      <c r="F301" s="614"/>
      <c r="G301" s="614"/>
      <c r="H301" s="614"/>
      <c r="I301" s="614"/>
      <c r="Y301" s="625"/>
    </row>
    <row r="302" spans="4:25" s="476" customFormat="1" ht="13.15" customHeight="1" x14ac:dyDescent="0.2">
      <c r="D302" s="679"/>
      <c r="E302" s="679"/>
      <c r="F302" s="614"/>
      <c r="G302" s="614"/>
      <c r="H302" s="614"/>
      <c r="I302" s="614"/>
      <c r="Y302" s="625"/>
    </row>
    <row r="303" spans="4:25" s="476" customFormat="1" ht="13.15" customHeight="1" x14ac:dyDescent="0.2">
      <c r="D303" s="679"/>
      <c r="E303" s="679"/>
      <c r="F303" s="614"/>
      <c r="G303" s="614"/>
      <c r="H303" s="614"/>
      <c r="I303" s="614"/>
      <c r="Y303" s="625"/>
    </row>
    <row r="304" spans="4:25" s="476" customFormat="1" ht="13.15" customHeight="1" x14ac:dyDescent="0.2">
      <c r="D304" s="679"/>
      <c r="E304" s="679"/>
      <c r="F304" s="614"/>
      <c r="G304" s="614"/>
      <c r="H304" s="614"/>
      <c r="I304" s="614"/>
      <c r="Y304" s="625"/>
    </row>
    <row r="305" spans="4:25" s="476" customFormat="1" ht="13.15" customHeight="1" x14ac:dyDescent="0.2">
      <c r="D305" s="679"/>
      <c r="E305" s="679"/>
      <c r="F305" s="614"/>
      <c r="G305" s="614"/>
      <c r="H305" s="614"/>
      <c r="I305" s="614"/>
      <c r="Y305" s="625"/>
    </row>
    <row r="306" spans="4:25" s="476" customFormat="1" ht="13.15" customHeight="1" x14ac:dyDescent="0.2">
      <c r="D306" s="679"/>
      <c r="E306" s="679"/>
      <c r="F306" s="614"/>
      <c r="G306" s="614"/>
      <c r="H306" s="614"/>
      <c r="I306" s="614"/>
      <c r="Y306" s="625"/>
    </row>
    <row r="307" spans="4:25" s="476" customFormat="1" ht="13.15" customHeight="1" x14ac:dyDescent="0.2">
      <c r="D307" s="679"/>
      <c r="E307" s="679"/>
      <c r="F307" s="614"/>
      <c r="G307" s="614"/>
      <c r="H307" s="614"/>
      <c r="I307" s="614"/>
      <c r="Y307" s="625"/>
    </row>
    <row r="308" spans="4:25" s="476" customFormat="1" ht="13.15" customHeight="1" x14ac:dyDescent="0.2">
      <c r="D308" s="679"/>
      <c r="E308" s="679"/>
      <c r="F308" s="614"/>
      <c r="G308" s="614"/>
      <c r="H308" s="614"/>
      <c r="I308" s="614"/>
      <c r="Y308" s="625"/>
    </row>
    <row r="309" spans="4:25" s="476" customFormat="1" ht="13.15" customHeight="1" x14ac:dyDescent="0.2">
      <c r="D309" s="679"/>
      <c r="E309" s="679"/>
      <c r="F309" s="614"/>
      <c r="G309" s="614"/>
      <c r="H309" s="614"/>
      <c r="I309" s="614"/>
      <c r="Y309" s="625"/>
    </row>
    <row r="310" spans="4:25" s="476" customFormat="1" ht="13.15" customHeight="1" x14ac:dyDescent="0.2">
      <c r="D310" s="679"/>
      <c r="E310" s="679"/>
      <c r="F310" s="614"/>
      <c r="G310" s="614"/>
      <c r="H310" s="614"/>
      <c r="I310" s="614"/>
      <c r="Y310" s="625"/>
    </row>
    <row r="311" spans="4:25" s="476" customFormat="1" ht="13.15" customHeight="1" x14ac:dyDescent="0.2">
      <c r="D311" s="679"/>
      <c r="E311" s="679"/>
      <c r="F311" s="614"/>
      <c r="G311" s="614"/>
      <c r="H311" s="614"/>
      <c r="I311" s="614"/>
      <c r="Y311" s="625"/>
    </row>
    <row r="312" spans="4:25" s="476" customFormat="1" ht="13.15" customHeight="1" x14ac:dyDescent="0.2">
      <c r="D312" s="679"/>
      <c r="E312" s="679"/>
      <c r="F312" s="614"/>
      <c r="G312" s="614"/>
      <c r="H312" s="614"/>
      <c r="I312" s="614"/>
      <c r="Y312" s="625"/>
    </row>
    <row r="313" spans="4:25" s="476" customFormat="1" ht="13.15" customHeight="1" x14ac:dyDescent="0.2">
      <c r="D313" s="679"/>
      <c r="E313" s="679"/>
      <c r="F313" s="614"/>
      <c r="G313" s="614"/>
      <c r="H313" s="614"/>
      <c r="I313" s="614"/>
      <c r="Y313" s="625"/>
    </row>
    <row r="314" spans="4:25" s="476" customFormat="1" ht="13.15" customHeight="1" x14ac:dyDescent="0.2">
      <c r="D314" s="679"/>
      <c r="E314" s="679"/>
      <c r="F314" s="614"/>
      <c r="G314" s="614"/>
      <c r="H314" s="614"/>
      <c r="I314" s="614"/>
      <c r="Y314" s="625"/>
    </row>
    <row r="315" spans="4:25" s="476" customFormat="1" ht="13.15" customHeight="1" x14ac:dyDescent="0.2">
      <c r="D315" s="679"/>
      <c r="E315" s="679"/>
      <c r="F315" s="614"/>
      <c r="G315" s="614"/>
      <c r="H315" s="614"/>
      <c r="I315" s="614"/>
      <c r="Y315" s="625"/>
    </row>
    <row r="316" spans="4:25" s="476" customFormat="1" ht="13.15" customHeight="1" x14ac:dyDescent="0.2">
      <c r="D316" s="679"/>
      <c r="E316" s="679"/>
      <c r="F316" s="614"/>
      <c r="G316" s="614"/>
      <c r="H316" s="614"/>
      <c r="I316" s="614"/>
      <c r="Y316" s="625"/>
    </row>
    <row r="317" spans="4:25" s="476" customFormat="1" ht="13.15" customHeight="1" x14ac:dyDescent="0.2">
      <c r="D317" s="679"/>
      <c r="E317" s="679"/>
      <c r="F317" s="614"/>
      <c r="G317" s="614"/>
      <c r="H317" s="614"/>
      <c r="I317" s="614"/>
      <c r="Y317" s="625"/>
    </row>
    <row r="318" spans="4:25" s="476" customFormat="1" ht="13.15" customHeight="1" x14ac:dyDescent="0.2">
      <c r="D318" s="679"/>
      <c r="E318" s="679"/>
      <c r="F318" s="614"/>
      <c r="G318" s="614"/>
      <c r="H318" s="614"/>
      <c r="I318" s="614"/>
      <c r="Y318" s="625"/>
    </row>
    <row r="319" spans="4:25" s="476" customFormat="1" ht="13.15" customHeight="1" x14ac:dyDescent="0.2">
      <c r="D319" s="679"/>
      <c r="E319" s="679"/>
      <c r="F319" s="614"/>
      <c r="G319" s="614"/>
      <c r="H319" s="614"/>
      <c r="I319" s="614"/>
      <c r="Y319" s="625"/>
    </row>
    <row r="320" spans="4:25" s="476" customFormat="1" ht="13.15" customHeight="1" x14ac:dyDescent="0.2">
      <c r="D320" s="679"/>
      <c r="E320" s="679"/>
      <c r="F320" s="614"/>
      <c r="G320" s="614"/>
      <c r="H320" s="614"/>
      <c r="I320" s="614"/>
      <c r="Y320" s="625"/>
    </row>
    <row r="321" spans="4:25" s="476" customFormat="1" ht="13.15" customHeight="1" x14ac:dyDescent="0.2">
      <c r="D321" s="679"/>
      <c r="E321" s="679"/>
      <c r="F321" s="614"/>
      <c r="G321" s="614"/>
      <c r="H321" s="614"/>
      <c r="I321" s="614"/>
      <c r="Y321" s="625"/>
    </row>
    <row r="322" spans="4:25" s="476" customFormat="1" ht="13.15" customHeight="1" x14ac:dyDescent="0.2">
      <c r="D322" s="679"/>
      <c r="E322" s="679"/>
      <c r="F322" s="614"/>
      <c r="G322" s="614"/>
      <c r="H322" s="614"/>
      <c r="I322" s="614"/>
      <c r="Y322" s="625"/>
    </row>
    <row r="323" spans="4:25" s="476" customFormat="1" ht="13.15" customHeight="1" x14ac:dyDescent="0.2">
      <c r="D323" s="679"/>
      <c r="E323" s="679"/>
      <c r="F323" s="614"/>
      <c r="G323" s="614"/>
      <c r="H323" s="614"/>
      <c r="I323" s="614"/>
      <c r="Y323" s="625"/>
    </row>
    <row r="324" spans="4:25" s="476" customFormat="1" ht="13.15" customHeight="1" x14ac:dyDescent="0.2">
      <c r="D324" s="679"/>
      <c r="E324" s="679"/>
      <c r="F324" s="614"/>
      <c r="G324" s="614"/>
      <c r="H324" s="614"/>
      <c r="I324" s="614"/>
      <c r="Y324" s="625"/>
    </row>
    <row r="325" spans="4:25" s="476" customFormat="1" ht="13.15" customHeight="1" x14ac:dyDescent="0.2">
      <c r="D325" s="679"/>
      <c r="E325" s="679"/>
      <c r="F325" s="614"/>
      <c r="G325" s="614"/>
      <c r="H325" s="614"/>
      <c r="I325" s="614"/>
      <c r="Y325" s="625"/>
    </row>
    <row r="326" spans="4:25" s="476" customFormat="1" ht="13.15" customHeight="1" x14ac:dyDescent="0.2">
      <c r="D326" s="679"/>
      <c r="E326" s="679"/>
      <c r="F326" s="614"/>
      <c r="G326" s="614"/>
      <c r="H326" s="614"/>
      <c r="I326" s="614"/>
      <c r="Y326" s="625"/>
    </row>
    <row r="327" spans="4:25" s="476" customFormat="1" ht="13.15" customHeight="1" x14ac:dyDescent="0.2">
      <c r="D327" s="679"/>
      <c r="E327" s="679"/>
      <c r="F327" s="614"/>
      <c r="G327" s="614"/>
      <c r="H327" s="614"/>
      <c r="I327" s="614"/>
      <c r="Y327" s="625"/>
    </row>
    <row r="328" spans="4:25" s="476" customFormat="1" ht="13.15" customHeight="1" x14ac:dyDescent="0.2">
      <c r="D328" s="679"/>
      <c r="E328" s="679"/>
      <c r="F328" s="614"/>
      <c r="G328" s="614"/>
      <c r="H328" s="614"/>
      <c r="I328" s="614"/>
      <c r="Y328" s="625"/>
    </row>
    <row r="329" spans="4:25" s="476" customFormat="1" ht="13.15" customHeight="1" x14ac:dyDescent="0.2">
      <c r="D329" s="679"/>
      <c r="E329" s="679"/>
      <c r="F329" s="614"/>
      <c r="G329" s="614"/>
      <c r="H329" s="614"/>
      <c r="I329" s="614"/>
      <c r="Y329" s="625"/>
    </row>
    <row r="330" spans="4:25" s="476" customFormat="1" ht="13.15" customHeight="1" x14ac:dyDescent="0.2">
      <c r="D330" s="679"/>
      <c r="E330" s="679"/>
      <c r="F330" s="614"/>
      <c r="G330" s="614"/>
      <c r="H330" s="614"/>
      <c r="I330" s="614"/>
      <c r="Y330" s="625"/>
    </row>
    <row r="331" spans="4:25" s="476" customFormat="1" ht="13.15" customHeight="1" x14ac:dyDescent="0.2">
      <c r="D331" s="679"/>
      <c r="E331" s="679"/>
      <c r="F331" s="614"/>
      <c r="G331" s="614"/>
      <c r="H331" s="614"/>
      <c r="I331" s="614"/>
      <c r="Y331" s="625"/>
    </row>
    <row r="332" spans="4:25" s="476" customFormat="1" ht="13.15" customHeight="1" x14ac:dyDescent="0.2">
      <c r="D332" s="679"/>
      <c r="E332" s="679"/>
      <c r="F332" s="614"/>
      <c r="G332" s="614"/>
      <c r="H332" s="614"/>
      <c r="I332" s="614"/>
      <c r="Y332" s="625"/>
    </row>
    <row r="333" spans="4:25" s="476" customFormat="1" ht="13.15" customHeight="1" x14ac:dyDescent="0.2">
      <c r="D333" s="679"/>
      <c r="E333" s="679"/>
      <c r="F333" s="614"/>
      <c r="G333" s="614"/>
      <c r="H333" s="614"/>
      <c r="I333" s="614"/>
      <c r="Y333" s="625"/>
    </row>
    <row r="334" spans="4:25" s="476" customFormat="1" ht="13.15" customHeight="1" x14ac:dyDescent="0.2">
      <c r="D334" s="679"/>
      <c r="E334" s="679"/>
      <c r="F334" s="614"/>
      <c r="G334" s="614"/>
      <c r="H334" s="614"/>
      <c r="I334" s="614"/>
      <c r="Y334" s="625"/>
    </row>
    <row r="335" spans="4:25" s="476" customFormat="1" ht="13.15" customHeight="1" x14ac:dyDescent="0.2">
      <c r="D335" s="679"/>
      <c r="E335" s="679"/>
      <c r="F335" s="614"/>
      <c r="G335" s="614"/>
      <c r="H335" s="614"/>
      <c r="I335" s="614"/>
      <c r="Y335" s="625"/>
    </row>
    <row r="336" spans="4:25" s="476" customFormat="1" ht="13.15" customHeight="1" x14ac:dyDescent="0.2">
      <c r="D336" s="679"/>
      <c r="E336" s="679"/>
      <c r="F336" s="614"/>
      <c r="G336" s="614"/>
      <c r="H336" s="614"/>
      <c r="I336" s="614"/>
      <c r="Y336" s="625"/>
    </row>
    <row r="337" spans="4:25" s="476" customFormat="1" ht="13.15" customHeight="1" x14ac:dyDescent="0.2">
      <c r="D337" s="679"/>
      <c r="E337" s="679"/>
      <c r="F337" s="614"/>
      <c r="G337" s="614"/>
      <c r="H337" s="614"/>
      <c r="I337" s="614"/>
      <c r="Y337" s="625"/>
    </row>
    <row r="338" spans="4:25" s="476" customFormat="1" ht="13.15" customHeight="1" x14ac:dyDescent="0.2">
      <c r="D338" s="679"/>
      <c r="E338" s="679"/>
      <c r="F338" s="614"/>
      <c r="G338" s="614"/>
      <c r="H338" s="614"/>
      <c r="I338" s="614"/>
      <c r="Y338" s="625"/>
    </row>
    <row r="339" spans="4:25" s="476" customFormat="1" ht="13.15" customHeight="1" x14ac:dyDescent="0.2">
      <c r="D339" s="679"/>
      <c r="E339" s="679"/>
      <c r="F339" s="614"/>
      <c r="G339" s="614"/>
      <c r="H339" s="614"/>
      <c r="I339" s="614"/>
      <c r="Y339" s="625"/>
    </row>
    <row r="340" spans="4:25" s="476" customFormat="1" ht="13.15" customHeight="1" x14ac:dyDescent="0.2">
      <c r="D340" s="679"/>
      <c r="E340" s="679"/>
      <c r="F340" s="614"/>
      <c r="G340" s="614"/>
      <c r="H340" s="614"/>
      <c r="I340" s="614"/>
      <c r="Y340" s="625"/>
    </row>
    <row r="341" spans="4:25" s="476" customFormat="1" ht="13.15" customHeight="1" x14ac:dyDescent="0.2">
      <c r="D341" s="679"/>
      <c r="E341" s="679"/>
      <c r="F341" s="614"/>
      <c r="G341" s="614"/>
      <c r="H341" s="614"/>
      <c r="I341" s="614"/>
      <c r="Y341" s="625"/>
    </row>
    <row r="342" spans="4:25" s="476" customFormat="1" ht="13.15" customHeight="1" x14ac:dyDescent="0.2">
      <c r="D342" s="679"/>
      <c r="E342" s="679"/>
      <c r="F342" s="614"/>
      <c r="G342" s="614"/>
      <c r="H342" s="614"/>
      <c r="I342" s="614"/>
      <c r="Y342" s="625"/>
    </row>
    <row r="343" spans="4:25" s="476" customFormat="1" ht="13.15" customHeight="1" x14ac:dyDescent="0.2">
      <c r="D343" s="679"/>
      <c r="E343" s="679"/>
      <c r="F343" s="614"/>
      <c r="G343" s="614"/>
      <c r="H343" s="614"/>
      <c r="I343" s="614"/>
      <c r="Y343" s="625"/>
    </row>
    <row r="344" spans="4:25" s="476" customFormat="1" ht="13.15" customHeight="1" x14ac:dyDescent="0.2">
      <c r="D344" s="679"/>
      <c r="E344" s="679"/>
      <c r="F344" s="614"/>
      <c r="G344" s="614"/>
      <c r="H344" s="614"/>
      <c r="I344" s="614"/>
      <c r="Y344" s="625"/>
    </row>
    <row r="345" spans="4:25" s="476" customFormat="1" ht="13.15" customHeight="1" x14ac:dyDescent="0.2">
      <c r="D345" s="679"/>
      <c r="E345" s="679"/>
      <c r="F345" s="614"/>
      <c r="G345" s="614"/>
      <c r="H345" s="614"/>
      <c r="I345" s="614"/>
      <c r="Y345" s="625"/>
    </row>
    <row r="346" spans="4:25" s="476" customFormat="1" ht="13.15" customHeight="1" x14ac:dyDescent="0.2">
      <c r="D346" s="679"/>
      <c r="E346" s="679"/>
      <c r="F346" s="614"/>
      <c r="G346" s="614"/>
      <c r="H346" s="614"/>
      <c r="I346" s="614"/>
      <c r="Y346" s="625"/>
    </row>
    <row r="347" spans="4:25" s="476" customFormat="1" ht="13.15" customHeight="1" x14ac:dyDescent="0.2">
      <c r="D347" s="679"/>
      <c r="E347" s="679"/>
      <c r="F347" s="614"/>
      <c r="G347" s="614"/>
      <c r="H347" s="614"/>
      <c r="I347" s="614"/>
      <c r="Y347" s="625"/>
    </row>
    <row r="348" spans="4:25" s="476" customFormat="1" ht="13.15" customHeight="1" x14ac:dyDescent="0.2">
      <c r="D348" s="679"/>
      <c r="E348" s="679"/>
      <c r="F348" s="614"/>
      <c r="G348" s="614"/>
      <c r="H348" s="614"/>
      <c r="I348" s="614"/>
      <c r="Y348" s="625"/>
    </row>
    <row r="349" spans="4:25" s="476" customFormat="1" ht="13.15" customHeight="1" x14ac:dyDescent="0.2">
      <c r="D349" s="679"/>
      <c r="E349" s="679"/>
      <c r="F349" s="614"/>
      <c r="G349" s="614"/>
      <c r="H349" s="614"/>
      <c r="I349" s="614"/>
      <c r="Y349" s="625"/>
    </row>
    <row r="350" spans="4:25" s="476" customFormat="1" ht="13.15" customHeight="1" x14ac:dyDescent="0.2">
      <c r="D350" s="679"/>
      <c r="E350" s="679"/>
      <c r="F350" s="614"/>
      <c r="G350" s="614"/>
      <c r="H350" s="614"/>
      <c r="I350" s="614"/>
      <c r="Y350" s="625"/>
    </row>
    <row r="351" spans="4:25" s="476" customFormat="1" ht="13.15" customHeight="1" x14ac:dyDescent="0.2">
      <c r="D351" s="679"/>
      <c r="E351" s="679"/>
      <c r="F351" s="614"/>
      <c r="G351" s="614"/>
      <c r="H351" s="614"/>
      <c r="I351" s="614"/>
      <c r="Y351" s="625"/>
    </row>
    <row r="352" spans="4:25" s="476" customFormat="1" ht="13.15" customHeight="1" x14ac:dyDescent="0.2">
      <c r="D352" s="679"/>
      <c r="E352" s="679"/>
      <c r="F352" s="614"/>
      <c r="G352" s="614"/>
      <c r="H352" s="614"/>
      <c r="I352" s="614"/>
      <c r="Y352" s="625"/>
    </row>
    <row r="353" spans="4:25" s="476" customFormat="1" ht="13.15" customHeight="1" x14ac:dyDescent="0.2">
      <c r="D353" s="679"/>
      <c r="E353" s="679"/>
      <c r="F353" s="614"/>
      <c r="G353" s="614"/>
      <c r="H353" s="614"/>
      <c r="I353" s="614"/>
      <c r="Y353" s="625"/>
    </row>
    <row r="354" spans="4:25" s="476" customFormat="1" ht="13.15" customHeight="1" x14ac:dyDescent="0.2">
      <c r="D354" s="679"/>
      <c r="E354" s="679"/>
      <c r="F354" s="614"/>
      <c r="G354" s="614"/>
      <c r="H354" s="614"/>
      <c r="I354" s="614"/>
      <c r="Y354" s="625"/>
    </row>
    <row r="355" spans="4:25" s="476" customFormat="1" ht="13.15" customHeight="1" x14ac:dyDescent="0.2">
      <c r="D355" s="679"/>
      <c r="E355" s="679"/>
      <c r="F355" s="614"/>
      <c r="G355" s="614"/>
      <c r="H355" s="614"/>
      <c r="I355" s="614"/>
      <c r="Y355" s="625"/>
    </row>
    <row r="356" spans="4:25" s="476" customFormat="1" ht="13.15" customHeight="1" x14ac:dyDescent="0.2">
      <c r="D356" s="679"/>
      <c r="E356" s="679"/>
      <c r="F356" s="614"/>
      <c r="G356" s="614"/>
      <c r="H356" s="614"/>
      <c r="I356" s="614"/>
      <c r="Y356" s="625"/>
    </row>
    <row r="357" spans="4:25" s="476" customFormat="1" ht="13.15" customHeight="1" x14ac:dyDescent="0.2">
      <c r="D357" s="679"/>
      <c r="E357" s="679"/>
      <c r="F357" s="614"/>
      <c r="G357" s="614"/>
      <c r="H357" s="614"/>
      <c r="I357" s="614"/>
      <c r="Y357" s="625"/>
    </row>
    <row r="358" spans="4:25" s="476" customFormat="1" ht="13.15" customHeight="1" x14ac:dyDescent="0.2">
      <c r="D358" s="679"/>
      <c r="E358" s="679"/>
      <c r="F358" s="614"/>
      <c r="G358" s="614"/>
      <c r="H358" s="614"/>
      <c r="I358" s="614"/>
      <c r="Y358" s="625"/>
    </row>
    <row r="359" spans="4:25" s="476" customFormat="1" ht="13.15" customHeight="1" x14ac:dyDescent="0.2">
      <c r="D359" s="679"/>
      <c r="E359" s="679"/>
      <c r="F359" s="614"/>
      <c r="G359" s="614"/>
      <c r="H359" s="614"/>
      <c r="I359" s="614"/>
      <c r="Y359" s="625"/>
    </row>
    <row r="360" spans="4:25" s="476" customFormat="1" ht="13.15" customHeight="1" x14ac:dyDescent="0.2">
      <c r="D360" s="679"/>
      <c r="E360" s="679"/>
      <c r="F360" s="614"/>
      <c r="G360" s="614"/>
      <c r="H360" s="614"/>
      <c r="I360" s="614"/>
      <c r="Y360" s="625"/>
    </row>
    <row r="361" spans="4:25" s="476" customFormat="1" ht="13.15" customHeight="1" x14ac:dyDescent="0.2">
      <c r="D361" s="679"/>
      <c r="E361" s="679"/>
      <c r="F361" s="614"/>
      <c r="G361" s="614"/>
      <c r="H361" s="614"/>
      <c r="I361" s="614"/>
      <c r="Y361" s="625"/>
    </row>
    <row r="362" spans="4:25" s="476" customFormat="1" ht="13.15" customHeight="1" x14ac:dyDescent="0.2">
      <c r="D362" s="679"/>
      <c r="E362" s="679"/>
      <c r="F362" s="614"/>
      <c r="G362" s="614"/>
      <c r="H362" s="614"/>
      <c r="I362" s="614"/>
      <c r="Y362" s="625"/>
    </row>
    <row r="363" spans="4:25" s="476" customFormat="1" ht="13.15" customHeight="1" x14ac:dyDescent="0.2">
      <c r="D363" s="679"/>
      <c r="E363" s="679"/>
      <c r="F363" s="614"/>
      <c r="G363" s="614"/>
      <c r="H363" s="614"/>
      <c r="I363" s="614"/>
      <c r="Y363" s="625"/>
    </row>
    <row r="364" spans="4:25" s="476" customFormat="1" ht="13.15" customHeight="1" x14ac:dyDescent="0.2">
      <c r="D364" s="679"/>
      <c r="E364" s="679"/>
      <c r="F364" s="614"/>
      <c r="G364" s="614"/>
      <c r="H364" s="614"/>
      <c r="I364" s="614"/>
      <c r="Y364" s="625"/>
    </row>
    <row r="365" spans="4:25" s="476" customFormat="1" ht="13.15" customHeight="1" x14ac:dyDescent="0.2">
      <c r="D365" s="679"/>
      <c r="E365" s="679"/>
      <c r="F365" s="614"/>
      <c r="G365" s="614"/>
      <c r="H365" s="614"/>
      <c r="I365" s="614"/>
      <c r="Y365" s="625"/>
    </row>
    <row r="366" spans="4:25" s="476" customFormat="1" ht="13.15" customHeight="1" x14ac:dyDescent="0.2">
      <c r="D366" s="679"/>
      <c r="E366" s="679"/>
      <c r="F366" s="614"/>
      <c r="G366" s="614"/>
      <c r="H366" s="614"/>
      <c r="I366" s="614"/>
      <c r="Y366" s="625"/>
    </row>
    <row r="367" spans="4:25" s="476" customFormat="1" ht="13.15" customHeight="1" x14ac:dyDescent="0.2">
      <c r="D367" s="679"/>
      <c r="E367" s="679"/>
      <c r="F367" s="614"/>
      <c r="G367" s="614"/>
      <c r="H367" s="614"/>
      <c r="I367" s="614"/>
      <c r="Y367" s="625"/>
    </row>
    <row r="368" spans="4:25" s="476" customFormat="1" ht="13.15" customHeight="1" x14ac:dyDescent="0.2">
      <c r="D368" s="679"/>
      <c r="E368" s="679"/>
      <c r="F368" s="614"/>
      <c r="G368" s="614"/>
      <c r="H368" s="614"/>
      <c r="I368" s="614"/>
      <c r="Y368" s="625"/>
    </row>
    <row r="369" spans="4:25" s="476" customFormat="1" ht="13.15" customHeight="1" x14ac:dyDescent="0.2">
      <c r="D369" s="679"/>
      <c r="E369" s="679"/>
      <c r="F369" s="614"/>
      <c r="G369" s="614"/>
      <c r="H369" s="614"/>
      <c r="I369" s="614"/>
      <c r="Y369" s="625"/>
    </row>
    <row r="370" spans="4:25" s="476" customFormat="1" ht="13.15" customHeight="1" x14ac:dyDescent="0.2">
      <c r="D370" s="679"/>
      <c r="E370" s="679"/>
      <c r="F370" s="614"/>
      <c r="G370" s="614"/>
      <c r="H370" s="614"/>
      <c r="I370" s="614"/>
      <c r="Y370" s="625"/>
    </row>
    <row r="371" spans="4:25" s="476" customFormat="1" ht="13.15" customHeight="1" x14ac:dyDescent="0.2">
      <c r="D371" s="679"/>
      <c r="E371" s="679"/>
      <c r="F371" s="614"/>
      <c r="G371" s="614"/>
      <c r="H371" s="614"/>
      <c r="I371" s="614"/>
      <c r="Y371" s="625"/>
    </row>
    <row r="372" spans="4:25" s="476" customFormat="1" ht="13.15" customHeight="1" x14ac:dyDescent="0.2">
      <c r="D372" s="679"/>
      <c r="E372" s="679"/>
      <c r="F372" s="614"/>
      <c r="G372" s="614"/>
      <c r="H372" s="614"/>
      <c r="I372" s="614"/>
      <c r="Y372" s="625"/>
    </row>
    <row r="373" spans="4:25" s="476" customFormat="1" ht="13.15" customHeight="1" x14ac:dyDescent="0.2">
      <c r="D373" s="679"/>
      <c r="E373" s="679"/>
      <c r="F373" s="614"/>
      <c r="G373" s="614"/>
      <c r="H373" s="614"/>
      <c r="I373" s="614"/>
      <c r="Y373" s="625"/>
    </row>
    <row r="374" spans="4:25" s="476" customFormat="1" ht="13.15" customHeight="1" x14ac:dyDescent="0.2">
      <c r="D374" s="679"/>
      <c r="E374" s="679"/>
      <c r="F374" s="614"/>
      <c r="G374" s="614"/>
      <c r="H374" s="614"/>
      <c r="I374" s="614"/>
      <c r="Y374" s="625"/>
    </row>
    <row r="375" spans="4:25" s="476" customFormat="1" ht="13.15" customHeight="1" x14ac:dyDescent="0.2">
      <c r="D375" s="679"/>
      <c r="E375" s="679"/>
      <c r="F375" s="614"/>
      <c r="G375" s="614"/>
      <c r="H375" s="614"/>
      <c r="I375" s="614"/>
      <c r="Y375" s="625"/>
    </row>
    <row r="376" spans="4:25" s="476" customFormat="1" ht="13.15" customHeight="1" x14ac:dyDescent="0.2">
      <c r="D376" s="679"/>
      <c r="E376" s="679"/>
      <c r="F376" s="614"/>
      <c r="G376" s="614"/>
      <c r="H376" s="614"/>
      <c r="I376" s="614"/>
      <c r="Y376" s="625"/>
    </row>
    <row r="377" spans="4:25" s="476" customFormat="1" ht="13.15" customHeight="1" x14ac:dyDescent="0.2">
      <c r="D377" s="679"/>
      <c r="E377" s="679"/>
      <c r="F377" s="614"/>
      <c r="G377" s="614"/>
      <c r="H377" s="614"/>
      <c r="I377" s="614"/>
      <c r="Y377" s="625"/>
    </row>
    <row r="378" spans="4:25" s="476" customFormat="1" ht="13.15" customHeight="1" x14ac:dyDescent="0.2">
      <c r="D378" s="679"/>
      <c r="E378" s="679"/>
      <c r="F378" s="614"/>
      <c r="G378" s="614"/>
      <c r="H378" s="614"/>
      <c r="I378" s="614"/>
      <c r="Y378" s="625"/>
    </row>
    <row r="379" spans="4:25" s="476" customFormat="1" ht="13.15" customHeight="1" x14ac:dyDescent="0.2">
      <c r="D379" s="679"/>
      <c r="E379" s="679"/>
      <c r="F379" s="614"/>
      <c r="G379" s="614"/>
      <c r="H379" s="614"/>
      <c r="I379" s="614"/>
      <c r="Y379" s="625"/>
    </row>
    <row r="380" spans="4:25" s="476" customFormat="1" ht="13.15" customHeight="1" x14ac:dyDescent="0.2">
      <c r="D380" s="679"/>
      <c r="E380" s="679"/>
      <c r="F380" s="614"/>
      <c r="G380" s="614"/>
      <c r="H380" s="614"/>
      <c r="I380" s="614"/>
      <c r="Y380" s="625"/>
    </row>
    <row r="381" spans="4:25" s="476" customFormat="1" ht="13.15" customHeight="1" x14ac:dyDescent="0.2">
      <c r="D381" s="679"/>
      <c r="E381" s="679"/>
      <c r="F381" s="614"/>
      <c r="G381" s="614"/>
      <c r="H381" s="614"/>
      <c r="I381" s="614"/>
      <c r="Y381" s="625"/>
    </row>
    <row r="382" spans="4:25" s="476" customFormat="1" ht="13.15" customHeight="1" x14ac:dyDescent="0.2">
      <c r="D382" s="679"/>
      <c r="E382" s="679"/>
      <c r="F382" s="614"/>
      <c r="G382" s="614"/>
      <c r="H382" s="614"/>
      <c r="I382" s="614"/>
      <c r="Y382" s="625"/>
    </row>
    <row r="383" spans="4:25" s="476" customFormat="1" ht="13.15" customHeight="1" x14ac:dyDescent="0.2">
      <c r="D383" s="679"/>
      <c r="E383" s="679"/>
      <c r="F383" s="614"/>
      <c r="G383" s="614"/>
      <c r="H383" s="614"/>
      <c r="I383" s="614"/>
      <c r="Y383" s="625"/>
    </row>
    <row r="384" spans="4:25" s="476" customFormat="1" ht="13.15" customHeight="1" x14ac:dyDescent="0.2">
      <c r="D384" s="679"/>
      <c r="E384" s="679"/>
      <c r="F384" s="614"/>
      <c r="G384" s="614"/>
      <c r="H384" s="614"/>
      <c r="I384" s="614"/>
      <c r="Y384" s="625"/>
    </row>
    <row r="385" spans="4:25" s="476" customFormat="1" ht="13.15" customHeight="1" x14ac:dyDescent="0.2">
      <c r="D385" s="679"/>
      <c r="E385" s="679"/>
      <c r="F385" s="614"/>
      <c r="G385" s="614"/>
      <c r="H385" s="614"/>
      <c r="I385" s="614"/>
      <c r="Y385" s="625"/>
    </row>
    <row r="386" spans="4:25" s="476" customFormat="1" ht="13.15" customHeight="1" x14ac:dyDescent="0.2">
      <c r="D386" s="679"/>
      <c r="E386" s="679"/>
      <c r="F386" s="614"/>
      <c r="G386" s="614"/>
      <c r="H386" s="614"/>
      <c r="I386" s="614"/>
      <c r="Y386" s="625"/>
    </row>
    <row r="387" spans="4:25" s="476" customFormat="1" ht="13.15" customHeight="1" x14ac:dyDescent="0.2">
      <c r="D387" s="679"/>
      <c r="E387" s="679"/>
      <c r="F387" s="614"/>
      <c r="G387" s="614"/>
      <c r="H387" s="614"/>
      <c r="I387" s="614"/>
      <c r="Y387" s="625"/>
    </row>
    <row r="388" spans="4:25" s="476" customFormat="1" ht="13.15" customHeight="1" x14ac:dyDescent="0.2">
      <c r="D388" s="679"/>
      <c r="E388" s="679"/>
      <c r="F388" s="614"/>
      <c r="G388" s="614"/>
      <c r="H388" s="614"/>
      <c r="I388" s="614"/>
      <c r="Y388" s="625"/>
    </row>
    <row r="389" spans="4:25" s="476" customFormat="1" ht="13.15" customHeight="1" x14ac:dyDescent="0.2">
      <c r="D389" s="679"/>
      <c r="E389" s="679"/>
      <c r="F389" s="614"/>
      <c r="G389" s="614"/>
      <c r="H389" s="614"/>
      <c r="I389" s="614"/>
      <c r="Y389" s="625"/>
    </row>
    <row r="390" spans="4:25" s="476" customFormat="1" ht="13.15" customHeight="1" x14ac:dyDescent="0.2">
      <c r="D390" s="679"/>
      <c r="E390" s="679"/>
      <c r="F390" s="614"/>
      <c r="G390" s="614"/>
      <c r="H390" s="614"/>
      <c r="I390" s="614"/>
      <c r="Y390" s="625"/>
    </row>
    <row r="391" spans="4:25" s="476" customFormat="1" ht="13.15" customHeight="1" x14ac:dyDescent="0.2">
      <c r="D391" s="679"/>
      <c r="E391" s="679"/>
      <c r="F391" s="614"/>
      <c r="G391" s="614"/>
      <c r="H391" s="614"/>
      <c r="I391" s="614"/>
      <c r="Y391" s="625"/>
    </row>
    <row r="392" spans="4:25" s="476" customFormat="1" ht="13.15" customHeight="1" x14ac:dyDescent="0.2">
      <c r="D392" s="679"/>
      <c r="E392" s="679"/>
      <c r="F392" s="614"/>
      <c r="G392" s="614"/>
      <c r="H392" s="614"/>
      <c r="I392" s="614"/>
      <c r="Y392" s="625"/>
    </row>
    <row r="393" spans="4:25" s="476" customFormat="1" ht="13.15" customHeight="1" x14ac:dyDescent="0.2">
      <c r="D393" s="679"/>
      <c r="E393" s="679"/>
      <c r="F393" s="614"/>
      <c r="G393" s="614"/>
      <c r="H393" s="614"/>
      <c r="I393" s="614"/>
      <c r="Y393" s="625"/>
    </row>
    <row r="394" spans="4:25" s="476" customFormat="1" ht="13.15" customHeight="1" x14ac:dyDescent="0.2">
      <c r="D394" s="679"/>
      <c r="E394" s="679"/>
      <c r="F394" s="614"/>
      <c r="G394" s="614"/>
      <c r="H394" s="614"/>
      <c r="I394" s="614"/>
      <c r="Y394" s="625"/>
    </row>
    <row r="395" spans="4:25" s="476" customFormat="1" ht="13.15" customHeight="1" x14ac:dyDescent="0.2">
      <c r="D395" s="679"/>
      <c r="E395" s="679"/>
      <c r="F395" s="614"/>
      <c r="G395" s="614"/>
      <c r="H395" s="614"/>
      <c r="I395" s="614"/>
      <c r="Y395" s="625"/>
    </row>
    <row r="396" spans="4:25" s="476" customFormat="1" ht="13.15" customHeight="1" x14ac:dyDescent="0.2">
      <c r="D396" s="679"/>
      <c r="E396" s="679"/>
      <c r="F396" s="614"/>
      <c r="G396" s="614"/>
      <c r="H396" s="614"/>
      <c r="I396" s="614"/>
      <c r="Y396" s="625"/>
    </row>
    <row r="397" spans="4:25" s="476" customFormat="1" ht="13.15" customHeight="1" x14ac:dyDescent="0.2">
      <c r="D397" s="679"/>
      <c r="E397" s="679"/>
      <c r="F397" s="614"/>
      <c r="G397" s="614"/>
      <c r="H397" s="614"/>
      <c r="I397" s="614"/>
      <c r="Y397" s="625"/>
    </row>
    <row r="398" spans="4:25" s="476" customFormat="1" ht="13.15" customHeight="1" x14ac:dyDescent="0.2">
      <c r="D398" s="679"/>
      <c r="E398" s="679"/>
      <c r="F398" s="614"/>
      <c r="G398" s="614"/>
      <c r="H398" s="614"/>
      <c r="I398" s="614"/>
      <c r="Y398" s="625"/>
    </row>
    <row r="399" spans="4:25" s="476" customFormat="1" ht="13.15" customHeight="1" x14ac:dyDescent="0.2">
      <c r="D399" s="679"/>
      <c r="E399" s="679"/>
      <c r="F399" s="614"/>
      <c r="G399" s="614"/>
      <c r="H399" s="614"/>
      <c r="I399" s="614"/>
      <c r="Y399" s="625"/>
    </row>
    <row r="400" spans="4:25" s="476" customFormat="1" ht="13.15" customHeight="1" x14ac:dyDescent="0.2">
      <c r="D400" s="679"/>
      <c r="E400" s="679"/>
      <c r="F400" s="614"/>
      <c r="G400" s="614"/>
      <c r="H400" s="614"/>
      <c r="I400" s="614"/>
      <c r="Y400" s="625"/>
    </row>
    <row r="401" spans="4:25" s="476" customFormat="1" ht="13.15" customHeight="1" x14ac:dyDescent="0.2">
      <c r="D401" s="679"/>
      <c r="E401" s="679"/>
      <c r="F401" s="614"/>
      <c r="G401" s="614"/>
      <c r="H401" s="614"/>
      <c r="I401" s="614"/>
      <c r="Y401" s="625"/>
    </row>
    <row r="402" spans="4:25" s="476" customFormat="1" ht="13.15" customHeight="1" x14ac:dyDescent="0.2">
      <c r="D402" s="679"/>
      <c r="E402" s="679"/>
      <c r="F402" s="614"/>
      <c r="G402" s="614"/>
      <c r="H402" s="614"/>
      <c r="I402" s="614"/>
      <c r="Y402" s="625"/>
    </row>
    <row r="403" spans="4:25" s="476" customFormat="1" ht="13.15" customHeight="1" x14ac:dyDescent="0.2">
      <c r="D403" s="679"/>
      <c r="E403" s="679"/>
      <c r="F403" s="614"/>
      <c r="G403" s="614"/>
      <c r="H403" s="614"/>
      <c r="I403" s="614"/>
      <c r="Y403" s="625"/>
    </row>
    <row r="404" spans="4:25" s="476" customFormat="1" ht="13.15" customHeight="1" x14ac:dyDescent="0.2">
      <c r="D404" s="679"/>
      <c r="E404" s="679"/>
      <c r="F404" s="614"/>
      <c r="G404" s="614"/>
      <c r="H404" s="614"/>
      <c r="I404" s="614"/>
      <c r="Y404" s="625"/>
    </row>
    <row r="405" spans="4:25" s="476" customFormat="1" ht="13.15" customHeight="1" x14ac:dyDescent="0.2">
      <c r="D405" s="679"/>
      <c r="E405" s="679"/>
      <c r="F405" s="614"/>
      <c r="G405" s="614"/>
      <c r="H405" s="614"/>
      <c r="I405" s="614"/>
      <c r="Y405" s="625"/>
    </row>
    <row r="406" spans="4:25" s="476" customFormat="1" ht="13.15" customHeight="1" x14ac:dyDescent="0.2">
      <c r="D406" s="679"/>
      <c r="E406" s="679"/>
      <c r="F406" s="614"/>
      <c r="G406" s="614"/>
      <c r="H406" s="614"/>
      <c r="I406" s="614"/>
      <c r="Y406" s="625"/>
    </row>
    <row r="407" spans="4:25" s="476" customFormat="1" ht="13.15" customHeight="1" x14ac:dyDescent="0.2">
      <c r="D407" s="679"/>
      <c r="E407" s="679"/>
      <c r="F407" s="614"/>
      <c r="G407" s="614"/>
      <c r="H407" s="614"/>
      <c r="I407" s="614"/>
      <c r="Y407" s="625"/>
    </row>
    <row r="408" spans="4:25" s="476" customFormat="1" ht="13.15" customHeight="1" x14ac:dyDescent="0.2">
      <c r="D408" s="679"/>
      <c r="E408" s="679"/>
      <c r="F408" s="614"/>
      <c r="G408" s="614"/>
      <c r="H408" s="614"/>
      <c r="I408" s="614"/>
      <c r="Y408" s="625"/>
    </row>
    <row r="409" spans="4:25" s="476" customFormat="1" ht="13.15" customHeight="1" x14ac:dyDescent="0.2">
      <c r="D409" s="679"/>
      <c r="E409" s="679"/>
      <c r="F409" s="614"/>
      <c r="G409" s="614"/>
      <c r="H409" s="614"/>
      <c r="I409" s="614"/>
      <c r="Y409" s="625"/>
    </row>
    <row r="410" spans="4:25" s="476" customFormat="1" ht="13.15" customHeight="1" x14ac:dyDescent="0.2">
      <c r="D410" s="679"/>
      <c r="E410" s="679"/>
      <c r="F410" s="614"/>
      <c r="G410" s="614"/>
      <c r="H410" s="614"/>
      <c r="I410" s="614"/>
      <c r="Y410" s="625"/>
    </row>
    <row r="411" spans="4:25" s="476" customFormat="1" ht="13.15" customHeight="1" x14ac:dyDescent="0.2">
      <c r="D411" s="679"/>
      <c r="E411" s="679"/>
      <c r="F411" s="614"/>
      <c r="G411" s="614"/>
      <c r="H411" s="614"/>
      <c r="I411" s="614"/>
      <c r="Y411" s="625"/>
    </row>
    <row r="412" spans="4:25" s="476" customFormat="1" ht="13.15" customHeight="1" x14ac:dyDescent="0.2">
      <c r="D412" s="679"/>
      <c r="E412" s="679"/>
      <c r="F412" s="614"/>
      <c r="G412" s="614"/>
      <c r="H412" s="614"/>
      <c r="I412" s="614"/>
      <c r="Y412" s="625"/>
    </row>
    <row r="413" spans="4:25" s="476" customFormat="1" ht="13.15" customHeight="1" x14ac:dyDescent="0.2">
      <c r="D413" s="679"/>
      <c r="E413" s="679"/>
      <c r="F413" s="614"/>
      <c r="G413" s="614"/>
      <c r="H413" s="614"/>
      <c r="I413" s="614"/>
      <c r="Y413" s="625"/>
    </row>
    <row r="414" spans="4:25" s="476" customFormat="1" ht="13.15" customHeight="1" x14ac:dyDescent="0.2">
      <c r="D414" s="679"/>
      <c r="E414" s="679"/>
      <c r="F414" s="614"/>
      <c r="G414" s="614"/>
      <c r="H414" s="614"/>
      <c r="I414" s="614"/>
      <c r="Y414" s="625"/>
    </row>
    <row r="415" spans="4:25" s="476" customFormat="1" ht="13.15" customHeight="1" x14ac:dyDescent="0.2">
      <c r="D415" s="679"/>
      <c r="E415" s="679"/>
      <c r="F415" s="614"/>
      <c r="G415" s="614"/>
      <c r="H415" s="614"/>
      <c r="I415" s="614"/>
      <c r="Y415" s="625"/>
    </row>
    <row r="416" spans="4:25" s="476" customFormat="1" ht="13.15" customHeight="1" x14ac:dyDescent="0.2">
      <c r="D416" s="679"/>
      <c r="E416" s="679"/>
      <c r="F416" s="614"/>
      <c r="G416" s="614"/>
      <c r="H416" s="614"/>
      <c r="I416" s="614"/>
      <c r="Y416" s="625"/>
    </row>
    <row r="417" spans="4:25" s="476" customFormat="1" ht="13.15" customHeight="1" x14ac:dyDescent="0.2">
      <c r="D417" s="679"/>
      <c r="E417" s="679"/>
      <c r="F417" s="614"/>
      <c r="G417" s="614"/>
      <c r="H417" s="614"/>
      <c r="I417" s="614"/>
      <c r="Y417" s="625"/>
    </row>
    <row r="418" spans="4:25" s="476" customFormat="1" ht="13.15" customHeight="1" x14ac:dyDescent="0.2">
      <c r="D418" s="679"/>
      <c r="E418" s="679"/>
      <c r="F418" s="614"/>
      <c r="G418" s="614"/>
      <c r="H418" s="614"/>
      <c r="I418" s="614"/>
      <c r="Y418" s="625"/>
    </row>
    <row r="419" spans="4:25" s="476" customFormat="1" ht="13.15" customHeight="1" x14ac:dyDescent="0.2">
      <c r="D419" s="679"/>
      <c r="E419" s="679"/>
      <c r="F419" s="614"/>
      <c r="G419" s="614"/>
      <c r="H419" s="614"/>
      <c r="I419" s="614"/>
      <c r="Y419" s="625"/>
    </row>
    <row r="420" spans="4:25" s="476" customFormat="1" ht="13.15" customHeight="1" x14ac:dyDescent="0.2">
      <c r="D420" s="679"/>
      <c r="E420" s="679"/>
      <c r="F420" s="614"/>
      <c r="G420" s="614"/>
      <c r="H420" s="614"/>
      <c r="I420" s="614"/>
      <c r="Y420" s="625"/>
    </row>
    <row r="421" spans="4:25" s="476" customFormat="1" ht="13.15" customHeight="1" x14ac:dyDescent="0.2">
      <c r="D421" s="679"/>
      <c r="E421" s="679"/>
      <c r="F421" s="614"/>
      <c r="G421" s="614"/>
      <c r="H421" s="614"/>
      <c r="I421" s="614"/>
      <c r="Y421" s="625"/>
    </row>
    <row r="422" spans="4:25" s="476" customFormat="1" ht="13.15" customHeight="1" x14ac:dyDescent="0.2">
      <c r="D422" s="679"/>
      <c r="E422" s="679"/>
      <c r="F422" s="614"/>
      <c r="G422" s="614"/>
      <c r="H422" s="614"/>
      <c r="I422" s="614"/>
      <c r="Y422" s="625"/>
    </row>
    <row r="423" spans="4:25" s="476" customFormat="1" ht="13.15" customHeight="1" x14ac:dyDescent="0.2">
      <c r="D423" s="679"/>
      <c r="E423" s="679"/>
      <c r="F423" s="614"/>
      <c r="G423" s="614"/>
      <c r="H423" s="614"/>
      <c r="I423" s="614"/>
      <c r="Y423" s="625"/>
    </row>
    <row r="424" spans="4:25" s="476" customFormat="1" ht="13.15" customHeight="1" x14ac:dyDescent="0.2">
      <c r="D424" s="679"/>
      <c r="E424" s="679"/>
      <c r="F424" s="614"/>
      <c r="G424" s="614"/>
      <c r="H424" s="614"/>
      <c r="I424" s="614"/>
      <c r="Y424" s="625"/>
    </row>
    <row r="425" spans="4:25" s="476" customFormat="1" ht="13.15" customHeight="1" x14ac:dyDescent="0.2">
      <c r="D425" s="679"/>
      <c r="E425" s="679"/>
      <c r="F425" s="614"/>
      <c r="G425" s="614"/>
      <c r="H425" s="614"/>
      <c r="I425" s="614"/>
      <c r="Y425" s="625"/>
    </row>
    <row r="426" spans="4:25" s="476" customFormat="1" ht="13.15" customHeight="1" x14ac:dyDescent="0.2">
      <c r="D426" s="679"/>
      <c r="E426" s="679"/>
      <c r="F426" s="614"/>
      <c r="G426" s="614"/>
      <c r="H426" s="614"/>
      <c r="I426" s="614"/>
      <c r="Y426" s="625"/>
    </row>
    <row r="427" spans="4:25" s="476" customFormat="1" ht="13.15" customHeight="1" x14ac:dyDescent="0.2">
      <c r="D427" s="679"/>
      <c r="E427" s="679"/>
      <c r="F427" s="614"/>
      <c r="G427" s="614"/>
      <c r="H427" s="614"/>
      <c r="I427" s="614"/>
      <c r="Y427" s="625"/>
    </row>
    <row r="428" spans="4:25" s="476" customFormat="1" ht="13.15" customHeight="1" x14ac:dyDescent="0.2">
      <c r="D428" s="679"/>
      <c r="E428" s="679"/>
      <c r="F428" s="614"/>
      <c r="G428" s="614"/>
      <c r="H428" s="614"/>
      <c r="I428" s="614"/>
      <c r="Y428" s="625"/>
    </row>
    <row r="429" spans="4:25" s="476" customFormat="1" ht="13.15" customHeight="1" x14ac:dyDescent="0.2">
      <c r="D429" s="679"/>
      <c r="E429" s="679"/>
      <c r="F429" s="614"/>
      <c r="G429" s="614"/>
      <c r="H429" s="614"/>
      <c r="I429" s="614"/>
      <c r="Y429" s="625"/>
    </row>
    <row r="430" spans="4:25" s="476" customFormat="1" ht="13.15" customHeight="1" x14ac:dyDescent="0.2">
      <c r="D430" s="679"/>
      <c r="E430" s="679"/>
      <c r="F430" s="614"/>
      <c r="G430" s="614"/>
      <c r="H430" s="614"/>
      <c r="I430" s="614"/>
      <c r="Y430" s="625"/>
    </row>
    <row r="431" spans="4:25" s="476" customFormat="1" ht="13.15" customHeight="1" x14ac:dyDescent="0.2">
      <c r="D431" s="679"/>
      <c r="E431" s="679"/>
      <c r="F431" s="614"/>
      <c r="G431" s="614"/>
      <c r="H431" s="614"/>
      <c r="I431" s="614"/>
      <c r="Y431" s="625"/>
    </row>
    <row r="432" spans="4:25" s="476" customFormat="1" ht="13.15" customHeight="1" x14ac:dyDescent="0.2">
      <c r="D432" s="679"/>
      <c r="E432" s="679"/>
      <c r="F432" s="614"/>
      <c r="G432" s="614"/>
      <c r="H432" s="614"/>
      <c r="I432" s="614"/>
      <c r="Y432" s="625"/>
    </row>
    <row r="433" spans="4:25" s="476" customFormat="1" ht="13.15" customHeight="1" x14ac:dyDescent="0.2">
      <c r="D433" s="679"/>
      <c r="E433" s="679"/>
      <c r="F433" s="614"/>
      <c r="G433" s="614"/>
      <c r="H433" s="614"/>
      <c r="I433" s="614"/>
      <c r="Y433" s="625"/>
    </row>
    <row r="434" spans="4:25" s="476" customFormat="1" ht="13.15" customHeight="1" x14ac:dyDescent="0.2">
      <c r="D434" s="679"/>
      <c r="E434" s="679"/>
      <c r="F434" s="614"/>
      <c r="G434" s="614"/>
      <c r="H434" s="614"/>
      <c r="I434" s="614"/>
      <c r="Y434" s="625"/>
    </row>
    <row r="435" spans="4:25" s="476" customFormat="1" ht="13.15" customHeight="1" x14ac:dyDescent="0.2">
      <c r="D435" s="679"/>
      <c r="E435" s="679"/>
      <c r="F435" s="614"/>
      <c r="G435" s="614"/>
      <c r="H435" s="614"/>
      <c r="I435" s="614"/>
      <c r="Y435" s="625"/>
    </row>
    <row r="436" spans="4:25" s="476" customFormat="1" ht="13.15" customHeight="1" x14ac:dyDescent="0.2">
      <c r="D436" s="679"/>
      <c r="E436" s="679"/>
      <c r="F436" s="614"/>
      <c r="G436" s="614"/>
      <c r="H436" s="614"/>
      <c r="I436" s="614"/>
      <c r="Y436" s="625"/>
    </row>
    <row r="437" spans="4:25" s="476" customFormat="1" ht="13.15" customHeight="1" x14ac:dyDescent="0.2">
      <c r="D437" s="679"/>
      <c r="E437" s="679"/>
      <c r="F437" s="614"/>
      <c r="G437" s="614"/>
      <c r="H437" s="614"/>
      <c r="I437" s="614"/>
      <c r="Y437" s="625"/>
    </row>
    <row r="438" spans="4:25" s="476" customFormat="1" ht="13.15" customHeight="1" x14ac:dyDescent="0.2">
      <c r="D438" s="679"/>
      <c r="E438" s="679"/>
      <c r="F438" s="614"/>
      <c r="G438" s="614"/>
      <c r="H438" s="614"/>
      <c r="I438" s="614"/>
      <c r="Y438" s="625"/>
    </row>
    <row r="439" spans="4:25" s="476" customFormat="1" ht="13.15" customHeight="1" x14ac:dyDescent="0.2">
      <c r="D439" s="679"/>
      <c r="E439" s="679"/>
      <c r="F439" s="614"/>
      <c r="G439" s="614"/>
      <c r="H439" s="614"/>
      <c r="I439" s="614"/>
      <c r="Y439" s="625"/>
    </row>
    <row r="440" spans="4:25" s="476" customFormat="1" ht="13.15" customHeight="1" x14ac:dyDescent="0.2">
      <c r="D440" s="679"/>
      <c r="E440" s="679"/>
      <c r="F440" s="614"/>
      <c r="G440" s="614"/>
      <c r="H440" s="614"/>
      <c r="I440" s="614"/>
      <c r="Y440" s="625"/>
    </row>
    <row r="441" spans="4:25" s="476" customFormat="1" ht="13.15" customHeight="1" x14ac:dyDescent="0.2">
      <c r="D441" s="679"/>
      <c r="E441" s="679"/>
      <c r="F441" s="614"/>
      <c r="G441" s="614"/>
      <c r="H441" s="614"/>
      <c r="I441" s="614"/>
      <c r="Y441" s="625"/>
    </row>
    <row r="442" spans="4:25" s="476" customFormat="1" ht="13.15" customHeight="1" x14ac:dyDescent="0.2">
      <c r="D442" s="679"/>
      <c r="E442" s="679"/>
      <c r="F442" s="614"/>
      <c r="G442" s="614"/>
      <c r="H442" s="614"/>
      <c r="I442" s="614"/>
      <c r="Y442" s="625"/>
    </row>
    <row r="443" spans="4:25" s="476" customFormat="1" ht="13.15" customHeight="1" x14ac:dyDescent="0.2">
      <c r="D443" s="679"/>
      <c r="E443" s="679"/>
      <c r="F443" s="614"/>
      <c r="G443" s="614"/>
      <c r="H443" s="614"/>
      <c r="I443" s="614"/>
      <c r="Y443" s="625"/>
    </row>
    <row r="444" spans="4:25" s="476" customFormat="1" ht="13.15" customHeight="1" x14ac:dyDescent="0.2">
      <c r="D444" s="679"/>
      <c r="E444" s="679"/>
      <c r="F444" s="614"/>
      <c r="G444" s="614"/>
      <c r="H444" s="614"/>
      <c r="I444" s="614"/>
      <c r="Y444" s="625"/>
    </row>
    <row r="445" spans="4:25" s="476" customFormat="1" ht="13.15" customHeight="1" x14ac:dyDescent="0.2">
      <c r="D445" s="679"/>
      <c r="E445" s="679"/>
      <c r="F445" s="614"/>
      <c r="G445" s="614"/>
      <c r="H445" s="614"/>
      <c r="I445" s="614"/>
      <c r="Y445" s="625"/>
    </row>
    <row r="446" spans="4:25" s="476" customFormat="1" ht="13.15" customHeight="1" x14ac:dyDescent="0.2">
      <c r="D446" s="679"/>
      <c r="E446" s="679"/>
      <c r="F446" s="614"/>
      <c r="G446" s="614"/>
      <c r="H446" s="614"/>
      <c r="I446" s="614"/>
      <c r="Y446" s="625"/>
    </row>
    <row r="447" spans="4:25" s="476" customFormat="1" ht="13.15" customHeight="1" x14ac:dyDescent="0.2">
      <c r="D447" s="679"/>
      <c r="E447" s="679"/>
      <c r="F447" s="614"/>
      <c r="G447" s="614"/>
      <c r="H447" s="614"/>
      <c r="I447" s="614"/>
      <c r="Y447" s="625"/>
    </row>
    <row r="448" spans="4:25" s="476" customFormat="1" ht="13.15" customHeight="1" x14ac:dyDescent="0.2">
      <c r="D448" s="679"/>
      <c r="E448" s="679"/>
      <c r="F448" s="614"/>
      <c r="G448" s="614"/>
      <c r="H448" s="614"/>
      <c r="I448" s="614"/>
      <c r="Y448" s="625"/>
    </row>
    <row r="449" spans="4:25" s="476" customFormat="1" ht="13.15" customHeight="1" x14ac:dyDescent="0.2">
      <c r="D449" s="679"/>
      <c r="E449" s="679"/>
      <c r="F449" s="614"/>
      <c r="G449" s="614"/>
      <c r="H449" s="614"/>
      <c r="I449" s="614"/>
      <c r="Y449" s="625"/>
    </row>
    <row r="450" spans="4:25" s="476" customFormat="1" ht="13.15" customHeight="1" x14ac:dyDescent="0.2">
      <c r="D450" s="679"/>
      <c r="E450" s="679"/>
      <c r="F450" s="614"/>
      <c r="G450" s="614"/>
      <c r="H450" s="614"/>
      <c r="I450" s="614"/>
      <c r="Y450" s="625"/>
    </row>
    <row r="451" spans="4:25" s="476" customFormat="1" ht="13.15" customHeight="1" x14ac:dyDescent="0.2">
      <c r="D451" s="679"/>
      <c r="E451" s="679"/>
      <c r="F451" s="614"/>
      <c r="G451" s="614"/>
      <c r="H451" s="614"/>
      <c r="I451" s="614"/>
      <c r="Y451" s="625"/>
    </row>
    <row r="452" spans="4:25" s="476" customFormat="1" ht="13.15" customHeight="1" x14ac:dyDescent="0.2">
      <c r="D452" s="679"/>
      <c r="E452" s="679"/>
      <c r="F452" s="614"/>
      <c r="G452" s="614"/>
      <c r="H452" s="614"/>
      <c r="I452" s="614"/>
      <c r="Y452" s="625"/>
    </row>
    <row r="453" spans="4:25" s="476" customFormat="1" ht="13.15" customHeight="1" x14ac:dyDescent="0.2">
      <c r="D453" s="679"/>
      <c r="E453" s="679"/>
      <c r="F453" s="614"/>
      <c r="G453" s="614"/>
      <c r="H453" s="614"/>
      <c r="I453" s="614"/>
      <c r="Y453" s="625"/>
    </row>
    <row r="454" spans="4:25" s="476" customFormat="1" ht="13.15" customHeight="1" x14ac:dyDescent="0.2">
      <c r="D454" s="679"/>
      <c r="E454" s="679"/>
      <c r="F454" s="614"/>
      <c r="G454" s="614"/>
      <c r="H454" s="614"/>
      <c r="I454" s="614"/>
      <c r="Y454" s="625"/>
    </row>
    <row r="455" spans="4:25" s="476" customFormat="1" ht="13.15" customHeight="1" x14ac:dyDescent="0.2">
      <c r="D455" s="679"/>
      <c r="E455" s="679"/>
      <c r="F455" s="614"/>
      <c r="G455" s="614"/>
      <c r="H455" s="614"/>
      <c r="I455" s="614"/>
      <c r="Y455" s="625"/>
    </row>
    <row r="456" spans="4:25" s="476" customFormat="1" ht="13.15" customHeight="1" x14ac:dyDescent="0.2">
      <c r="D456" s="679"/>
      <c r="E456" s="679"/>
      <c r="F456" s="614"/>
      <c r="G456" s="614"/>
      <c r="H456" s="614"/>
      <c r="I456" s="614"/>
      <c r="Y456" s="625"/>
    </row>
    <row r="457" spans="4:25" s="476" customFormat="1" ht="13.15" customHeight="1" x14ac:dyDescent="0.2">
      <c r="D457" s="679"/>
      <c r="E457" s="679"/>
      <c r="F457" s="614"/>
      <c r="G457" s="614"/>
      <c r="H457" s="614"/>
      <c r="I457" s="614"/>
      <c r="Y457" s="625"/>
    </row>
    <row r="458" spans="4:25" s="476" customFormat="1" ht="13.15" customHeight="1" x14ac:dyDescent="0.2">
      <c r="D458" s="679"/>
      <c r="E458" s="679"/>
      <c r="F458" s="614"/>
      <c r="G458" s="614"/>
      <c r="H458" s="614"/>
      <c r="I458" s="614"/>
      <c r="Y458" s="625"/>
    </row>
    <row r="459" spans="4:25" s="476" customFormat="1" ht="13.15" customHeight="1" x14ac:dyDescent="0.2">
      <c r="D459" s="679"/>
      <c r="E459" s="679"/>
      <c r="F459" s="614"/>
      <c r="G459" s="614"/>
      <c r="H459" s="614"/>
      <c r="I459" s="614"/>
      <c r="Y459" s="625"/>
    </row>
    <row r="460" spans="4:25" s="476" customFormat="1" ht="13.15" customHeight="1" x14ac:dyDescent="0.2">
      <c r="D460" s="679"/>
      <c r="E460" s="679"/>
      <c r="F460" s="614"/>
      <c r="G460" s="614"/>
      <c r="H460" s="614"/>
      <c r="I460" s="614"/>
      <c r="Y460" s="625"/>
    </row>
    <row r="461" spans="4:25" s="476" customFormat="1" ht="13.15" customHeight="1" x14ac:dyDescent="0.2">
      <c r="D461" s="679"/>
      <c r="E461" s="679"/>
      <c r="F461" s="614"/>
      <c r="G461" s="614"/>
      <c r="H461" s="614"/>
      <c r="I461" s="614"/>
      <c r="Y461" s="625"/>
    </row>
    <row r="462" spans="4:25" s="476" customFormat="1" ht="13.15" customHeight="1" x14ac:dyDescent="0.2">
      <c r="D462" s="679"/>
      <c r="E462" s="679"/>
      <c r="F462" s="614"/>
      <c r="G462" s="614"/>
      <c r="H462" s="614"/>
      <c r="I462" s="614"/>
      <c r="Y462" s="625"/>
    </row>
    <row r="463" spans="4:25" s="476" customFormat="1" ht="13.15" customHeight="1" x14ac:dyDescent="0.2">
      <c r="D463" s="679"/>
      <c r="E463" s="679"/>
      <c r="F463" s="614"/>
      <c r="G463" s="614"/>
      <c r="H463" s="614"/>
      <c r="I463" s="614"/>
      <c r="Y463" s="625"/>
    </row>
    <row r="464" spans="4:25" s="476" customFormat="1" ht="13.15" customHeight="1" x14ac:dyDescent="0.2">
      <c r="D464" s="679"/>
      <c r="E464" s="679"/>
      <c r="F464" s="614"/>
      <c r="G464" s="614"/>
      <c r="H464" s="614"/>
      <c r="I464" s="614"/>
      <c r="Y464" s="625"/>
    </row>
    <row r="465" spans="4:25" s="476" customFormat="1" ht="13.15" customHeight="1" x14ac:dyDescent="0.2">
      <c r="D465" s="679"/>
      <c r="E465" s="679"/>
      <c r="F465" s="614"/>
      <c r="G465" s="614"/>
      <c r="H465" s="614"/>
      <c r="I465" s="614"/>
      <c r="Y465" s="625"/>
    </row>
    <row r="466" spans="4:25" s="476" customFormat="1" ht="13.15" customHeight="1" x14ac:dyDescent="0.2">
      <c r="D466" s="679"/>
      <c r="E466" s="679"/>
      <c r="F466" s="614"/>
      <c r="G466" s="614"/>
      <c r="H466" s="614"/>
      <c r="I466" s="614"/>
      <c r="Y466" s="625"/>
    </row>
    <row r="467" spans="4:25" s="476" customFormat="1" ht="13.15" customHeight="1" x14ac:dyDescent="0.2">
      <c r="D467" s="679"/>
      <c r="E467" s="679"/>
      <c r="F467" s="614"/>
      <c r="G467" s="614"/>
      <c r="H467" s="614"/>
      <c r="I467" s="614"/>
      <c r="Y467" s="625"/>
    </row>
    <row r="468" spans="4:25" s="476" customFormat="1" ht="13.15" customHeight="1" x14ac:dyDescent="0.2">
      <c r="D468" s="679"/>
      <c r="E468" s="679"/>
      <c r="F468" s="614"/>
      <c r="G468" s="614"/>
      <c r="H468" s="614"/>
      <c r="I468" s="614"/>
      <c r="Y468" s="625"/>
    </row>
    <row r="469" spans="4:25" s="476" customFormat="1" ht="13.15" customHeight="1" x14ac:dyDescent="0.2">
      <c r="D469" s="679"/>
      <c r="E469" s="679"/>
      <c r="F469" s="614"/>
      <c r="G469" s="614"/>
      <c r="H469" s="614"/>
      <c r="I469" s="614"/>
      <c r="Y469" s="625"/>
    </row>
    <row r="470" spans="4:25" s="476" customFormat="1" ht="13.15" customHeight="1" x14ac:dyDescent="0.2">
      <c r="D470" s="679"/>
      <c r="E470" s="679"/>
      <c r="F470" s="614"/>
      <c r="G470" s="614"/>
      <c r="H470" s="614"/>
      <c r="I470" s="614"/>
      <c r="Y470" s="625"/>
    </row>
    <row r="471" spans="4:25" s="476" customFormat="1" ht="13.15" customHeight="1" x14ac:dyDescent="0.2">
      <c r="D471" s="679"/>
      <c r="E471" s="679"/>
      <c r="F471" s="614"/>
      <c r="G471" s="614"/>
      <c r="H471" s="614"/>
      <c r="I471" s="614"/>
      <c r="Y471" s="625"/>
    </row>
    <row r="472" spans="4:25" s="476" customFormat="1" ht="13.15" customHeight="1" x14ac:dyDescent="0.2">
      <c r="D472" s="679"/>
      <c r="E472" s="679"/>
      <c r="F472" s="614"/>
      <c r="G472" s="614"/>
      <c r="H472" s="614"/>
      <c r="I472" s="614"/>
      <c r="Y472" s="625"/>
    </row>
    <row r="473" spans="4:25" s="476" customFormat="1" ht="13.15" customHeight="1" x14ac:dyDescent="0.2">
      <c r="D473" s="679"/>
      <c r="E473" s="679"/>
      <c r="F473" s="614"/>
      <c r="G473" s="614"/>
      <c r="H473" s="614"/>
      <c r="I473" s="614"/>
      <c r="Y473" s="625"/>
    </row>
    <row r="474" spans="4:25" s="476" customFormat="1" ht="13.15" customHeight="1" x14ac:dyDescent="0.2">
      <c r="D474" s="679"/>
      <c r="E474" s="679"/>
      <c r="F474" s="614"/>
      <c r="G474" s="614"/>
      <c r="H474" s="614"/>
      <c r="I474" s="614"/>
      <c r="Y474" s="625"/>
    </row>
    <row r="475" spans="4:25" s="476" customFormat="1" ht="13.15" customHeight="1" x14ac:dyDescent="0.2">
      <c r="D475" s="679"/>
      <c r="E475" s="679"/>
      <c r="F475" s="614"/>
      <c r="G475" s="614"/>
      <c r="H475" s="614"/>
      <c r="I475" s="614"/>
      <c r="Y475" s="625"/>
    </row>
    <row r="476" spans="4:25" s="476" customFormat="1" ht="13.15" customHeight="1" x14ac:dyDescent="0.2">
      <c r="D476" s="679"/>
      <c r="E476" s="679"/>
      <c r="F476" s="614"/>
      <c r="G476" s="614"/>
      <c r="H476" s="614"/>
      <c r="I476" s="614"/>
      <c r="Y476" s="625"/>
    </row>
    <row r="477" spans="4:25" s="476" customFormat="1" ht="13.15" customHeight="1" x14ac:dyDescent="0.2">
      <c r="D477" s="679"/>
      <c r="E477" s="679"/>
      <c r="F477" s="614"/>
      <c r="G477" s="614"/>
      <c r="H477" s="614"/>
      <c r="I477" s="614"/>
      <c r="Y477" s="625"/>
    </row>
    <row r="478" spans="4:25" s="476" customFormat="1" ht="13.15" customHeight="1" x14ac:dyDescent="0.2">
      <c r="D478" s="679"/>
      <c r="E478" s="679"/>
      <c r="F478" s="614"/>
      <c r="G478" s="614"/>
      <c r="H478" s="614"/>
      <c r="I478" s="614"/>
      <c r="Y478" s="625"/>
    </row>
    <row r="479" spans="4:25" s="476" customFormat="1" ht="13.15" customHeight="1" x14ac:dyDescent="0.2">
      <c r="D479" s="679"/>
      <c r="E479" s="679"/>
      <c r="F479" s="614"/>
      <c r="G479" s="614"/>
      <c r="H479" s="614"/>
      <c r="I479" s="614"/>
      <c r="Y479" s="625"/>
    </row>
    <row r="480" spans="4:25" s="476" customFormat="1" ht="13.15" customHeight="1" x14ac:dyDescent="0.2">
      <c r="D480" s="679"/>
      <c r="E480" s="679"/>
      <c r="F480" s="614"/>
      <c r="G480" s="614"/>
      <c r="H480" s="614"/>
      <c r="I480" s="614"/>
      <c r="Y480" s="625"/>
    </row>
    <row r="481" spans="4:25" s="476" customFormat="1" ht="13.15" customHeight="1" x14ac:dyDescent="0.2">
      <c r="D481" s="679"/>
      <c r="E481" s="679"/>
      <c r="F481" s="614"/>
      <c r="G481" s="614"/>
      <c r="H481" s="614"/>
      <c r="I481" s="614"/>
      <c r="Y481" s="625"/>
    </row>
    <row r="482" spans="4:25" s="476" customFormat="1" ht="13.15" customHeight="1" x14ac:dyDescent="0.2">
      <c r="D482" s="679"/>
      <c r="E482" s="679"/>
      <c r="F482" s="614"/>
      <c r="G482" s="614"/>
      <c r="H482" s="614"/>
      <c r="I482" s="614"/>
      <c r="Y482" s="625"/>
    </row>
    <row r="483" spans="4:25" s="476" customFormat="1" ht="13.15" customHeight="1" x14ac:dyDescent="0.2">
      <c r="D483" s="679"/>
      <c r="E483" s="679"/>
      <c r="F483" s="614"/>
      <c r="G483" s="614"/>
      <c r="H483" s="614"/>
      <c r="I483" s="614"/>
      <c r="Y483" s="625"/>
    </row>
    <row r="484" spans="4:25" s="476" customFormat="1" ht="13.15" customHeight="1" x14ac:dyDescent="0.2">
      <c r="D484" s="679"/>
      <c r="E484" s="679"/>
      <c r="F484" s="614"/>
      <c r="G484" s="614"/>
      <c r="H484" s="614"/>
      <c r="I484" s="614"/>
      <c r="Y484" s="625"/>
    </row>
    <row r="485" spans="4:25" s="476" customFormat="1" ht="13.15" customHeight="1" x14ac:dyDescent="0.2">
      <c r="D485" s="679"/>
      <c r="E485" s="679"/>
      <c r="F485" s="614"/>
      <c r="G485" s="614"/>
      <c r="H485" s="614"/>
      <c r="I485" s="614"/>
      <c r="Y485" s="625"/>
    </row>
    <row r="486" spans="4:25" s="476" customFormat="1" ht="13.15" customHeight="1" x14ac:dyDescent="0.2">
      <c r="D486" s="679"/>
      <c r="E486" s="679"/>
      <c r="F486" s="614"/>
      <c r="G486" s="614"/>
      <c r="H486" s="614"/>
      <c r="I486" s="614"/>
      <c r="Y486" s="625"/>
    </row>
    <row r="487" spans="4:25" s="476" customFormat="1" ht="13.15" customHeight="1" x14ac:dyDescent="0.2">
      <c r="D487" s="679"/>
      <c r="E487" s="679"/>
      <c r="F487" s="614"/>
      <c r="G487" s="614"/>
      <c r="H487" s="614"/>
      <c r="I487" s="614"/>
      <c r="Y487" s="625"/>
    </row>
    <row r="488" spans="4:25" s="476" customFormat="1" ht="13.15" customHeight="1" x14ac:dyDescent="0.2">
      <c r="D488" s="679"/>
      <c r="E488" s="679"/>
      <c r="F488" s="614"/>
      <c r="G488" s="614"/>
      <c r="H488" s="614"/>
      <c r="I488" s="614"/>
      <c r="Y488" s="625"/>
    </row>
  </sheetData>
  <sheetProtection algorithmName="SHA-512" hashValue="y9x2exVo/67tMZRCNQnhEpCaJMj4FXckTdWULDHw7ogqzzIS6h+QriTn9uIwuysINhkv7B/MwbNbM85nYzYxEQ==" saltValue="pEtWGaCX8S+s2FtpVd+zUQ==" spinCount="100000" sheet="1" objects="1" scenarios="1"/>
  <phoneticPr fontId="0" type="noConversion"/>
  <dataValidations count="2">
    <dataValidation type="list" allowBlank="1" showInputMessage="1" showErrorMessage="1" sqref="I14:I69">
      <formula1>"geen,1,2,3,4,5,6,7,8,9,10,11,12,13,14,15,16,17,18,19,20,21,22,23,24,25,26,27,28,29,30,31,32,33,34,35,36,37,38,39,40,41,42,43,44,45,46,47,48,49,50"</formula1>
    </dataValidation>
    <dataValidation type="list" allowBlank="1" showInputMessage="1" showErrorMessage="1" sqref="D14:D69">
      <formula1>"gebouwen en terreinen, inventaris en apparatuur, leermiddelen PO, overige materiële vaste activa"</formula1>
    </dataValidation>
  </dataValidations>
  <pageMargins left="0.74803149606299213" right="0.74803149606299213" top="0.98425196850393704" bottom="0.98425196850393704" header="0.51181102362204722" footer="0.51181102362204722"/>
  <pageSetup paperSize="9" scale="43" orientation="landscape" r:id="rId1"/>
  <headerFooter alignWithMargins="0">
    <oddHeader>&amp;L&amp;"Arial,Vet"&amp;F&amp;R&amp;"Arial,Vet"&amp;A</oddHeader>
    <oddFooter>&amp;L&amp;"Arial,Vet"keizer / goedhart&amp;C&amp;"Arial,Vet"pagina &amp;P&amp;R&amp;"Arial,Vet"&amp;D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487"/>
  <sheetViews>
    <sheetView showGridLines="0" zoomScale="85" zoomScaleNormal="85" workbookViewId="0">
      <selection activeCell="B2" sqref="B2"/>
    </sheetView>
  </sheetViews>
  <sheetFormatPr defaultColWidth="9.140625" defaultRowHeight="13.15" customHeight="1" x14ac:dyDescent="0.2"/>
  <cols>
    <col min="1" max="1" width="3.7109375" style="476" customWidth="1"/>
    <col min="2" max="2" width="2.7109375" style="131" customWidth="1"/>
    <col min="3" max="3" width="2.5703125" style="131" customWidth="1"/>
    <col min="4" max="4" width="33.28515625" style="131" customWidth="1"/>
    <col min="5" max="5" width="2.7109375" style="131" customWidth="1"/>
    <col min="6" max="6" width="15.7109375" style="131" hidden="1" customWidth="1"/>
    <col min="7" max="12" width="15.7109375" style="131" customWidth="1"/>
    <col min="13" max="14" width="2.7109375" style="131" customWidth="1"/>
    <col min="15" max="15" width="5.7109375" style="476" customWidth="1"/>
    <col min="16" max="16" width="2.7109375" style="476" customWidth="1"/>
    <col min="17" max="17" width="12.7109375" style="925" customWidth="1"/>
    <col min="18" max="19" width="12.7109375" style="926" customWidth="1"/>
    <col min="20" max="21" width="10.7109375" style="926" customWidth="1"/>
    <col min="22" max="22" width="2.7109375" style="476" customWidth="1"/>
    <col min="23" max="48" width="9.140625" style="476"/>
    <col min="49" max="16384" width="9.140625" style="131"/>
  </cols>
  <sheetData>
    <row r="1" spans="1:48" s="476" customFormat="1" ht="13.15" customHeight="1" x14ac:dyDescent="0.2">
      <c r="Q1" s="925"/>
      <c r="R1" s="926"/>
      <c r="S1" s="926"/>
      <c r="T1" s="926"/>
      <c r="U1" s="926"/>
    </row>
    <row r="2" spans="1:48" ht="13.15" customHeight="1" x14ac:dyDescent="0.2">
      <c r="B2" s="82"/>
      <c r="C2" s="83"/>
      <c r="D2" s="83"/>
      <c r="E2" s="83"/>
      <c r="F2" s="83"/>
      <c r="G2" s="83"/>
      <c r="H2" s="83"/>
      <c r="I2" s="83"/>
      <c r="J2" s="83"/>
      <c r="K2" s="83"/>
      <c r="L2" s="83"/>
      <c r="M2" s="83"/>
      <c r="N2" s="461"/>
      <c r="Q2" s="476"/>
    </row>
    <row r="3" spans="1:48" ht="13.15" customHeight="1" x14ac:dyDescent="0.2">
      <c r="B3" s="86"/>
      <c r="C3" s="87"/>
      <c r="D3" s="87"/>
      <c r="E3" s="87"/>
      <c r="F3" s="87"/>
      <c r="G3" s="87"/>
      <c r="H3" s="87"/>
      <c r="I3" s="87"/>
      <c r="J3" s="87"/>
      <c r="K3" s="87"/>
      <c r="L3" s="87"/>
      <c r="M3" s="87"/>
      <c r="N3" s="88"/>
    </row>
    <row r="4" spans="1:48" s="198" customFormat="1" ht="18" customHeight="1" x14ac:dyDescent="0.3">
      <c r="A4" s="655"/>
      <c r="B4" s="203"/>
      <c r="C4" s="204" t="s">
        <v>115</v>
      </c>
      <c r="D4" s="204"/>
      <c r="E4" s="204"/>
      <c r="F4" s="204"/>
      <c r="G4" s="204"/>
      <c r="H4" s="204"/>
      <c r="I4" s="204"/>
      <c r="J4" s="204"/>
      <c r="K4" s="204"/>
      <c r="L4" s="204"/>
      <c r="M4" s="204"/>
      <c r="N4" s="206"/>
      <c r="O4" s="655"/>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row>
    <row r="5" spans="1:48" s="781" customFormat="1" ht="15.6" customHeight="1" x14ac:dyDescent="0.25">
      <c r="A5" s="762"/>
      <c r="B5" s="776"/>
      <c r="C5" s="777" t="str">
        <f>'geg LO'!G8</f>
        <v>SWV PO Passend Onderwijs</v>
      </c>
      <c r="D5" s="778"/>
      <c r="E5" s="779"/>
      <c r="F5" s="779"/>
      <c r="G5" s="779"/>
      <c r="H5" s="779"/>
      <c r="I5" s="779"/>
      <c r="J5" s="779"/>
      <c r="K5" s="779"/>
      <c r="L5" s="779"/>
      <c r="M5" s="779"/>
      <c r="N5" s="780"/>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762"/>
      <c r="AT5" s="762"/>
      <c r="AU5" s="762"/>
      <c r="AV5" s="762"/>
    </row>
    <row r="6" spans="1:48" s="224" customFormat="1" ht="13.15" customHeight="1" x14ac:dyDescent="0.2">
      <c r="A6" s="703"/>
      <c r="B6" s="226"/>
      <c r="C6" s="227"/>
      <c r="D6" s="227"/>
      <c r="E6" s="227"/>
      <c r="F6" s="227"/>
      <c r="G6" s="227"/>
      <c r="H6" s="227"/>
      <c r="I6" s="227"/>
      <c r="J6" s="227"/>
      <c r="K6" s="227"/>
      <c r="L6" s="227"/>
      <c r="M6" s="227"/>
      <c r="N6" s="228"/>
      <c r="O6" s="703"/>
      <c r="P6" s="703"/>
      <c r="Q6" s="927"/>
      <c r="R6" s="703"/>
      <c r="S6" s="703"/>
      <c r="T6" s="703"/>
      <c r="U6" s="703"/>
      <c r="V6" s="703"/>
      <c r="W6" s="703"/>
      <c r="X6" s="703"/>
      <c r="Y6" s="703"/>
      <c r="Z6" s="703"/>
      <c r="AA6" s="703"/>
      <c r="AB6" s="703"/>
      <c r="AC6" s="703"/>
      <c r="AD6" s="703"/>
      <c r="AE6" s="703"/>
      <c r="AF6" s="703"/>
      <c r="AG6" s="703"/>
      <c r="AH6" s="703"/>
      <c r="AI6" s="703"/>
      <c r="AJ6" s="703"/>
      <c r="AK6" s="703"/>
      <c r="AL6" s="703"/>
      <c r="AM6" s="703"/>
      <c r="AN6" s="703"/>
      <c r="AO6" s="703"/>
      <c r="AP6" s="703"/>
      <c r="AQ6" s="703"/>
      <c r="AR6" s="703"/>
      <c r="AS6" s="703"/>
      <c r="AT6" s="703"/>
      <c r="AU6" s="703"/>
      <c r="AV6" s="703"/>
    </row>
    <row r="7" spans="1:48" s="224" customFormat="1" ht="13.15" customHeight="1" x14ac:dyDescent="0.2">
      <c r="A7" s="703"/>
      <c r="B7" s="226"/>
      <c r="C7" s="227"/>
      <c r="D7" s="227"/>
      <c r="E7" s="227"/>
      <c r="F7" s="227"/>
      <c r="G7" s="227"/>
      <c r="H7" s="299"/>
      <c r="I7" s="227"/>
      <c r="J7" s="227"/>
      <c r="K7" s="227"/>
      <c r="L7" s="227"/>
      <c r="M7" s="227"/>
      <c r="N7" s="228"/>
      <c r="O7" s="703"/>
      <c r="P7" s="703"/>
      <c r="Q7" s="927"/>
      <c r="R7" s="703"/>
      <c r="S7" s="703"/>
      <c r="T7" s="703"/>
      <c r="U7" s="703"/>
      <c r="V7" s="703"/>
      <c r="W7" s="703"/>
      <c r="X7" s="703"/>
      <c r="Y7" s="703"/>
      <c r="Z7" s="703"/>
      <c r="AA7" s="703"/>
      <c r="AB7" s="703"/>
      <c r="AC7" s="703"/>
      <c r="AD7" s="703"/>
      <c r="AE7" s="703"/>
      <c r="AF7" s="703"/>
      <c r="AG7" s="703"/>
      <c r="AH7" s="703"/>
      <c r="AI7" s="703"/>
      <c r="AJ7" s="703"/>
      <c r="AK7" s="703"/>
      <c r="AL7" s="703"/>
      <c r="AM7" s="703"/>
      <c r="AN7" s="703"/>
      <c r="AO7" s="703"/>
      <c r="AP7" s="703"/>
      <c r="AQ7" s="703"/>
      <c r="AR7" s="703"/>
      <c r="AS7" s="703"/>
      <c r="AT7" s="703"/>
      <c r="AU7" s="703"/>
      <c r="AV7" s="703"/>
    </row>
    <row r="8" spans="1:48" s="224" customFormat="1" ht="13.15" customHeight="1" x14ac:dyDescent="0.2">
      <c r="A8" s="703"/>
      <c r="B8" s="226"/>
      <c r="C8" s="227"/>
      <c r="D8" s="227"/>
      <c r="E8" s="227"/>
      <c r="F8" s="700" t="e">
        <f>+tab!#REF!</f>
        <v>#REF!</v>
      </c>
      <c r="G8" s="700">
        <f>+tab!C4</f>
        <v>2015</v>
      </c>
      <c r="H8" s="700">
        <f>+tab!D4</f>
        <v>2016</v>
      </c>
      <c r="I8" s="700">
        <f>+tab!E4</f>
        <v>2017</v>
      </c>
      <c r="J8" s="700">
        <f>+tab!F4</f>
        <v>2018</v>
      </c>
      <c r="K8" s="700">
        <f>+tab!G4</f>
        <v>2019</v>
      </c>
      <c r="L8" s="700">
        <f>+tab!H4</f>
        <v>2020</v>
      </c>
      <c r="M8" s="227"/>
      <c r="N8" s="228"/>
      <c r="O8" s="703"/>
      <c r="P8" s="703"/>
      <c r="Q8" s="927"/>
      <c r="R8" s="703"/>
      <c r="S8" s="703"/>
      <c r="T8" s="703"/>
      <c r="U8" s="703"/>
      <c r="V8" s="703"/>
      <c r="W8" s="703"/>
      <c r="X8" s="703"/>
      <c r="Y8" s="703"/>
      <c r="Z8" s="703"/>
      <c r="AA8" s="703"/>
      <c r="AB8" s="703"/>
      <c r="AC8" s="703"/>
      <c r="AD8" s="703"/>
      <c r="AE8" s="703"/>
      <c r="AF8" s="703"/>
      <c r="AG8" s="703"/>
      <c r="AH8" s="703"/>
      <c r="AI8" s="703"/>
      <c r="AJ8" s="703"/>
      <c r="AK8" s="703"/>
      <c r="AL8" s="703"/>
      <c r="AM8" s="703"/>
      <c r="AN8" s="703"/>
      <c r="AO8" s="703"/>
      <c r="AP8" s="703"/>
      <c r="AQ8" s="703"/>
      <c r="AR8" s="703"/>
      <c r="AS8" s="703"/>
      <c r="AT8" s="703"/>
      <c r="AU8" s="703"/>
      <c r="AV8" s="703"/>
    </row>
    <row r="9" spans="1:48" ht="13.15" customHeight="1" x14ac:dyDescent="0.2">
      <c r="B9" s="86"/>
      <c r="C9" s="87"/>
      <c r="D9" s="87"/>
      <c r="E9" s="87"/>
      <c r="F9" s="87"/>
      <c r="G9" s="87"/>
      <c r="H9" s="87"/>
      <c r="I9" s="87"/>
      <c r="J9" s="87"/>
      <c r="K9" s="87"/>
      <c r="L9" s="87"/>
      <c r="M9" s="87"/>
      <c r="N9" s="88"/>
    </row>
    <row r="10" spans="1:48" ht="13.15" customHeight="1" x14ac:dyDescent="0.2">
      <c r="B10" s="86"/>
      <c r="C10" s="1000"/>
      <c r="D10" s="1000"/>
      <c r="E10" s="1000"/>
      <c r="F10" s="1000"/>
      <c r="G10" s="1000"/>
      <c r="H10" s="1000"/>
      <c r="I10" s="1000"/>
      <c r="J10" s="1000"/>
      <c r="K10" s="1000"/>
      <c r="L10" s="1000"/>
      <c r="M10" s="1000"/>
      <c r="N10" s="88"/>
      <c r="R10" s="925"/>
      <c r="S10" s="925"/>
      <c r="T10" s="925"/>
      <c r="V10" s="925"/>
      <c r="W10" s="925"/>
    </row>
    <row r="11" spans="1:48" ht="13.15" customHeight="1" x14ac:dyDescent="0.2">
      <c r="B11" s="86"/>
      <c r="C11" s="1000"/>
      <c r="D11" s="1194" t="s">
        <v>292</v>
      </c>
      <c r="E11" s="1000"/>
      <c r="F11" s="1000"/>
      <c r="G11" s="1000"/>
      <c r="H11" s="1000"/>
      <c r="I11" s="1000"/>
      <c r="J11" s="1000"/>
      <c r="K11" s="1000"/>
      <c r="L11" s="1000"/>
      <c r="M11" s="1000"/>
      <c r="N11" s="88"/>
      <c r="R11" s="925"/>
      <c r="S11" s="925"/>
      <c r="T11" s="925"/>
      <c r="V11" s="925"/>
      <c r="W11" s="925"/>
    </row>
    <row r="12" spans="1:48" ht="13.15" customHeight="1" x14ac:dyDescent="0.2">
      <c r="B12" s="86"/>
      <c r="C12" s="1000"/>
      <c r="D12" s="1079" t="s">
        <v>228</v>
      </c>
      <c r="E12" s="1000"/>
      <c r="F12" s="1294">
        <v>0</v>
      </c>
      <c r="G12" s="1351">
        <v>0</v>
      </c>
      <c r="H12" s="1295">
        <f t="shared" ref="H12:J15" si="0">G39</f>
        <v>0</v>
      </c>
      <c r="I12" s="1295">
        <f t="shared" si="0"/>
        <v>0</v>
      </c>
      <c r="J12" s="1295">
        <f t="shared" si="0"/>
        <v>0</v>
      </c>
      <c r="K12" s="1295">
        <f t="shared" ref="K12:L15" si="1">J39</f>
        <v>0</v>
      </c>
      <c r="L12" s="1295">
        <f t="shared" si="1"/>
        <v>0</v>
      </c>
      <c r="M12" s="1000"/>
      <c r="N12" s="88"/>
      <c r="R12" s="925"/>
      <c r="S12" s="925"/>
      <c r="T12" s="925"/>
      <c r="V12" s="925"/>
      <c r="W12" s="925"/>
    </row>
    <row r="13" spans="1:48" ht="13.15" customHeight="1" x14ac:dyDescent="0.2">
      <c r="B13" s="86"/>
      <c r="C13" s="1000"/>
      <c r="D13" s="1079" t="s">
        <v>233</v>
      </c>
      <c r="E13" s="1000"/>
      <c r="F13" s="1294">
        <v>0</v>
      </c>
      <c r="G13" s="1351">
        <v>0</v>
      </c>
      <c r="H13" s="1295">
        <f t="shared" si="0"/>
        <v>0</v>
      </c>
      <c r="I13" s="1295">
        <f t="shared" si="0"/>
        <v>0</v>
      </c>
      <c r="J13" s="1295">
        <f t="shared" si="0"/>
        <v>0</v>
      </c>
      <c r="K13" s="1295">
        <f t="shared" si="1"/>
        <v>0</v>
      </c>
      <c r="L13" s="1295">
        <f t="shared" si="1"/>
        <v>0</v>
      </c>
      <c r="M13" s="1000"/>
      <c r="N13" s="88"/>
      <c r="R13" s="925"/>
      <c r="S13" s="925"/>
      <c r="T13" s="925"/>
      <c r="V13" s="925"/>
      <c r="W13" s="925"/>
    </row>
    <row r="14" spans="1:48" ht="13.15" customHeight="1" x14ac:dyDescent="0.2">
      <c r="B14" s="86"/>
      <c r="C14" s="1000"/>
      <c r="D14" s="1079" t="s">
        <v>234</v>
      </c>
      <c r="E14" s="1000"/>
      <c r="F14" s="1294">
        <v>0</v>
      </c>
      <c r="G14" s="1351">
        <v>0</v>
      </c>
      <c r="H14" s="1295">
        <f t="shared" si="0"/>
        <v>0</v>
      </c>
      <c r="I14" s="1295">
        <f t="shared" si="0"/>
        <v>0</v>
      </c>
      <c r="J14" s="1295">
        <f t="shared" si="0"/>
        <v>0</v>
      </c>
      <c r="K14" s="1295">
        <f t="shared" si="1"/>
        <v>0</v>
      </c>
      <c r="L14" s="1295">
        <f t="shared" si="1"/>
        <v>0</v>
      </c>
      <c r="M14" s="1000"/>
      <c r="N14" s="88"/>
      <c r="R14" s="925"/>
      <c r="S14" s="925"/>
      <c r="T14" s="925"/>
      <c r="V14" s="925"/>
      <c r="W14" s="925"/>
    </row>
    <row r="15" spans="1:48" ht="13.15" customHeight="1" x14ac:dyDescent="0.2">
      <c r="B15" s="86"/>
      <c r="C15" s="1000"/>
      <c r="D15" s="1079" t="s">
        <v>235</v>
      </c>
      <c r="E15" s="1000"/>
      <c r="F15" s="1294">
        <v>0</v>
      </c>
      <c r="G15" s="1351">
        <v>0</v>
      </c>
      <c r="H15" s="1295">
        <f t="shared" si="0"/>
        <v>0</v>
      </c>
      <c r="I15" s="1295">
        <f t="shared" si="0"/>
        <v>0</v>
      </c>
      <c r="J15" s="1295">
        <f t="shared" si="0"/>
        <v>0</v>
      </c>
      <c r="K15" s="1295">
        <f t="shared" si="1"/>
        <v>0</v>
      </c>
      <c r="L15" s="1295">
        <f t="shared" si="1"/>
        <v>0</v>
      </c>
      <c r="M15" s="1000"/>
      <c r="N15" s="88"/>
      <c r="R15" s="925"/>
      <c r="S15" s="925"/>
      <c r="T15" s="925"/>
      <c r="V15" s="925"/>
      <c r="W15" s="925"/>
    </row>
    <row r="16" spans="1:48" ht="13.15" customHeight="1" x14ac:dyDescent="0.2">
      <c r="B16" s="86"/>
      <c r="C16" s="1000"/>
      <c r="D16" s="1088"/>
      <c r="E16" s="1000"/>
      <c r="F16" s="1296">
        <f t="shared" ref="F16:L16" si="2">SUM(F12:F15)</f>
        <v>0</v>
      </c>
      <c r="G16" s="1296">
        <f t="shared" si="2"/>
        <v>0</v>
      </c>
      <c r="H16" s="1296">
        <f t="shared" si="2"/>
        <v>0</v>
      </c>
      <c r="I16" s="1296">
        <f t="shared" si="2"/>
        <v>0</v>
      </c>
      <c r="J16" s="1296">
        <f t="shared" si="2"/>
        <v>0</v>
      </c>
      <c r="K16" s="1296">
        <f t="shared" si="2"/>
        <v>0</v>
      </c>
      <c r="L16" s="1296">
        <f t="shared" si="2"/>
        <v>0</v>
      </c>
      <c r="M16" s="1000"/>
      <c r="N16" s="88"/>
      <c r="Q16" s="926"/>
      <c r="V16" s="926"/>
      <c r="W16" s="926"/>
    </row>
    <row r="17" spans="2:23" ht="13.15" customHeight="1" x14ac:dyDescent="0.2">
      <c r="B17" s="86"/>
      <c r="C17" s="1000"/>
      <c r="D17" s="1092"/>
      <c r="E17" s="1000"/>
      <c r="F17" s="1257"/>
      <c r="G17" s="1000"/>
      <c r="H17" s="1000"/>
      <c r="I17" s="1000"/>
      <c r="J17" s="1000"/>
      <c r="K17" s="1000"/>
      <c r="L17" s="1000"/>
      <c r="M17" s="1000"/>
      <c r="N17" s="88"/>
      <c r="R17" s="925"/>
      <c r="S17" s="925"/>
      <c r="T17" s="925"/>
      <c r="V17" s="925"/>
      <c r="W17" s="925"/>
    </row>
    <row r="18" spans="2:23" ht="13.15" customHeight="1" x14ac:dyDescent="0.2">
      <c r="B18" s="86"/>
      <c r="C18" s="1265"/>
      <c r="D18" s="1265"/>
      <c r="E18" s="1265"/>
      <c r="F18" s="1265"/>
      <c r="G18" s="1265"/>
      <c r="H18" s="1265"/>
      <c r="I18" s="1265"/>
      <c r="J18" s="1265"/>
      <c r="K18" s="1265"/>
      <c r="L18" s="1265"/>
      <c r="M18" s="1265"/>
      <c r="N18" s="88"/>
      <c r="R18" s="925"/>
      <c r="S18" s="925"/>
      <c r="T18" s="925"/>
      <c r="V18" s="925"/>
      <c r="W18" s="925"/>
    </row>
    <row r="19" spans="2:23" ht="13.15" customHeight="1" x14ac:dyDescent="0.2">
      <c r="B19" s="86"/>
      <c r="C19" s="1000"/>
      <c r="D19" s="1000"/>
      <c r="E19" s="1000"/>
      <c r="F19" s="1000"/>
      <c r="G19" s="1000"/>
      <c r="H19" s="1000"/>
      <c r="I19" s="1000"/>
      <c r="J19" s="1000"/>
      <c r="K19" s="1000"/>
      <c r="L19" s="1000"/>
      <c r="M19" s="1000"/>
      <c r="N19" s="88"/>
      <c r="R19" s="925"/>
      <c r="S19" s="925"/>
      <c r="T19" s="925"/>
      <c r="V19" s="925"/>
      <c r="W19" s="925"/>
    </row>
    <row r="20" spans="2:23" ht="13.15" customHeight="1" x14ac:dyDescent="0.2">
      <c r="B20" s="86"/>
      <c r="C20" s="1000"/>
      <c r="D20" s="1194" t="s">
        <v>293</v>
      </c>
      <c r="E20" s="1000"/>
      <c r="F20" s="1000"/>
      <c r="G20" s="1000"/>
      <c r="H20" s="1000"/>
      <c r="I20" s="1000"/>
      <c r="J20" s="1000"/>
      <c r="K20" s="1000"/>
      <c r="L20" s="1000"/>
      <c r="M20" s="1000"/>
      <c r="N20" s="88"/>
      <c r="R20" s="925"/>
      <c r="S20" s="925"/>
      <c r="T20" s="925"/>
      <c r="V20" s="925"/>
      <c r="W20" s="925"/>
    </row>
    <row r="21" spans="2:23" ht="13.15" customHeight="1" x14ac:dyDescent="0.2">
      <c r="B21" s="86"/>
      <c r="C21" s="1000"/>
      <c r="D21" s="1079" t="s">
        <v>228</v>
      </c>
      <c r="E21" s="1000"/>
      <c r="F21" s="1295">
        <f>SUMIF(mip!$D$14:$D$70,"gebouwen en terreinen",mip!Y$14:Y$70)</f>
        <v>0</v>
      </c>
      <c r="G21" s="1295">
        <f>SUMIF(mip!$D$14:$D$70,"gebouwen en terreinen",mip!Z$14:Z$70)</f>
        <v>0</v>
      </c>
      <c r="H21" s="1295">
        <f>SUMIF(mip!$D$14:$D$70,"gebouwen en terreinen",mip!AA$14:AA$70)</f>
        <v>0</v>
      </c>
      <c r="I21" s="1295">
        <f>SUMIF(mip!$D$14:$D$70,"gebouwen en terreinen",mip!AB$14:AB$70)</f>
        <v>0</v>
      </c>
      <c r="J21" s="1295">
        <f>SUMIF(mip!$D$14:$D$70,"gebouwen en terreinen",mip!AC$14:AC$70)</f>
        <v>0</v>
      </c>
      <c r="K21" s="1295">
        <f>SUMIF(mip!$D$14:$D$70,"gebouwen en terreinen",mip!AD$14:AD$70)</f>
        <v>0</v>
      </c>
      <c r="L21" s="1295">
        <f>SUMIF(mip!$D$14:$D$70,"gebouwen en terreinen",mip!AE$14:AE$70)</f>
        <v>0</v>
      </c>
      <c r="M21" s="1000"/>
      <c r="N21" s="88"/>
      <c r="R21" s="925"/>
      <c r="S21" s="925"/>
      <c r="T21" s="925"/>
      <c r="V21" s="925"/>
      <c r="W21" s="925"/>
    </row>
    <row r="22" spans="2:23" ht="13.15" customHeight="1" x14ac:dyDescent="0.2">
      <c r="B22" s="86"/>
      <c r="C22" s="1000"/>
      <c r="D22" s="1079" t="s">
        <v>233</v>
      </c>
      <c r="E22" s="1000"/>
      <c r="F22" s="1295">
        <f>SUMIF(mip!$D$14:$D$70,"inventaris en apparatuur",mip!Y$14:Y$70)</f>
        <v>0</v>
      </c>
      <c r="G22" s="1295">
        <f>SUMIF(mip!$D$14:$D$70,"inventaris en apparatuur",mip!Z$14:Z$70)</f>
        <v>0</v>
      </c>
      <c r="H22" s="1295">
        <f>SUMIF(mip!$D$14:$D$70,"inventaris en apparatuur",mip!AA$14:AA$70)</f>
        <v>0</v>
      </c>
      <c r="I22" s="1295">
        <f>SUMIF(mip!$D$14:$D$70,"inventaris en apparatuur",mip!AB$14:AB$70)</f>
        <v>0</v>
      </c>
      <c r="J22" s="1295">
        <f>SUMIF(mip!$D$14:$D$70,"inventaris en apparatuur",mip!AC$14:AC$70)</f>
        <v>0</v>
      </c>
      <c r="K22" s="1295">
        <f>SUMIF(mip!$D$14:$D$70,"inventaris en apparatuur",mip!AD$14:AD$70)</f>
        <v>0</v>
      </c>
      <c r="L22" s="1295">
        <f>SUMIF(mip!$D$14:$D$70,"inventaris en apparatuur",mip!AE$14:AE$70)</f>
        <v>0</v>
      </c>
      <c r="M22" s="1000"/>
      <c r="N22" s="88"/>
      <c r="R22" s="925"/>
      <c r="S22" s="925"/>
      <c r="T22" s="925"/>
      <c r="V22" s="925"/>
      <c r="W22" s="925"/>
    </row>
    <row r="23" spans="2:23" ht="13.15" customHeight="1" x14ac:dyDescent="0.2">
      <c r="B23" s="86"/>
      <c r="C23" s="1000"/>
      <c r="D23" s="1079" t="s">
        <v>234</v>
      </c>
      <c r="E23" s="1000"/>
      <c r="F23" s="1295">
        <f>SUMIF(mip!$D$14:$D$70,"leermiddelen po",mip!Y$14:Y$70)</f>
        <v>0</v>
      </c>
      <c r="G23" s="1295">
        <f>SUMIF(mip!$D$14:$D$70,"leermiddelen po",mip!Z$14:Z$70)</f>
        <v>0</v>
      </c>
      <c r="H23" s="1295">
        <f>SUMIF(mip!$D$14:$D$70,"leermiddelen po",mip!AA$14:AA$70)</f>
        <v>0</v>
      </c>
      <c r="I23" s="1295">
        <f>SUMIF(mip!$D$14:$D$70,"leermiddelen po",mip!AB$14:AB$70)</f>
        <v>0</v>
      </c>
      <c r="J23" s="1295">
        <f>SUMIF(mip!$D$14:$D$70,"leermiddelen po",mip!AC$14:AC$70)</f>
        <v>0</v>
      </c>
      <c r="K23" s="1295">
        <f>SUMIF(mip!$D$14:$D$70,"leermiddelen po",mip!AD$14:AD$70)</f>
        <v>0</v>
      </c>
      <c r="L23" s="1295">
        <f>SUMIF(mip!$D$14:$D$70,"leermiddelen po",mip!AE$14:AE$70)</f>
        <v>0</v>
      </c>
      <c r="M23" s="1000"/>
      <c r="N23" s="88"/>
      <c r="R23" s="925"/>
      <c r="S23" s="925"/>
      <c r="T23" s="925"/>
      <c r="V23" s="925"/>
      <c r="W23" s="925"/>
    </row>
    <row r="24" spans="2:23" ht="13.15" customHeight="1" x14ac:dyDescent="0.2">
      <c r="B24" s="86"/>
      <c r="C24" s="1000"/>
      <c r="D24" s="1079" t="s">
        <v>235</v>
      </c>
      <c r="E24" s="1000"/>
      <c r="F24" s="1295">
        <f>SUMIF(mip!$D$14:$D$70,"overige materiële vaste activa",mip!Y$14:Y$70)</f>
        <v>0</v>
      </c>
      <c r="G24" s="1295">
        <f>SUMIF(mip!$D$14:$D$70,"overige materiële vaste activa",mip!Z$14:Z$70)</f>
        <v>0</v>
      </c>
      <c r="H24" s="1295">
        <f>SUMIF(mip!$D$14:$D$70,"overige materiële vaste activa",mip!AA$14:AA$70)</f>
        <v>0</v>
      </c>
      <c r="I24" s="1295">
        <f>SUMIF(mip!$D$14:$D$70,"overige materiële vaste activa",mip!AB$14:AB$70)</f>
        <v>0</v>
      </c>
      <c r="J24" s="1295">
        <f>SUMIF(mip!$D$14:$D$70,"overige materiële vaste activa",mip!AC$14:AC$70)</f>
        <v>0</v>
      </c>
      <c r="K24" s="1295">
        <f>SUMIF(mip!$D$14:$D$70,"overige materiële vaste activa",mip!AD$14:AD$70)</f>
        <v>0</v>
      </c>
      <c r="L24" s="1295">
        <f>SUMIF(mip!$D$14:$D$70,"overige materiële vaste activa",mip!AE$14:AE$70)</f>
        <v>0</v>
      </c>
      <c r="M24" s="1000"/>
      <c r="N24" s="88"/>
      <c r="R24" s="925"/>
      <c r="S24" s="925"/>
      <c r="T24" s="925"/>
      <c r="V24" s="925"/>
      <c r="W24" s="925"/>
    </row>
    <row r="25" spans="2:23" ht="13.15" customHeight="1" x14ac:dyDescent="0.2">
      <c r="B25" s="86"/>
      <c r="C25" s="1000"/>
      <c r="D25" s="1088"/>
      <c r="E25" s="1000"/>
      <c r="F25" s="1296">
        <f t="shared" ref="F25:L25" si="3">SUM(F21:F24)</f>
        <v>0</v>
      </c>
      <c r="G25" s="1296">
        <f t="shared" si="3"/>
        <v>0</v>
      </c>
      <c r="H25" s="1296">
        <f t="shared" si="3"/>
        <v>0</v>
      </c>
      <c r="I25" s="1296">
        <f t="shared" si="3"/>
        <v>0</v>
      </c>
      <c r="J25" s="1296">
        <f t="shared" si="3"/>
        <v>0</v>
      </c>
      <c r="K25" s="1296">
        <f t="shared" si="3"/>
        <v>0</v>
      </c>
      <c r="L25" s="1296">
        <f t="shared" si="3"/>
        <v>0</v>
      </c>
      <c r="M25" s="1000"/>
      <c r="N25" s="88"/>
      <c r="Q25" s="926"/>
      <c r="V25" s="926"/>
      <c r="W25" s="926"/>
    </row>
    <row r="26" spans="2:23" ht="13.15" customHeight="1" x14ac:dyDescent="0.2">
      <c r="B26" s="86"/>
      <c r="C26" s="1000"/>
      <c r="D26" s="1092"/>
      <c r="E26" s="1000"/>
      <c r="F26" s="1257"/>
      <c r="G26" s="1000"/>
      <c r="H26" s="1000"/>
      <c r="I26" s="1000"/>
      <c r="J26" s="1000"/>
      <c r="K26" s="1000"/>
      <c r="L26" s="1000"/>
      <c r="M26" s="1000"/>
      <c r="N26" s="88"/>
      <c r="R26" s="925"/>
      <c r="S26" s="925"/>
      <c r="T26" s="925"/>
      <c r="V26" s="925"/>
      <c r="W26" s="925"/>
    </row>
    <row r="27" spans="2:23" ht="13.15" customHeight="1" x14ac:dyDescent="0.2">
      <c r="B27" s="86"/>
      <c r="C27" s="1265"/>
      <c r="D27" s="1265"/>
      <c r="E27" s="1265"/>
      <c r="F27" s="1265"/>
      <c r="G27" s="1265"/>
      <c r="H27" s="1265"/>
      <c r="I27" s="1265"/>
      <c r="J27" s="1265"/>
      <c r="K27" s="1265"/>
      <c r="L27" s="1265"/>
      <c r="M27" s="1265"/>
      <c r="N27" s="88"/>
      <c r="R27" s="925"/>
      <c r="S27" s="925"/>
      <c r="T27" s="925"/>
      <c r="V27" s="925"/>
      <c r="W27" s="925"/>
    </row>
    <row r="28" spans="2:23" ht="13.15" customHeight="1" x14ac:dyDescent="0.2">
      <c r="B28" s="86"/>
      <c r="C28" s="1000"/>
      <c r="D28" s="1000"/>
      <c r="E28" s="1000"/>
      <c r="F28" s="1297"/>
      <c r="G28" s="1300"/>
      <c r="H28" s="1300"/>
      <c r="I28" s="1300"/>
      <c r="J28" s="1300"/>
      <c r="K28" s="1300"/>
      <c r="L28" s="1300"/>
      <c r="M28" s="1000"/>
      <c r="N28" s="88"/>
      <c r="R28" s="925"/>
      <c r="S28" s="925"/>
      <c r="T28" s="925"/>
      <c r="V28" s="925"/>
      <c r="W28" s="925"/>
    </row>
    <row r="29" spans="2:23" ht="13.15" customHeight="1" x14ac:dyDescent="0.2">
      <c r="B29" s="86"/>
      <c r="C29" s="1000"/>
      <c r="D29" s="1194" t="s">
        <v>223</v>
      </c>
      <c r="E29" s="1000"/>
      <c r="F29" s="1297"/>
      <c r="G29" s="1300"/>
      <c r="H29" s="1300"/>
      <c r="I29" s="1300"/>
      <c r="J29" s="1300"/>
      <c r="K29" s="1300"/>
      <c r="L29" s="1300"/>
      <c r="M29" s="1000"/>
      <c r="N29" s="88"/>
      <c r="R29" s="925"/>
      <c r="S29" s="925"/>
      <c r="T29" s="925"/>
      <c r="V29" s="925"/>
      <c r="W29" s="925"/>
    </row>
    <row r="30" spans="2:23" ht="13.15" customHeight="1" x14ac:dyDescent="0.2">
      <c r="B30" s="86"/>
      <c r="C30" s="1000"/>
      <c r="D30" s="1079" t="s">
        <v>228</v>
      </c>
      <c r="E30" s="1000"/>
      <c r="F30" s="1295">
        <f>SUMIF(mip!$D$14:$D$70,"gebouwen en terreinen",mip!Q$14:Q$70)</f>
        <v>0</v>
      </c>
      <c r="G30" s="1295">
        <f>SUMIF(mip!$D$14:$D$70,"gebouwen en terreinen",mip!R$14:R$70)</f>
        <v>0</v>
      </c>
      <c r="H30" s="1295">
        <f>SUMIF(mip!$D$14:$D$70,"gebouwen en terreinen",mip!S$14:S$70)</f>
        <v>0</v>
      </c>
      <c r="I30" s="1295">
        <f>SUMIF(mip!$D$14:$D$70,"gebouwen en terreinen",mip!T$14:T$70)</f>
        <v>0</v>
      </c>
      <c r="J30" s="1295">
        <f>SUMIF(mip!$D$14:$D$70,"gebouwen en terreinen",mip!U$14:U$70)</f>
        <v>0</v>
      </c>
      <c r="K30" s="1295">
        <f>SUMIF(mip!$D$14:$D$70,"gebouwen en terreinen",mip!V$14:V$70)</f>
        <v>0</v>
      </c>
      <c r="L30" s="1295">
        <f>SUMIF(mip!$D$14:$D$70,"gebouwen en terreinen",mip!W$14:W$70)</f>
        <v>0</v>
      </c>
      <c r="M30" s="1000"/>
      <c r="N30" s="88"/>
      <c r="R30" s="925"/>
      <c r="S30" s="925"/>
      <c r="T30" s="925"/>
      <c r="V30" s="925"/>
      <c r="W30" s="925"/>
    </row>
    <row r="31" spans="2:23" ht="13.15" customHeight="1" x14ac:dyDescent="0.2">
      <c r="B31" s="86"/>
      <c r="C31" s="1000"/>
      <c r="D31" s="1079" t="s">
        <v>233</v>
      </c>
      <c r="E31" s="1000"/>
      <c r="F31" s="1295">
        <f>SUMIF(mip!$D$14:$D$70,"inventaris en apparatuur",mip!Q$14:Q$70)</f>
        <v>0</v>
      </c>
      <c r="G31" s="1295">
        <f>SUMIF(mip!$D$14:$D$70,"inventaris en apparatuur",mip!R$14:R$70)</f>
        <v>0</v>
      </c>
      <c r="H31" s="1295">
        <f>SUMIF(mip!$D$14:$D$70,"inventaris en apparatuur",mip!S$14:S$70)</f>
        <v>0</v>
      </c>
      <c r="I31" s="1295">
        <f>SUMIF(mip!$D$14:$D$70,"inventaris en apparatuur",mip!T$14:T$70)</f>
        <v>0</v>
      </c>
      <c r="J31" s="1295">
        <f>SUMIF(mip!$D$14:$D$70,"inventaris en apparatuur",mip!U$14:U$70)</f>
        <v>0</v>
      </c>
      <c r="K31" s="1295">
        <f>SUMIF(mip!$D$14:$D$70,"inventaris en apparatuur",mip!V$14:V$70)</f>
        <v>0</v>
      </c>
      <c r="L31" s="1295">
        <f>SUMIF(mip!$D$14:$D$70,"inventaris en apparatuur",mip!W$14:W$70)</f>
        <v>0</v>
      </c>
      <c r="M31" s="1000"/>
      <c r="N31" s="88"/>
      <c r="R31" s="925"/>
      <c r="S31" s="925"/>
      <c r="T31" s="925"/>
      <c r="V31" s="925"/>
      <c r="W31" s="925"/>
    </row>
    <row r="32" spans="2:23" ht="13.15" customHeight="1" x14ac:dyDescent="0.2">
      <c r="B32" s="86"/>
      <c r="C32" s="1000"/>
      <c r="D32" s="1079" t="s">
        <v>234</v>
      </c>
      <c r="E32" s="1000"/>
      <c r="F32" s="1295">
        <f>SUMIF(mip!$D$14:$D$70,"leermiddelen po",mip!Q$14:Q$70)</f>
        <v>0</v>
      </c>
      <c r="G32" s="1295">
        <f>SUMIF(mip!$D$14:$D$70,"leermiddelen po",mip!R$14:R$70)</f>
        <v>0</v>
      </c>
      <c r="H32" s="1295">
        <f>SUMIF(mip!$D$14:$D$70,"leermiddelen po",mip!S$14:S$70)</f>
        <v>0</v>
      </c>
      <c r="I32" s="1295">
        <f>SUMIF(mip!$D$14:$D$70,"leermiddelen po",mip!T$14:T$70)</f>
        <v>0</v>
      </c>
      <c r="J32" s="1295">
        <f>SUMIF(mip!$D$14:$D$70,"leermiddelen po",mip!U$14:U$70)</f>
        <v>0</v>
      </c>
      <c r="K32" s="1295">
        <f>SUMIF(mip!$D$14:$D$70,"leermiddelen po",mip!V$14:V$70)</f>
        <v>0</v>
      </c>
      <c r="L32" s="1295">
        <f>SUMIF(mip!$D$14:$D$70,"leermiddelen po",mip!W$14:W$70)</f>
        <v>0</v>
      </c>
      <c r="M32" s="1000"/>
      <c r="N32" s="88"/>
      <c r="R32" s="925"/>
      <c r="S32" s="925"/>
      <c r="T32" s="925"/>
      <c r="V32" s="925"/>
      <c r="W32" s="925"/>
    </row>
    <row r="33" spans="1:48" ht="13.15" customHeight="1" x14ac:dyDescent="0.2">
      <c r="B33" s="86"/>
      <c r="C33" s="1000"/>
      <c r="D33" s="1079" t="s">
        <v>235</v>
      </c>
      <c r="E33" s="1000"/>
      <c r="F33" s="1295">
        <f>SUMIF(mip!$D$14:$D$70,"overige materiële vaste activa",mip!Q$14:Q$70)</f>
        <v>0</v>
      </c>
      <c r="G33" s="1295">
        <f>SUMIF(mip!$D$14:$D$70,"overige materiële vaste activa",mip!R$14:R$70)</f>
        <v>0</v>
      </c>
      <c r="H33" s="1295">
        <f>SUMIF(mip!$D$14:$D$70,"overige materiële vaste activa",mip!S$14:S$70)</f>
        <v>0</v>
      </c>
      <c r="I33" s="1295">
        <f>SUMIF(mip!$D$14:$D$70,"overige materiële vaste activa",mip!T$14:T$70)</f>
        <v>0</v>
      </c>
      <c r="J33" s="1295">
        <f>SUMIF(mip!$D$14:$D$70,"overige materiële vaste activa",mip!U$14:U$70)</f>
        <v>0</v>
      </c>
      <c r="K33" s="1295">
        <f>SUMIF(mip!$D$14:$D$70,"overige materiële vaste activa",mip!V$14:V$70)</f>
        <v>0</v>
      </c>
      <c r="L33" s="1295">
        <f>SUMIF(mip!$D$14:$D$70,"overige materiële vaste activa",mip!W$14:W$70)</f>
        <v>0</v>
      </c>
      <c r="M33" s="1000"/>
      <c r="N33" s="88"/>
      <c r="R33" s="925"/>
      <c r="S33" s="925"/>
      <c r="T33" s="925"/>
      <c r="V33" s="925"/>
      <c r="W33" s="925"/>
    </row>
    <row r="34" spans="1:48" s="135" customFormat="1" ht="13.15" customHeight="1" x14ac:dyDescent="0.2">
      <c r="A34" s="540"/>
      <c r="B34" s="90"/>
      <c r="C34" s="1075"/>
      <c r="D34" s="1075"/>
      <c r="E34" s="1075"/>
      <c r="F34" s="1296">
        <f t="shared" ref="F34:L34" si="4">SUM(F30:F33)</f>
        <v>0</v>
      </c>
      <c r="G34" s="1296">
        <f t="shared" si="4"/>
        <v>0</v>
      </c>
      <c r="H34" s="1296">
        <f t="shared" si="4"/>
        <v>0</v>
      </c>
      <c r="I34" s="1296">
        <f t="shared" si="4"/>
        <v>0</v>
      </c>
      <c r="J34" s="1296">
        <f t="shared" si="4"/>
        <v>0</v>
      </c>
      <c r="K34" s="1296">
        <f t="shared" si="4"/>
        <v>0</v>
      </c>
      <c r="L34" s="1296">
        <f t="shared" si="4"/>
        <v>0</v>
      </c>
      <c r="M34" s="1075"/>
      <c r="N34" s="101"/>
      <c r="O34" s="540"/>
      <c r="P34" s="540"/>
      <c r="Q34" s="928"/>
      <c r="R34" s="928"/>
      <c r="S34" s="928"/>
      <c r="T34" s="928"/>
      <c r="U34" s="928"/>
      <c r="V34" s="928"/>
      <c r="W34" s="928"/>
      <c r="X34" s="540"/>
      <c r="Y34" s="540"/>
      <c r="Z34" s="540"/>
      <c r="AA34" s="540"/>
      <c r="AB34" s="540"/>
      <c r="AC34" s="540"/>
      <c r="AD34" s="540"/>
      <c r="AE34" s="540"/>
      <c r="AF34" s="540"/>
      <c r="AG34" s="540"/>
      <c r="AH34" s="540"/>
      <c r="AI34" s="540"/>
      <c r="AJ34" s="540"/>
      <c r="AK34" s="540"/>
      <c r="AL34" s="540"/>
      <c r="AM34" s="540"/>
      <c r="AN34" s="540"/>
      <c r="AO34" s="540"/>
      <c r="AP34" s="540"/>
      <c r="AQ34" s="540"/>
      <c r="AR34" s="540"/>
      <c r="AS34" s="540"/>
      <c r="AT34" s="540"/>
      <c r="AU34" s="540"/>
      <c r="AV34" s="540"/>
    </row>
    <row r="35" spans="1:48" ht="13.15" customHeight="1" x14ac:dyDescent="0.2">
      <c r="B35" s="86"/>
      <c r="C35" s="1000"/>
      <c r="D35" s="1000"/>
      <c r="E35" s="1000"/>
      <c r="F35" s="1257"/>
      <c r="G35" s="1000"/>
      <c r="H35" s="1000"/>
      <c r="I35" s="1000"/>
      <c r="J35" s="1000"/>
      <c r="K35" s="1000"/>
      <c r="L35" s="1000"/>
      <c r="M35" s="1000"/>
      <c r="N35" s="88"/>
      <c r="R35" s="925"/>
      <c r="S35" s="925"/>
      <c r="T35" s="925"/>
      <c r="V35" s="925"/>
      <c r="W35" s="925"/>
    </row>
    <row r="36" spans="1:48" ht="13.15" customHeight="1" x14ac:dyDescent="0.2">
      <c r="B36" s="86"/>
      <c r="C36" s="1265"/>
      <c r="D36" s="1265"/>
      <c r="E36" s="1265"/>
      <c r="F36" s="1265"/>
      <c r="G36" s="1265"/>
      <c r="H36" s="1265"/>
      <c r="I36" s="1265"/>
      <c r="J36" s="1265"/>
      <c r="K36" s="1265"/>
      <c r="L36" s="1265"/>
      <c r="M36" s="1265"/>
      <c r="N36" s="88"/>
      <c r="R36" s="925"/>
      <c r="S36" s="925"/>
      <c r="T36" s="925"/>
      <c r="V36" s="925"/>
      <c r="W36" s="925"/>
    </row>
    <row r="37" spans="1:48" ht="13.15" customHeight="1" x14ac:dyDescent="0.2">
      <c r="B37" s="86"/>
      <c r="C37" s="1000"/>
      <c r="D37" s="1000"/>
      <c r="E37" s="1000"/>
      <c r="F37" s="1257"/>
      <c r="G37" s="1000"/>
      <c r="H37" s="1000"/>
      <c r="I37" s="1000"/>
      <c r="J37" s="1000"/>
      <c r="K37" s="1000"/>
      <c r="L37" s="1000"/>
      <c r="M37" s="1000"/>
      <c r="N37" s="88"/>
      <c r="R37" s="925"/>
      <c r="S37" s="925"/>
      <c r="T37" s="925"/>
      <c r="V37" s="925"/>
      <c r="W37" s="925"/>
    </row>
    <row r="38" spans="1:48" ht="13.15" customHeight="1" x14ac:dyDescent="0.2">
      <c r="B38" s="86"/>
      <c r="C38" s="1000"/>
      <c r="D38" s="1194" t="s">
        <v>294</v>
      </c>
      <c r="E38" s="1000"/>
      <c r="F38" s="1257"/>
      <c r="G38" s="1000"/>
      <c r="H38" s="1000"/>
      <c r="I38" s="1000"/>
      <c r="J38" s="1000"/>
      <c r="K38" s="1000"/>
      <c r="L38" s="1000"/>
      <c r="M38" s="1000"/>
      <c r="N38" s="88"/>
      <c r="R38" s="925"/>
      <c r="S38" s="925"/>
      <c r="T38" s="925"/>
      <c r="V38" s="925"/>
      <c r="W38" s="925"/>
    </row>
    <row r="39" spans="1:48" ht="13.15" customHeight="1" x14ac:dyDescent="0.2">
      <c r="B39" s="86"/>
      <c r="C39" s="1000"/>
      <c r="D39" s="1079" t="s">
        <v>228</v>
      </c>
      <c r="E39" s="1000"/>
      <c r="F39" s="1298">
        <f t="shared" ref="F39:L39" si="5">F12+F21-F30</f>
        <v>0</v>
      </c>
      <c r="G39" s="1298">
        <f t="shared" si="5"/>
        <v>0</v>
      </c>
      <c r="H39" s="1298">
        <f t="shared" si="5"/>
        <v>0</v>
      </c>
      <c r="I39" s="1298">
        <f t="shared" si="5"/>
        <v>0</v>
      </c>
      <c r="J39" s="1298">
        <f t="shared" si="5"/>
        <v>0</v>
      </c>
      <c r="K39" s="1298">
        <f t="shared" si="5"/>
        <v>0</v>
      </c>
      <c r="L39" s="1298">
        <f t="shared" si="5"/>
        <v>0</v>
      </c>
      <c r="M39" s="1000"/>
      <c r="N39" s="88"/>
      <c r="R39" s="925"/>
      <c r="S39" s="925"/>
      <c r="T39" s="925"/>
      <c r="V39" s="925"/>
      <c r="W39" s="925"/>
    </row>
    <row r="40" spans="1:48" ht="13.15" customHeight="1" x14ac:dyDescent="0.2">
      <c r="B40" s="86"/>
      <c r="C40" s="1000"/>
      <c r="D40" s="1079" t="s">
        <v>233</v>
      </c>
      <c r="E40" s="1000"/>
      <c r="F40" s="1298">
        <f t="shared" ref="F40:J42" si="6">F13+F22-F31</f>
        <v>0</v>
      </c>
      <c r="G40" s="1298">
        <f t="shared" si="6"/>
        <v>0</v>
      </c>
      <c r="H40" s="1298">
        <f t="shared" si="6"/>
        <v>0</v>
      </c>
      <c r="I40" s="1298">
        <f t="shared" si="6"/>
        <v>0</v>
      </c>
      <c r="J40" s="1298">
        <f t="shared" si="6"/>
        <v>0</v>
      </c>
      <c r="K40" s="1298">
        <f t="shared" ref="K40:L42" si="7">K13+K22-K31</f>
        <v>0</v>
      </c>
      <c r="L40" s="1298">
        <f t="shared" si="7"/>
        <v>0</v>
      </c>
      <c r="M40" s="1000"/>
      <c r="N40" s="88"/>
      <c r="R40" s="925"/>
      <c r="S40" s="925"/>
      <c r="T40" s="925"/>
      <c r="V40" s="925"/>
      <c r="W40" s="925"/>
    </row>
    <row r="41" spans="1:48" ht="13.15" customHeight="1" x14ac:dyDescent="0.2">
      <c r="B41" s="86"/>
      <c r="C41" s="1000"/>
      <c r="D41" s="1079" t="s">
        <v>234</v>
      </c>
      <c r="E41" s="1000"/>
      <c r="F41" s="1298">
        <f t="shared" si="6"/>
        <v>0</v>
      </c>
      <c r="G41" s="1298">
        <f t="shared" si="6"/>
        <v>0</v>
      </c>
      <c r="H41" s="1298">
        <f t="shared" si="6"/>
        <v>0</v>
      </c>
      <c r="I41" s="1298">
        <f t="shared" si="6"/>
        <v>0</v>
      </c>
      <c r="J41" s="1298">
        <f t="shared" si="6"/>
        <v>0</v>
      </c>
      <c r="K41" s="1298">
        <f t="shared" si="7"/>
        <v>0</v>
      </c>
      <c r="L41" s="1298">
        <f t="shared" si="7"/>
        <v>0</v>
      </c>
      <c r="M41" s="1000"/>
      <c r="N41" s="88"/>
      <c r="R41" s="925"/>
      <c r="S41" s="925"/>
      <c r="T41" s="925"/>
      <c r="V41" s="925"/>
      <c r="W41" s="925"/>
    </row>
    <row r="42" spans="1:48" ht="13.15" customHeight="1" x14ac:dyDescent="0.2">
      <c r="B42" s="86"/>
      <c r="C42" s="1000"/>
      <c r="D42" s="1079" t="s">
        <v>235</v>
      </c>
      <c r="E42" s="1000"/>
      <c r="F42" s="1298">
        <f t="shared" si="6"/>
        <v>0</v>
      </c>
      <c r="G42" s="1298">
        <f t="shared" si="6"/>
        <v>0</v>
      </c>
      <c r="H42" s="1298">
        <f t="shared" si="6"/>
        <v>0</v>
      </c>
      <c r="I42" s="1298">
        <f t="shared" si="6"/>
        <v>0</v>
      </c>
      <c r="J42" s="1298">
        <f t="shared" si="6"/>
        <v>0</v>
      </c>
      <c r="K42" s="1298">
        <f t="shared" si="7"/>
        <v>0</v>
      </c>
      <c r="L42" s="1298">
        <f t="shared" si="7"/>
        <v>0</v>
      </c>
      <c r="M42" s="1000"/>
      <c r="N42" s="88"/>
      <c r="R42" s="925"/>
      <c r="S42" s="925"/>
      <c r="T42" s="925"/>
      <c r="V42" s="925"/>
      <c r="W42" s="925"/>
    </row>
    <row r="43" spans="1:48" s="11" customFormat="1" ht="13.15" customHeight="1" x14ac:dyDescent="0.2">
      <c r="A43" s="625"/>
      <c r="B43" s="72"/>
      <c r="C43" s="1056"/>
      <c r="D43" s="1092"/>
      <c r="E43" s="1056"/>
      <c r="F43" s="1296">
        <f t="shared" ref="F43:L43" si="8">SUM(F39:F42)</f>
        <v>0</v>
      </c>
      <c r="G43" s="1296">
        <f t="shared" si="8"/>
        <v>0</v>
      </c>
      <c r="H43" s="1296">
        <f t="shared" si="8"/>
        <v>0</v>
      </c>
      <c r="I43" s="1296">
        <f t="shared" si="8"/>
        <v>0</v>
      </c>
      <c r="J43" s="1296">
        <f t="shared" si="8"/>
        <v>0</v>
      </c>
      <c r="K43" s="1296">
        <f t="shared" si="8"/>
        <v>0</v>
      </c>
      <c r="L43" s="1296">
        <f t="shared" si="8"/>
        <v>0</v>
      </c>
      <c r="M43" s="1056"/>
      <c r="N43" s="73"/>
      <c r="O43" s="625"/>
      <c r="P43" s="625"/>
      <c r="Q43" s="925"/>
      <c r="R43" s="925"/>
      <c r="S43" s="925"/>
      <c r="T43" s="925"/>
      <c r="U43" s="925"/>
      <c r="V43" s="925"/>
      <c r="W43" s="925"/>
      <c r="X43" s="625"/>
      <c r="Y43" s="625"/>
      <c r="Z43" s="625"/>
      <c r="AA43" s="625"/>
      <c r="AB43" s="625"/>
      <c r="AC43" s="625"/>
      <c r="AD43" s="625"/>
      <c r="AE43" s="625"/>
      <c r="AF43" s="625"/>
      <c r="AG43" s="625"/>
      <c r="AH43" s="625"/>
      <c r="AI43" s="625"/>
      <c r="AJ43" s="625"/>
      <c r="AK43" s="625"/>
      <c r="AL43" s="625"/>
      <c r="AM43" s="625"/>
      <c r="AN43" s="625"/>
      <c r="AO43" s="625"/>
      <c r="AP43" s="625"/>
      <c r="AQ43" s="625"/>
      <c r="AR43" s="625"/>
      <c r="AS43" s="625"/>
      <c r="AT43" s="625"/>
      <c r="AU43" s="625"/>
      <c r="AV43" s="625"/>
    </row>
    <row r="44" spans="1:48" ht="13.15" customHeight="1" x14ac:dyDescent="0.2">
      <c r="B44" s="86"/>
      <c r="C44" s="1000"/>
      <c r="D44" s="1000"/>
      <c r="E44" s="1000"/>
      <c r="F44" s="1257"/>
      <c r="G44" s="1000"/>
      <c r="H44" s="1000"/>
      <c r="I44" s="1000"/>
      <c r="J44" s="1000"/>
      <c r="K44" s="1000"/>
      <c r="L44" s="1000"/>
      <c r="M44" s="1000"/>
      <c r="N44" s="88"/>
      <c r="R44" s="925"/>
      <c r="S44" s="925"/>
      <c r="T44" s="925"/>
      <c r="V44" s="925"/>
      <c r="W44" s="925"/>
    </row>
    <row r="45" spans="1:48" ht="13.15" customHeight="1" x14ac:dyDescent="0.2">
      <c r="B45" s="86"/>
      <c r="C45" s="87"/>
      <c r="D45" s="87"/>
      <c r="E45" s="87"/>
      <c r="F45" s="87"/>
      <c r="G45" s="87"/>
      <c r="H45" s="87"/>
      <c r="I45" s="87"/>
      <c r="J45" s="87"/>
      <c r="K45" s="87"/>
      <c r="L45" s="87"/>
      <c r="M45" s="87"/>
      <c r="N45" s="88"/>
      <c r="R45" s="925"/>
      <c r="S45" s="925"/>
      <c r="T45" s="925"/>
      <c r="V45" s="925"/>
      <c r="W45" s="925"/>
    </row>
    <row r="46" spans="1:48" ht="13.15" customHeight="1" x14ac:dyDescent="0.25">
      <c r="B46" s="96"/>
      <c r="C46" s="93"/>
      <c r="D46" s="93"/>
      <c r="E46" s="93"/>
      <c r="F46" s="93"/>
      <c r="G46" s="93"/>
      <c r="H46" s="93"/>
      <c r="I46" s="93"/>
      <c r="J46" s="93"/>
      <c r="K46" s="93"/>
      <c r="L46" s="93"/>
      <c r="M46" s="36" t="s">
        <v>464</v>
      </c>
      <c r="N46" s="95"/>
    </row>
    <row r="47" spans="1:48" s="476" customFormat="1" ht="13.15" customHeight="1" x14ac:dyDescent="0.2">
      <c r="Q47" s="925"/>
      <c r="R47" s="926"/>
      <c r="S47" s="926"/>
      <c r="T47" s="926"/>
      <c r="U47" s="926"/>
    </row>
    <row r="48" spans="1:48" s="476" customFormat="1" ht="13.15" customHeight="1" x14ac:dyDescent="0.2">
      <c r="Q48" s="925"/>
      <c r="R48" s="926"/>
      <c r="S48" s="926"/>
      <c r="T48" s="926"/>
      <c r="U48" s="926"/>
    </row>
    <row r="49" spans="17:21" s="476" customFormat="1" ht="13.15" customHeight="1" x14ac:dyDescent="0.2">
      <c r="Q49" s="925"/>
      <c r="R49" s="926"/>
      <c r="S49" s="926"/>
      <c r="T49" s="926"/>
      <c r="U49" s="926"/>
    </row>
    <row r="50" spans="17:21" s="476" customFormat="1" ht="13.15" customHeight="1" x14ac:dyDescent="0.2">
      <c r="Q50" s="925"/>
      <c r="R50" s="926"/>
      <c r="S50" s="926"/>
      <c r="T50" s="926"/>
      <c r="U50" s="926"/>
    </row>
    <row r="51" spans="17:21" s="476" customFormat="1" ht="13.15" customHeight="1" x14ac:dyDescent="0.2">
      <c r="Q51" s="925"/>
      <c r="R51" s="926"/>
      <c r="S51" s="926"/>
      <c r="T51" s="926"/>
      <c r="U51" s="926"/>
    </row>
    <row r="52" spans="17:21" s="476" customFormat="1" ht="13.15" customHeight="1" x14ac:dyDescent="0.2">
      <c r="Q52" s="925"/>
      <c r="R52" s="926"/>
      <c r="S52" s="926"/>
      <c r="T52" s="926"/>
      <c r="U52" s="926"/>
    </row>
    <row r="53" spans="17:21" s="476" customFormat="1" ht="13.15" customHeight="1" x14ac:dyDescent="0.2">
      <c r="Q53" s="925"/>
      <c r="R53" s="926"/>
      <c r="S53" s="926"/>
      <c r="T53" s="926"/>
      <c r="U53" s="926"/>
    </row>
    <row r="54" spans="17:21" s="476" customFormat="1" ht="13.15" customHeight="1" x14ac:dyDescent="0.2">
      <c r="Q54" s="925"/>
      <c r="R54" s="926"/>
      <c r="S54" s="926"/>
      <c r="T54" s="926"/>
      <c r="U54" s="926"/>
    </row>
    <row r="55" spans="17:21" s="476" customFormat="1" ht="13.15" customHeight="1" x14ac:dyDescent="0.2">
      <c r="Q55" s="925"/>
      <c r="R55" s="926"/>
      <c r="S55" s="926"/>
      <c r="T55" s="926"/>
      <c r="U55" s="926"/>
    </row>
    <row r="56" spans="17:21" s="476" customFormat="1" ht="13.15" customHeight="1" x14ac:dyDescent="0.2">
      <c r="Q56" s="925"/>
      <c r="R56" s="926"/>
      <c r="S56" s="926"/>
      <c r="T56" s="926"/>
      <c r="U56" s="926"/>
    </row>
    <row r="57" spans="17:21" s="476" customFormat="1" ht="13.15" customHeight="1" x14ac:dyDescent="0.2">
      <c r="Q57" s="925"/>
      <c r="R57" s="926"/>
      <c r="S57" s="926"/>
      <c r="T57" s="926"/>
      <c r="U57" s="926"/>
    </row>
    <row r="58" spans="17:21" s="476" customFormat="1" ht="13.15" customHeight="1" x14ac:dyDescent="0.2">
      <c r="Q58" s="925"/>
      <c r="R58" s="926"/>
      <c r="S58" s="926"/>
      <c r="T58" s="926"/>
      <c r="U58" s="926"/>
    </row>
    <row r="59" spans="17:21" s="476" customFormat="1" ht="13.15" customHeight="1" x14ac:dyDescent="0.2">
      <c r="Q59" s="925"/>
      <c r="R59" s="926"/>
      <c r="S59" s="926"/>
      <c r="T59" s="926"/>
      <c r="U59" s="926"/>
    </row>
    <row r="60" spans="17:21" s="476" customFormat="1" ht="13.15" customHeight="1" x14ac:dyDescent="0.2">
      <c r="Q60" s="925"/>
      <c r="R60" s="926"/>
      <c r="S60" s="926"/>
      <c r="T60" s="926"/>
      <c r="U60" s="926"/>
    </row>
    <row r="61" spans="17:21" s="476" customFormat="1" ht="13.15" customHeight="1" x14ac:dyDescent="0.2">
      <c r="Q61" s="925"/>
      <c r="R61" s="926"/>
      <c r="S61" s="926"/>
      <c r="T61" s="926"/>
      <c r="U61" s="926"/>
    </row>
    <row r="62" spans="17:21" s="476" customFormat="1" ht="13.15" customHeight="1" x14ac:dyDescent="0.2">
      <c r="Q62" s="925"/>
      <c r="R62" s="926"/>
      <c r="S62" s="926"/>
      <c r="T62" s="926"/>
      <c r="U62" s="926"/>
    </row>
    <row r="63" spans="17:21" s="476" customFormat="1" ht="13.15" customHeight="1" x14ac:dyDescent="0.2">
      <c r="Q63" s="925"/>
      <c r="R63" s="926"/>
      <c r="S63" s="926"/>
      <c r="T63" s="926"/>
      <c r="U63" s="926"/>
    </row>
    <row r="64" spans="17:21" s="476" customFormat="1" ht="13.15" customHeight="1" x14ac:dyDescent="0.2">
      <c r="Q64" s="925"/>
      <c r="R64" s="926"/>
      <c r="S64" s="926"/>
      <c r="T64" s="926"/>
      <c r="U64" s="926"/>
    </row>
    <row r="65" spans="17:21" s="476" customFormat="1" ht="13.15" customHeight="1" x14ac:dyDescent="0.2">
      <c r="Q65" s="925"/>
      <c r="R65" s="926"/>
      <c r="S65" s="926"/>
      <c r="T65" s="926"/>
      <c r="U65" s="926"/>
    </row>
    <row r="66" spans="17:21" s="476" customFormat="1" ht="13.15" customHeight="1" x14ac:dyDescent="0.2">
      <c r="Q66" s="925"/>
      <c r="R66" s="926"/>
      <c r="S66" s="926"/>
      <c r="T66" s="926"/>
      <c r="U66" s="926"/>
    </row>
    <row r="67" spans="17:21" s="476" customFormat="1" ht="13.15" customHeight="1" x14ac:dyDescent="0.2">
      <c r="Q67" s="925"/>
      <c r="R67" s="926"/>
      <c r="S67" s="926"/>
      <c r="T67" s="926"/>
      <c r="U67" s="926"/>
    </row>
    <row r="68" spans="17:21" s="476" customFormat="1" ht="13.15" customHeight="1" x14ac:dyDescent="0.2">
      <c r="Q68" s="925"/>
      <c r="R68" s="926"/>
      <c r="S68" s="926"/>
      <c r="T68" s="926"/>
      <c r="U68" s="926"/>
    </row>
    <row r="69" spans="17:21" s="476" customFormat="1" ht="13.15" customHeight="1" x14ac:dyDescent="0.2">
      <c r="Q69" s="925"/>
      <c r="R69" s="926"/>
      <c r="S69" s="926"/>
      <c r="T69" s="926"/>
      <c r="U69" s="926"/>
    </row>
    <row r="70" spans="17:21" s="476" customFormat="1" ht="13.15" customHeight="1" x14ac:dyDescent="0.2">
      <c r="Q70" s="925"/>
      <c r="R70" s="926"/>
      <c r="S70" s="926"/>
      <c r="T70" s="926"/>
      <c r="U70" s="926"/>
    </row>
    <row r="71" spans="17:21" s="476" customFormat="1" ht="13.15" customHeight="1" x14ac:dyDescent="0.2">
      <c r="Q71" s="925"/>
      <c r="R71" s="926"/>
      <c r="S71" s="926"/>
      <c r="T71" s="926"/>
      <c r="U71" s="926"/>
    </row>
    <row r="72" spans="17:21" s="476" customFormat="1" ht="13.15" customHeight="1" x14ac:dyDescent="0.2">
      <c r="Q72" s="925"/>
      <c r="R72" s="926"/>
      <c r="S72" s="926"/>
      <c r="T72" s="926"/>
      <c r="U72" s="926"/>
    </row>
    <row r="73" spans="17:21" s="476" customFormat="1" ht="13.15" customHeight="1" x14ac:dyDescent="0.2">
      <c r="Q73" s="925"/>
      <c r="R73" s="926"/>
      <c r="S73" s="926"/>
      <c r="T73" s="926"/>
      <c r="U73" s="926"/>
    </row>
    <row r="74" spans="17:21" s="476" customFormat="1" ht="13.15" customHeight="1" x14ac:dyDescent="0.2">
      <c r="Q74" s="925"/>
      <c r="R74" s="926"/>
      <c r="S74" s="926"/>
      <c r="T74" s="926"/>
      <c r="U74" s="926"/>
    </row>
    <row r="75" spans="17:21" s="476" customFormat="1" ht="13.15" customHeight="1" x14ac:dyDescent="0.2">
      <c r="Q75" s="925"/>
      <c r="R75" s="926"/>
      <c r="S75" s="926"/>
      <c r="T75" s="926"/>
      <c r="U75" s="926"/>
    </row>
    <row r="76" spans="17:21" s="476" customFormat="1" ht="13.15" customHeight="1" x14ac:dyDescent="0.2">
      <c r="Q76" s="925"/>
      <c r="R76" s="926"/>
      <c r="S76" s="926"/>
      <c r="T76" s="926"/>
      <c r="U76" s="926"/>
    </row>
    <row r="77" spans="17:21" s="476" customFormat="1" ht="13.15" customHeight="1" x14ac:dyDescent="0.2">
      <c r="Q77" s="925"/>
      <c r="R77" s="926"/>
      <c r="S77" s="926"/>
      <c r="T77" s="926"/>
      <c r="U77" s="926"/>
    </row>
    <row r="78" spans="17:21" s="476" customFormat="1" ht="13.15" customHeight="1" x14ac:dyDescent="0.2">
      <c r="Q78" s="925"/>
      <c r="R78" s="926"/>
      <c r="S78" s="926"/>
      <c r="T78" s="926"/>
      <c r="U78" s="926"/>
    </row>
    <row r="79" spans="17:21" s="476" customFormat="1" ht="13.15" customHeight="1" x14ac:dyDescent="0.2">
      <c r="Q79" s="925"/>
      <c r="R79" s="926"/>
      <c r="S79" s="926"/>
      <c r="T79" s="926"/>
      <c r="U79" s="926"/>
    </row>
    <row r="80" spans="17:21" s="476" customFormat="1" ht="13.15" customHeight="1" x14ac:dyDescent="0.2">
      <c r="Q80" s="925"/>
      <c r="R80" s="926"/>
      <c r="S80" s="926"/>
      <c r="T80" s="926"/>
      <c r="U80" s="926"/>
    </row>
    <row r="81" spans="17:21" s="476" customFormat="1" ht="13.15" customHeight="1" x14ac:dyDescent="0.2">
      <c r="Q81" s="925"/>
      <c r="R81" s="926"/>
      <c r="S81" s="926"/>
      <c r="T81" s="926"/>
      <c r="U81" s="926"/>
    </row>
    <row r="82" spans="17:21" s="476" customFormat="1" ht="13.15" customHeight="1" x14ac:dyDescent="0.2">
      <c r="Q82" s="925"/>
      <c r="R82" s="926"/>
      <c r="S82" s="926"/>
      <c r="T82" s="926"/>
      <c r="U82" s="926"/>
    </row>
    <row r="83" spans="17:21" s="476" customFormat="1" ht="13.15" customHeight="1" x14ac:dyDescent="0.2">
      <c r="Q83" s="925"/>
      <c r="R83" s="926"/>
      <c r="S83" s="926"/>
      <c r="T83" s="926"/>
      <c r="U83" s="926"/>
    </row>
    <row r="84" spans="17:21" s="476" customFormat="1" ht="13.15" customHeight="1" x14ac:dyDescent="0.2">
      <c r="Q84" s="925"/>
      <c r="R84" s="926"/>
      <c r="S84" s="926"/>
      <c r="T84" s="926"/>
      <c r="U84" s="926"/>
    </row>
    <row r="85" spans="17:21" s="476" customFormat="1" ht="13.15" customHeight="1" x14ac:dyDescent="0.2">
      <c r="Q85" s="925"/>
      <c r="R85" s="926"/>
      <c r="S85" s="926"/>
      <c r="T85" s="926"/>
      <c r="U85" s="926"/>
    </row>
    <row r="86" spans="17:21" s="476" customFormat="1" ht="13.15" customHeight="1" x14ac:dyDescent="0.2">
      <c r="Q86" s="925"/>
      <c r="R86" s="926"/>
      <c r="S86" s="926"/>
      <c r="T86" s="926"/>
      <c r="U86" s="926"/>
    </row>
    <row r="87" spans="17:21" s="476" customFormat="1" ht="13.15" customHeight="1" x14ac:dyDescent="0.2">
      <c r="Q87" s="925"/>
      <c r="R87" s="926"/>
      <c r="S87" s="926"/>
      <c r="T87" s="926"/>
      <c r="U87" s="926"/>
    </row>
    <row r="88" spans="17:21" s="476" customFormat="1" ht="13.15" customHeight="1" x14ac:dyDescent="0.2">
      <c r="Q88" s="925"/>
      <c r="R88" s="926"/>
      <c r="S88" s="926"/>
      <c r="T88" s="926"/>
      <c r="U88" s="926"/>
    </row>
    <row r="89" spans="17:21" s="476" customFormat="1" ht="13.15" customHeight="1" x14ac:dyDescent="0.2">
      <c r="Q89" s="925"/>
      <c r="R89" s="926"/>
      <c r="S89" s="926"/>
      <c r="T89" s="926"/>
      <c r="U89" s="926"/>
    </row>
    <row r="90" spans="17:21" s="476" customFormat="1" ht="13.15" customHeight="1" x14ac:dyDescent="0.2">
      <c r="Q90" s="925"/>
      <c r="R90" s="926"/>
      <c r="S90" s="926"/>
      <c r="T90" s="926"/>
      <c r="U90" s="926"/>
    </row>
    <row r="91" spans="17:21" s="476" customFormat="1" ht="13.15" customHeight="1" x14ac:dyDescent="0.2">
      <c r="Q91" s="925"/>
      <c r="R91" s="926"/>
      <c r="S91" s="926"/>
      <c r="T91" s="926"/>
      <c r="U91" s="926"/>
    </row>
    <row r="92" spans="17:21" s="476" customFormat="1" ht="13.15" customHeight="1" x14ac:dyDescent="0.2">
      <c r="Q92" s="925"/>
      <c r="R92" s="926"/>
      <c r="S92" s="926"/>
      <c r="T92" s="926"/>
      <c r="U92" s="926"/>
    </row>
    <row r="93" spans="17:21" s="476" customFormat="1" ht="13.15" customHeight="1" x14ac:dyDescent="0.2">
      <c r="Q93" s="925"/>
      <c r="R93" s="926"/>
      <c r="S93" s="926"/>
      <c r="T93" s="926"/>
      <c r="U93" s="926"/>
    </row>
    <row r="94" spans="17:21" s="476" customFormat="1" ht="13.15" customHeight="1" x14ac:dyDescent="0.2">
      <c r="Q94" s="925"/>
      <c r="R94" s="926"/>
      <c r="S94" s="926"/>
      <c r="T94" s="926"/>
      <c r="U94" s="926"/>
    </row>
    <row r="95" spans="17:21" s="476" customFormat="1" ht="13.15" customHeight="1" x14ac:dyDescent="0.2">
      <c r="Q95" s="925"/>
      <c r="R95" s="926"/>
      <c r="S95" s="926"/>
      <c r="T95" s="926"/>
      <c r="U95" s="926"/>
    </row>
    <row r="96" spans="17:21" s="476" customFormat="1" ht="13.15" customHeight="1" x14ac:dyDescent="0.2">
      <c r="Q96" s="925"/>
      <c r="R96" s="926"/>
      <c r="S96" s="926"/>
      <c r="T96" s="926"/>
      <c r="U96" s="926"/>
    </row>
    <row r="97" spans="17:21" s="476" customFormat="1" ht="13.15" customHeight="1" x14ac:dyDescent="0.2">
      <c r="Q97" s="925"/>
      <c r="R97" s="926"/>
      <c r="S97" s="926"/>
      <c r="T97" s="926"/>
      <c r="U97" s="926"/>
    </row>
    <row r="98" spans="17:21" s="476" customFormat="1" ht="13.15" customHeight="1" x14ac:dyDescent="0.2">
      <c r="Q98" s="925"/>
      <c r="R98" s="926"/>
      <c r="S98" s="926"/>
      <c r="T98" s="926"/>
      <c r="U98" s="926"/>
    </row>
    <row r="99" spans="17:21" s="476" customFormat="1" ht="13.15" customHeight="1" x14ac:dyDescent="0.2">
      <c r="Q99" s="925"/>
      <c r="R99" s="926"/>
      <c r="S99" s="926"/>
      <c r="T99" s="926"/>
      <c r="U99" s="926"/>
    </row>
    <row r="100" spans="17:21" s="476" customFormat="1" ht="13.15" customHeight="1" x14ac:dyDescent="0.2">
      <c r="Q100" s="925"/>
      <c r="R100" s="926"/>
      <c r="S100" s="926"/>
      <c r="T100" s="926"/>
      <c r="U100" s="926"/>
    </row>
    <row r="101" spans="17:21" s="476" customFormat="1" ht="13.15" customHeight="1" x14ac:dyDescent="0.2">
      <c r="Q101" s="925"/>
      <c r="R101" s="926"/>
      <c r="S101" s="926"/>
      <c r="T101" s="926"/>
      <c r="U101" s="926"/>
    </row>
    <row r="102" spans="17:21" s="476" customFormat="1" ht="13.15" customHeight="1" x14ac:dyDescent="0.2">
      <c r="Q102" s="925"/>
      <c r="R102" s="926"/>
      <c r="S102" s="926"/>
      <c r="T102" s="926"/>
      <c r="U102" s="926"/>
    </row>
    <row r="103" spans="17:21" s="476" customFormat="1" ht="13.15" customHeight="1" x14ac:dyDescent="0.2">
      <c r="Q103" s="925"/>
      <c r="R103" s="926"/>
      <c r="S103" s="926"/>
      <c r="T103" s="926"/>
      <c r="U103" s="926"/>
    </row>
    <row r="104" spans="17:21" s="476" customFormat="1" ht="13.15" customHeight="1" x14ac:dyDescent="0.2">
      <c r="Q104" s="925"/>
      <c r="R104" s="926"/>
      <c r="S104" s="926"/>
      <c r="T104" s="926"/>
      <c r="U104" s="926"/>
    </row>
    <row r="105" spans="17:21" s="476" customFormat="1" ht="13.15" customHeight="1" x14ac:dyDescent="0.2">
      <c r="Q105" s="925"/>
      <c r="R105" s="926"/>
      <c r="S105" s="926"/>
      <c r="T105" s="926"/>
      <c r="U105" s="926"/>
    </row>
    <row r="106" spans="17:21" s="476" customFormat="1" ht="13.15" customHeight="1" x14ac:dyDescent="0.2">
      <c r="Q106" s="925"/>
      <c r="R106" s="926"/>
      <c r="S106" s="926"/>
      <c r="T106" s="926"/>
      <c r="U106" s="926"/>
    </row>
    <row r="107" spans="17:21" s="476" customFormat="1" ht="13.15" customHeight="1" x14ac:dyDescent="0.2">
      <c r="Q107" s="925"/>
      <c r="R107" s="926"/>
      <c r="S107" s="926"/>
      <c r="T107" s="926"/>
      <c r="U107" s="926"/>
    </row>
    <row r="108" spans="17:21" s="476" customFormat="1" ht="13.15" customHeight="1" x14ac:dyDescent="0.2">
      <c r="Q108" s="925"/>
      <c r="R108" s="926"/>
      <c r="S108" s="926"/>
      <c r="T108" s="926"/>
      <c r="U108" s="926"/>
    </row>
    <row r="109" spans="17:21" s="476" customFormat="1" ht="13.15" customHeight="1" x14ac:dyDescent="0.2">
      <c r="Q109" s="925"/>
      <c r="R109" s="926"/>
      <c r="S109" s="926"/>
      <c r="T109" s="926"/>
      <c r="U109" s="926"/>
    </row>
    <row r="110" spans="17:21" s="476" customFormat="1" ht="13.15" customHeight="1" x14ac:dyDescent="0.2">
      <c r="Q110" s="925"/>
      <c r="R110" s="926"/>
      <c r="S110" s="926"/>
      <c r="T110" s="926"/>
      <c r="U110" s="926"/>
    </row>
    <row r="111" spans="17:21" s="476" customFormat="1" ht="13.15" customHeight="1" x14ac:dyDescent="0.2">
      <c r="Q111" s="925"/>
      <c r="R111" s="926"/>
      <c r="S111" s="926"/>
      <c r="T111" s="926"/>
      <c r="U111" s="926"/>
    </row>
    <row r="112" spans="17:21" s="476" customFormat="1" ht="13.15" customHeight="1" x14ac:dyDescent="0.2">
      <c r="Q112" s="925"/>
      <c r="R112" s="926"/>
      <c r="S112" s="926"/>
      <c r="T112" s="926"/>
      <c r="U112" s="926"/>
    </row>
    <row r="113" spans="17:21" s="476" customFormat="1" ht="13.15" customHeight="1" x14ac:dyDescent="0.2">
      <c r="Q113" s="925"/>
      <c r="R113" s="926"/>
      <c r="S113" s="926"/>
      <c r="T113" s="926"/>
      <c r="U113" s="926"/>
    </row>
    <row r="114" spans="17:21" s="476" customFormat="1" ht="13.15" customHeight="1" x14ac:dyDescent="0.2">
      <c r="Q114" s="925"/>
      <c r="R114" s="926"/>
      <c r="S114" s="926"/>
      <c r="T114" s="926"/>
      <c r="U114" s="926"/>
    </row>
    <row r="115" spans="17:21" s="476" customFormat="1" ht="13.15" customHeight="1" x14ac:dyDescent="0.2">
      <c r="Q115" s="925"/>
      <c r="R115" s="926"/>
      <c r="S115" s="926"/>
      <c r="T115" s="926"/>
      <c r="U115" s="926"/>
    </row>
    <row r="116" spans="17:21" s="476" customFormat="1" ht="13.15" customHeight="1" x14ac:dyDescent="0.2">
      <c r="Q116" s="925"/>
      <c r="R116" s="926"/>
      <c r="S116" s="926"/>
      <c r="T116" s="926"/>
      <c r="U116" s="926"/>
    </row>
    <row r="117" spans="17:21" s="476" customFormat="1" ht="13.15" customHeight="1" x14ac:dyDescent="0.2">
      <c r="Q117" s="925"/>
      <c r="R117" s="926"/>
      <c r="S117" s="926"/>
      <c r="T117" s="926"/>
      <c r="U117" s="926"/>
    </row>
    <row r="118" spans="17:21" s="476" customFormat="1" ht="13.15" customHeight="1" x14ac:dyDescent="0.2">
      <c r="Q118" s="925"/>
      <c r="R118" s="926"/>
      <c r="S118" s="926"/>
      <c r="T118" s="926"/>
      <c r="U118" s="926"/>
    </row>
    <row r="119" spans="17:21" s="476" customFormat="1" ht="13.15" customHeight="1" x14ac:dyDescent="0.2">
      <c r="Q119" s="925"/>
      <c r="R119" s="926"/>
      <c r="S119" s="926"/>
      <c r="T119" s="926"/>
      <c r="U119" s="926"/>
    </row>
    <row r="120" spans="17:21" s="476" customFormat="1" ht="13.15" customHeight="1" x14ac:dyDescent="0.2">
      <c r="Q120" s="925"/>
      <c r="R120" s="926"/>
      <c r="S120" s="926"/>
      <c r="T120" s="926"/>
      <c r="U120" s="926"/>
    </row>
    <row r="121" spans="17:21" s="476" customFormat="1" ht="13.15" customHeight="1" x14ac:dyDescent="0.2">
      <c r="Q121" s="925"/>
      <c r="R121" s="926"/>
      <c r="S121" s="926"/>
      <c r="T121" s="926"/>
      <c r="U121" s="926"/>
    </row>
    <row r="122" spans="17:21" s="476" customFormat="1" ht="13.15" customHeight="1" x14ac:dyDescent="0.2">
      <c r="Q122" s="925"/>
      <c r="R122" s="926"/>
      <c r="S122" s="926"/>
      <c r="T122" s="926"/>
      <c r="U122" s="926"/>
    </row>
    <row r="123" spans="17:21" s="476" customFormat="1" ht="13.15" customHeight="1" x14ac:dyDescent="0.2">
      <c r="Q123" s="925"/>
      <c r="R123" s="926"/>
      <c r="S123" s="926"/>
      <c r="T123" s="926"/>
      <c r="U123" s="926"/>
    </row>
    <row r="124" spans="17:21" s="476" customFormat="1" ht="13.15" customHeight="1" x14ac:dyDescent="0.2">
      <c r="Q124" s="925"/>
      <c r="R124" s="926"/>
      <c r="S124" s="926"/>
      <c r="T124" s="926"/>
      <c r="U124" s="926"/>
    </row>
    <row r="125" spans="17:21" s="476" customFormat="1" ht="13.15" customHeight="1" x14ac:dyDescent="0.2">
      <c r="Q125" s="925"/>
      <c r="R125" s="926"/>
      <c r="S125" s="926"/>
      <c r="T125" s="926"/>
      <c r="U125" s="926"/>
    </row>
    <row r="126" spans="17:21" s="476" customFormat="1" ht="13.15" customHeight="1" x14ac:dyDescent="0.2">
      <c r="Q126" s="925"/>
      <c r="R126" s="926"/>
      <c r="S126" s="926"/>
      <c r="T126" s="926"/>
      <c r="U126" s="926"/>
    </row>
    <row r="127" spans="17:21" s="476" customFormat="1" ht="13.15" customHeight="1" x14ac:dyDescent="0.2">
      <c r="Q127" s="925"/>
      <c r="R127" s="926"/>
      <c r="S127" s="926"/>
      <c r="T127" s="926"/>
      <c r="U127" s="926"/>
    </row>
    <row r="128" spans="17:21" s="476" customFormat="1" ht="13.15" customHeight="1" x14ac:dyDescent="0.2">
      <c r="Q128" s="925"/>
      <c r="R128" s="926"/>
      <c r="S128" s="926"/>
      <c r="T128" s="926"/>
      <c r="U128" s="926"/>
    </row>
    <row r="129" spans="17:21" s="476" customFormat="1" ht="13.15" customHeight="1" x14ac:dyDescent="0.2">
      <c r="Q129" s="925"/>
      <c r="R129" s="926"/>
      <c r="S129" s="926"/>
      <c r="T129" s="926"/>
      <c r="U129" s="926"/>
    </row>
    <row r="130" spans="17:21" s="476" customFormat="1" ht="13.15" customHeight="1" x14ac:dyDescent="0.2">
      <c r="Q130" s="925"/>
      <c r="R130" s="926"/>
      <c r="S130" s="926"/>
      <c r="T130" s="926"/>
      <c r="U130" s="926"/>
    </row>
    <row r="131" spans="17:21" s="476" customFormat="1" ht="13.15" customHeight="1" x14ac:dyDescent="0.2">
      <c r="Q131" s="925"/>
      <c r="R131" s="926"/>
      <c r="S131" s="926"/>
      <c r="T131" s="926"/>
      <c r="U131" s="926"/>
    </row>
    <row r="132" spans="17:21" s="476" customFormat="1" ht="13.15" customHeight="1" x14ac:dyDescent="0.2">
      <c r="Q132" s="925"/>
      <c r="R132" s="926"/>
      <c r="S132" s="926"/>
      <c r="T132" s="926"/>
      <c r="U132" s="926"/>
    </row>
    <row r="133" spans="17:21" s="476" customFormat="1" ht="13.15" customHeight="1" x14ac:dyDescent="0.2">
      <c r="Q133" s="925"/>
      <c r="R133" s="926"/>
      <c r="S133" s="926"/>
      <c r="T133" s="926"/>
      <c r="U133" s="926"/>
    </row>
    <row r="134" spans="17:21" s="476" customFormat="1" ht="13.15" customHeight="1" x14ac:dyDescent="0.2">
      <c r="Q134" s="925"/>
      <c r="R134" s="926"/>
      <c r="S134" s="926"/>
      <c r="T134" s="926"/>
      <c r="U134" s="926"/>
    </row>
    <row r="135" spans="17:21" s="476" customFormat="1" ht="13.15" customHeight="1" x14ac:dyDescent="0.2">
      <c r="Q135" s="925"/>
      <c r="R135" s="926"/>
      <c r="S135" s="926"/>
      <c r="T135" s="926"/>
      <c r="U135" s="926"/>
    </row>
    <row r="136" spans="17:21" s="476" customFormat="1" ht="13.15" customHeight="1" x14ac:dyDescent="0.2">
      <c r="Q136" s="925"/>
      <c r="R136" s="926"/>
      <c r="S136" s="926"/>
      <c r="T136" s="926"/>
      <c r="U136" s="926"/>
    </row>
    <row r="137" spans="17:21" s="476" customFormat="1" ht="13.15" customHeight="1" x14ac:dyDescent="0.2">
      <c r="Q137" s="925"/>
      <c r="R137" s="926"/>
      <c r="S137" s="926"/>
      <c r="T137" s="926"/>
      <c r="U137" s="926"/>
    </row>
    <row r="138" spans="17:21" s="476" customFormat="1" ht="13.15" customHeight="1" x14ac:dyDescent="0.2">
      <c r="Q138" s="925"/>
      <c r="R138" s="926"/>
      <c r="S138" s="926"/>
      <c r="T138" s="926"/>
      <c r="U138" s="926"/>
    </row>
    <row r="139" spans="17:21" s="476" customFormat="1" ht="13.15" customHeight="1" x14ac:dyDescent="0.2">
      <c r="Q139" s="925"/>
      <c r="R139" s="926"/>
      <c r="S139" s="926"/>
      <c r="T139" s="926"/>
      <c r="U139" s="926"/>
    </row>
    <row r="140" spans="17:21" s="476" customFormat="1" ht="13.15" customHeight="1" x14ac:dyDescent="0.2">
      <c r="Q140" s="925"/>
      <c r="R140" s="926"/>
      <c r="S140" s="926"/>
      <c r="T140" s="926"/>
      <c r="U140" s="926"/>
    </row>
    <row r="141" spans="17:21" s="476" customFormat="1" ht="13.15" customHeight="1" x14ac:dyDescent="0.2">
      <c r="Q141" s="925"/>
      <c r="R141" s="926"/>
      <c r="S141" s="926"/>
      <c r="T141" s="926"/>
      <c r="U141" s="926"/>
    </row>
    <row r="142" spans="17:21" s="476" customFormat="1" ht="13.15" customHeight="1" x14ac:dyDescent="0.2">
      <c r="Q142" s="925"/>
      <c r="R142" s="926"/>
      <c r="S142" s="926"/>
      <c r="T142" s="926"/>
      <c r="U142" s="926"/>
    </row>
    <row r="143" spans="17:21" s="476" customFormat="1" ht="13.15" customHeight="1" x14ac:dyDescent="0.2">
      <c r="Q143" s="925"/>
      <c r="R143" s="926"/>
      <c r="S143" s="926"/>
      <c r="T143" s="926"/>
      <c r="U143" s="926"/>
    </row>
    <row r="144" spans="17:21" s="476" customFormat="1" ht="13.15" customHeight="1" x14ac:dyDescent="0.2">
      <c r="Q144" s="925"/>
      <c r="R144" s="926"/>
      <c r="S144" s="926"/>
      <c r="T144" s="926"/>
      <c r="U144" s="926"/>
    </row>
    <row r="145" spans="17:21" s="476" customFormat="1" ht="13.15" customHeight="1" x14ac:dyDescent="0.2">
      <c r="Q145" s="925"/>
      <c r="R145" s="926"/>
      <c r="S145" s="926"/>
      <c r="T145" s="926"/>
      <c r="U145" s="926"/>
    </row>
    <row r="146" spans="17:21" s="476" customFormat="1" ht="13.15" customHeight="1" x14ac:dyDescent="0.2">
      <c r="Q146" s="925"/>
      <c r="R146" s="926"/>
      <c r="S146" s="926"/>
      <c r="T146" s="926"/>
      <c r="U146" s="926"/>
    </row>
    <row r="147" spans="17:21" s="476" customFormat="1" ht="13.15" customHeight="1" x14ac:dyDescent="0.2">
      <c r="Q147" s="925"/>
      <c r="R147" s="926"/>
      <c r="S147" s="926"/>
      <c r="T147" s="926"/>
      <c r="U147" s="926"/>
    </row>
    <row r="148" spans="17:21" s="476" customFormat="1" ht="13.15" customHeight="1" x14ac:dyDescent="0.2">
      <c r="Q148" s="925"/>
      <c r="R148" s="926"/>
      <c r="S148" s="926"/>
      <c r="T148" s="926"/>
      <c r="U148" s="926"/>
    </row>
    <row r="149" spans="17:21" s="476" customFormat="1" ht="13.15" customHeight="1" x14ac:dyDescent="0.2">
      <c r="Q149" s="925"/>
      <c r="R149" s="926"/>
      <c r="S149" s="926"/>
      <c r="T149" s="926"/>
      <c r="U149" s="926"/>
    </row>
    <row r="150" spans="17:21" s="476" customFormat="1" ht="13.15" customHeight="1" x14ac:dyDescent="0.2">
      <c r="Q150" s="925"/>
      <c r="R150" s="926"/>
      <c r="S150" s="926"/>
      <c r="T150" s="926"/>
      <c r="U150" s="926"/>
    </row>
    <row r="151" spans="17:21" s="476" customFormat="1" ht="13.15" customHeight="1" x14ac:dyDescent="0.2">
      <c r="Q151" s="925"/>
      <c r="R151" s="926"/>
      <c r="S151" s="926"/>
      <c r="T151" s="926"/>
      <c r="U151" s="926"/>
    </row>
    <row r="152" spans="17:21" s="476" customFormat="1" ht="13.15" customHeight="1" x14ac:dyDescent="0.2">
      <c r="Q152" s="925"/>
      <c r="R152" s="926"/>
      <c r="S152" s="926"/>
      <c r="T152" s="926"/>
      <c r="U152" s="926"/>
    </row>
    <row r="153" spans="17:21" s="476" customFormat="1" ht="13.15" customHeight="1" x14ac:dyDescent="0.2">
      <c r="Q153" s="925"/>
      <c r="R153" s="926"/>
      <c r="S153" s="926"/>
      <c r="T153" s="926"/>
      <c r="U153" s="926"/>
    </row>
    <row r="154" spans="17:21" s="476" customFormat="1" ht="13.15" customHeight="1" x14ac:dyDescent="0.2">
      <c r="Q154" s="925"/>
      <c r="R154" s="926"/>
      <c r="S154" s="926"/>
      <c r="T154" s="926"/>
      <c r="U154" s="926"/>
    </row>
    <row r="155" spans="17:21" s="476" customFormat="1" ht="13.15" customHeight="1" x14ac:dyDescent="0.2">
      <c r="Q155" s="925"/>
      <c r="R155" s="926"/>
      <c r="S155" s="926"/>
      <c r="T155" s="926"/>
      <c r="U155" s="926"/>
    </row>
    <row r="156" spans="17:21" s="476" customFormat="1" ht="13.15" customHeight="1" x14ac:dyDescent="0.2">
      <c r="Q156" s="925"/>
      <c r="R156" s="926"/>
      <c r="S156" s="926"/>
      <c r="T156" s="926"/>
      <c r="U156" s="926"/>
    </row>
    <row r="157" spans="17:21" s="476" customFormat="1" ht="13.15" customHeight="1" x14ac:dyDescent="0.2">
      <c r="Q157" s="925"/>
      <c r="R157" s="926"/>
      <c r="S157" s="926"/>
      <c r="T157" s="926"/>
      <c r="U157" s="926"/>
    </row>
    <row r="158" spans="17:21" s="476" customFormat="1" ht="13.15" customHeight="1" x14ac:dyDescent="0.2">
      <c r="Q158" s="925"/>
      <c r="R158" s="926"/>
      <c r="S158" s="926"/>
      <c r="T158" s="926"/>
      <c r="U158" s="926"/>
    </row>
    <row r="159" spans="17:21" s="476" customFormat="1" ht="13.15" customHeight="1" x14ac:dyDescent="0.2">
      <c r="Q159" s="925"/>
      <c r="R159" s="926"/>
      <c r="S159" s="926"/>
      <c r="T159" s="926"/>
      <c r="U159" s="926"/>
    </row>
    <row r="160" spans="17:21" s="476" customFormat="1" ht="13.15" customHeight="1" x14ac:dyDescent="0.2">
      <c r="Q160" s="925"/>
      <c r="R160" s="926"/>
      <c r="S160" s="926"/>
      <c r="T160" s="926"/>
      <c r="U160" s="926"/>
    </row>
    <row r="161" spans="17:21" s="476" customFormat="1" ht="13.15" customHeight="1" x14ac:dyDescent="0.2">
      <c r="Q161" s="925"/>
      <c r="R161" s="926"/>
      <c r="S161" s="926"/>
      <c r="T161" s="926"/>
      <c r="U161" s="926"/>
    </row>
    <row r="162" spans="17:21" s="476" customFormat="1" ht="13.15" customHeight="1" x14ac:dyDescent="0.2">
      <c r="Q162" s="925"/>
      <c r="R162" s="926"/>
      <c r="S162" s="926"/>
      <c r="T162" s="926"/>
      <c r="U162" s="926"/>
    </row>
    <row r="163" spans="17:21" s="476" customFormat="1" ht="13.15" customHeight="1" x14ac:dyDescent="0.2">
      <c r="Q163" s="925"/>
      <c r="R163" s="926"/>
      <c r="S163" s="926"/>
      <c r="T163" s="926"/>
      <c r="U163" s="926"/>
    </row>
    <row r="164" spans="17:21" s="476" customFormat="1" ht="13.15" customHeight="1" x14ac:dyDescent="0.2">
      <c r="Q164" s="925"/>
      <c r="R164" s="926"/>
      <c r="S164" s="926"/>
      <c r="T164" s="926"/>
      <c r="U164" s="926"/>
    </row>
    <row r="165" spans="17:21" s="476" customFormat="1" ht="13.15" customHeight="1" x14ac:dyDescent="0.2">
      <c r="Q165" s="925"/>
      <c r="R165" s="926"/>
      <c r="S165" s="926"/>
      <c r="T165" s="926"/>
      <c r="U165" s="926"/>
    </row>
    <row r="166" spans="17:21" s="476" customFormat="1" ht="13.15" customHeight="1" x14ac:dyDescent="0.2">
      <c r="Q166" s="925"/>
      <c r="R166" s="926"/>
      <c r="S166" s="926"/>
      <c r="T166" s="926"/>
      <c r="U166" s="926"/>
    </row>
    <row r="167" spans="17:21" s="476" customFormat="1" ht="13.15" customHeight="1" x14ac:dyDescent="0.2">
      <c r="Q167" s="925"/>
      <c r="R167" s="926"/>
      <c r="S167" s="926"/>
      <c r="T167" s="926"/>
      <c r="U167" s="926"/>
    </row>
    <row r="168" spans="17:21" s="476" customFormat="1" ht="13.15" customHeight="1" x14ac:dyDescent="0.2">
      <c r="Q168" s="925"/>
      <c r="R168" s="926"/>
      <c r="S168" s="926"/>
      <c r="T168" s="926"/>
      <c r="U168" s="926"/>
    </row>
    <row r="169" spans="17:21" s="476" customFormat="1" ht="13.15" customHeight="1" x14ac:dyDescent="0.2">
      <c r="Q169" s="925"/>
      <c r="R169" s="926"/>
      <c r="S169" s="926"/>
      <c r="T169" s="926"/>
      <c r="U169" s="926"/>
    </row>
    <row r="170" spans="17:21" s="476" customFormat="1" ht="13.15" customHeight="1" x14ac:dyDescent="0.2">
      <c r="Q170" s="925"/>
      <c r="R170" s="926"/>
      <c r="S170" s="926"/>
      <c r="T170" s="926"/>
      <c r="U170" s="926"/>
    </row>
    <row r="171" spans="17:21" s="476" customFormat="1" ht="13.15" customHeight="1" x14ac:dyDescent="0.2">
      <c r="Q171" s="925"/>
      <c r="R171" s="926"/>
      <c r="S171" s="926"/>
      <c r="T171" s="926"/>
      <c r="U171" s="926"/>
    </row>
    <row r="172" spans="17:21" s="476" customFormat="1" ht="13.15" customHeight="1" x14ac:dyDescent="0.2">
      <c r="Q172" s="925"/>
      <c r="R172" s="926"/>
      <c r="S172" s="926"/>
      <c r="T172" s="926"/>
      <c r="U172" s="926"/>
    </row>
    <row r="173" spans="17:21" s="476" customFormat="1" ht="13.15" customHeight="1" x14ac:dyDescent="0.2">
      <c r="Q173" s="925"/>
      <c r="R173" s="926"/>
      <c r="S173" s="926"/>
      <c r="T173" s="926"/>
      <c r="U173" s="926"/>
    </row>
    <row r="174" spans="17:21" s="476" customFormat="1" ht="13.15" customHeight="1" x14ac:dyDescent="0.2">
      <c r="Q174" s="925"/>
      <c r="R174" s="926"/>
      <c r="S174" s="926"/>
      <c r="T174" s="926"/>
      <c r="U174" s="926"/>
    </row>
    <row r="175" spans="17:21" s="476" customFormat="1" ht="13.15" customHeight="1" x14ac:dyDescent="0.2">
      <c r="Q175" s="925"/>
      <c r="R175" s="926"/>
      <c r="S175" s="926"/>
      <c r="T175" s="926"/>
      <c r="U175" s="926"/>
    </row>
    <row r="176" spans="17:21" s="476" customFormat="1" ht="13.15" customHeight="1" x14ac:dyDescent="0.2">
      <c r="Q176" s="925"/>
      <c r="R176" s="926"/>
      <c r="S176" s="926"/>
      <c r="T176" s="926"/>
      <c r="U176" s="926"/>
    </row>
    <row r="177" spans="17:21" s="476" customFormat="1" ht="13.15" customHeight="1" x14ac:dyDescent="0.2">
      <c r="Q177" s="925"/>
      <c r="R177" s="926"/>
      <c r="S177" s="926"/>
      <c r="T177" s="926"/>
      <c r="U177" s="926"/>
    </row>
    <row r="178" spans="17:21" s="476" customFormat="1" ht="13.15" customHeight="1" x14ac:dyDescent="0.2">
      <c r="Q178" s="925"/>
      <c r="R178" s="926"/>
      <c r="S178" s="926"/>
      <c r="T178" s="926"/>
      <c r="U178" s="926"/>
    </row>
    <row r="179" spans="17:21" s="476" customFormat="1" ht="13.15" customHeight="1" x14ac:dyDescent="0.2">
      <c r="Q179" s="925"/>
      <c r="R179" s="926"/>
      <c r="S179" s="926"/>
      <c r="T179" s="926"/>
      <c r="U179" s="926"/>
    </row>
    <row r="180" spans="17:21" s="476" customFormat="1" ht="13.15" customHeight="1" x14ac:dyDescent="0.2">
      <c r="Q180" s="925"/>
      <c r="R180" s="926"/>
      <c r="S180" s="926"/>
      <c r="T180" s="926"/>
      <c r="U180" s="926"/>
    </row>
    <row r="181" spans="17:21" s="476" customFormat="1" ht="13.15" customHeight="1" x14ac:dyDescent="0.2">
      <c r="Q181" s="925"/>
      <c r="R181" s="926"/>
      <c r="S181" s="926"/>
      <c r="T181" s="926"/>
      <c r="U181" s="926"/>
    </row>
    <row r="182" spans="17:21" s="476" customFormat="1" ht="13.15" customHeight="1" x14ac:dyDescent="0.2">
      <c r="Q182" s="925"/>
      <c r="R182" s="926"/>
      <c r="S182" s="926"/>
      <c r="T182" s="926"/>
      <c r="U182" s="926"/>
    </row>
    <row r="183" spans="17:21" s="476" customFormat="1" ht="13.15" customHeight="1" x14ac:dyDescent="0.2">
      <c r="Q183" s="925"/>
      <c r="R183" s="926"/>
      <c r="S183" s="926"/>
      <c r="T183" s="926"/>
      <c r="U183" s="926"/>
    </row>
    <row r="184" spans="17:21" s="476" customFormat="1" ht="13.15" customHeight="1" x14ac:dyDescent="0.2">
      <c r="Q184" s="925"/>
      <c r="R184" s="926"/>
      <c r="S184" s="926"/>
      <c r="T184" s="926"/>
      <c r="U184" s="926"/>
    </row>
    <row r="185" spans="17:21" s="476" customFormat="1" ht="13.15" customHeight="1" x14ac:dyDescent="0.2">
      <c r="Q185" s="925"/>
      <c r="R185" s="926"/>
      <c r="S185" s="926"/>
      <c r="T185" s="926"/>
      <c r="U185" s="926"/>
    </row>
    <row r="186" spans="17:21" s="476" customFormat="1" ht="13.15" customHeight="1" x14ac:dyDescent="0.2">
      <c r="Q186" s="925"/>
      <c r="R186" s="926"/>
      <c r="S186" s="926"/>
      <c r="T186" s="926"/>
      <c r="U186" s="926"/>
    </row>
    <row r="187" spans="17:21" s="476" customFormat="1" ht="13.15" customHeight="1" x14ac:dyDescent="0.2">
      <c r="Q187" s="925"/>
      <c r="R187" s="926"/>
      <c r="S187" s="926"/>
      <c r="T187" s="926"/>
      <c r="U187" s="926"/>
    </row>
    <row r="188" spans="17:21" s="476" customFormat="1" ht="13.15" customHeight="1" x14ac:dyDescent="0.2">
      <c r="Q188" s="925"/>
      <c r="R188" s="926"/>
      <c r="S188" s="926"/>
      <c r="T188" s="926"/>
      <c r="U188" s="926"/>
    </row>
    <row r="189" spans="17:21" s="476" customFormat="1" ht="13.15" customHeight="1" x14ac:dyDescent="0.2">
      <c r="Q189" s="925"/>
      <c r="R189" s="926"/>
      <c r="S189" s="926"/>
      <c r="T189" s="926"/>
      <c r="U189" s="926"/>
    </row>
    <row r="190" spans="17:21" s="476" customFormat="1" ht="13.15" customHeight="1" x14ac:dyDescent="0.2">
      <c r="Q190" s="925"/>
      <c r="R190" s="926"/>
      <c r="S190" s="926"/>
      <c r="T190" s="926"/>
      <c r="U190" s="926"/>
    </row>
    <row r="191" spans="17:21" s="476" customFormat="1" ht="13.15" customHeight="1" x14ac:dyDescent="0.2">
      <c r="Q191" s="925"/>
      <c r="R191" s="926"/>
      <c r="S191" s="926"/>
      <c r="T191" s="926"/>
      <c r="U191" s="926"/>
    </row>
    <row r="192" spans="17:21" s="476" customFormat="1" ht="13.15" customHeight="1" x14ac:dyDescent="0.2">
      <c r="Q192" s="925"/>
      <c r="R192" s="926"/>
      <c r="S192" s="926"/>
      <c r="T192" s="926"/>
      <c r="U192" s="926"/>
    </row>
    <row r="193" spans="17:21" s="476" customFormat="1" ht="13.15" customHeight="1" x14ac:dyDescent="0.2">
      <c r="Q193" s="925"/>
      <c r="R193" s="926"/>
      <c r="S193" s="926"/>
      <c r="T193" s="926"/>
      <c r="U193" s="926"/>
    </row>
    <row r="194" spans="17:21" s="476" customFormat="1" ht="13.15" customHeight="1" x14ac:dyDescent="0.2">
      <c r="Q194" s="925"/>
      <c r="R194" s="926"/>
      <c r="S194" s="926"/>
      <c r="T194" s="926"/>
      <c r="U194" s="926"/>
    </row>
    <row r="195" spans="17:21" s="476" customFormat="1" ht="13.15" customHeight="1" x14ac:dyDescent="0.2">
      <c r="Q195" s="925"/>
      <c r="R195" s="926"/>
      <c r="S195" s="926"/>
      <c r="T195" s="926"/>
      <c r="U195" s="926"/>
    </row>
    <row r="196" spans="17:21" s="476" customFormat="1" ht="13.15" customHeight="1" x14ac:dyDescent="0.2">
      <c r="Q196" s="925"/>
      <c r="R196" s="926"/>
      <c r="S196" s="926"/>
      <c r="T196" s="926"/>
      <c r="U196" s="926"/>
    </row>
    <row r="197" spans="17:21" s="476" customFormat="1" ht="13.15" customHeight="1" x14ac:dyDescent="0.2">
      <c r="Q197" s="925"/>
      <c r="R197" s="926"/>
      <c r="S197" s="926"/>
      <c r="T197" s="926"/>
      <c r="U197" s="926"/>
    </row>
    <row r="198" spans="17:21" s="476" customFormat="1" ht="13.15" customHeight="1" x14ac:dyDescent="0.2">
      <c r="Q198" s="925"/>
      <c r="R198" s="926"/>
      <c r="S198" s="926"/>
      <c r="T198" s="926"/>
      <c r="U198" s="926"/>
    </row>
    <row r="199" spans="17:21" s="476" customFormat="1" ht="13.15" customHeight="1" x14ac:dyDescent="0.2">
      <c r="Q199" s="925"/>
      <c r="R199" s="926"/>
      <c r="S199" s="926"/>
      <c r="T199" s="926"/>
      <c r="U199" s="926"/>
    </row>
    <row r="200" spans="17:21" s="476" customFormat="1" ht="13.15" customHeight="1" x14ac:dyDescent="0.2">
      <c r="Q200" s="925"/>
      <c r="R200" s="926"/>
      <c r="S200" s="926"/>
      <c r="T200" s="926"/>
      <c r="U200" s="926"/>
    </row>
    <row r="201" spans="17:21" s="476" customFormat="1" ht="13.15" customHeight="1" x14ac:dyDescent="0.2">
      <c r="Q201" s="925"/>
      <c r="R201" s="926"/>
      <c r="S201" s="926"/>
      <c r="T201" s="926"/>
      <c r="U201" s="926"/>
    </row>
    <row r="202" spans="17:21" s="476" customFormat="1" ht="13.15" customHeight="1" x14ac:dyDescent="0.2">
      <c r="Q202" s="925"/>
      <c r="R202" s="926"/>
      <c r="S202" s="926"/>
      <c r="T202" s="926"/>
      <c r="U202" s="926"/>
    </row>
    <row r="203" spans="17:21" s="476" customFormat="1" ht="13.15" customHeight="1" x14ac:dyDescent="0.2">
      <c r="Q203" s="925"/>
      <c r="R203" s="926"/>
      <c r="S203" s="926"/>
      <c r="T203" s="926"/>
      <c r="U203" s="926"/>
    </row>
    <row r="204" spans="17:21" s="476" customFormat="1" ht="13.15" customHeight="1" x14ac:dyDescent="0.2">
      <c r="Q204" s="925"/>
      <c r="R204" s="926"/>
      <c r="S204" s="926"/>
      <c r="T204" s="926"/>
      <c r="U204" s="926"/>
    </row>
    <row r="205" spans="17:21" s="476" customFormat="1" ht="13.15" customHeight="1" x14ac:dyDescent="0.2">
      <c r="Q205" s="925"/>
      <c r="R205" s="926"/>
      <c r="S205" s="926"/>
      <c r="T205" s="926"/>
      <c r="U205" s="926"/>
    </row>
    <row r="206" spans="17:21" s="476" customFormat="1" ht="13.15" customHeight="1" x14ac:dyDescent="0.2">
      <c r="Q206" s="925"/>
      <c r="R206" s="926"/>
      <c r="S206" s="926"/>
      <c r="T206" s="926"/>
      <c r="U206" s="926"/>
    </row>
    <row r="207" spans="17:21" s="476" customFormat="1" ht="13.15" customHeight="1" x14ac:dyDescent="0.2">
      <c r="Q207" s="925"/>
      <c r="R207" s="926"/>
      <c r="S207" s="926"/>
      <c r="T207" s="926"/>
      <c r="U207" s="926"/>
    </row>
    <row r="208" spans="17:21" s="476" customFormat="1" ht="13.15" customHeight="1" x14ac:dyDescent="0.2">
      <c r="Q208" s="925"/>
      <c r="R208" s="926"/>
      <c r="S208" s="926"/>
      <c r="T208" s="926"/>
      <c r="U208" s="926"/>
    </row>
    <row r="209" spans="17:21" s="476" customFormat="1" ht="13.15" customHeight="1" x14ac:dyDescent="0.2">
      <c r="Q209" s="925"/>
      <c r="R209" s="926"/>
      <c r="S209" s="926"/>
      <c r="T209" s="926"/>
      <c r="U209" s="926"/>
    </row>
    <row r="210" spans="17:21" s="476" customFormat="1" ht="13.15" customHeight="1" x14ac:dyDescent="0.2">
      <c r="Q210" s="925"/>
      <c r="R210" s="926"/>
      <c r="S210" s="926"/>
      <c r="T210" s="926"/>
      <c r="U210" s="926"/>
    </row>
    <row r="211" spans="17:21" s="476" customFormat="1" ht="13.15" customHeight="1" x14ac:dyDescent="0.2">
      <c r="Q211" s="925"/>
      <c r="R211" s="926"/>
      <c r="S211" s="926"/>
      <c r="T211" s="926"/>
      <c r="U211" s="926"/>
    </row>
    <row r="212" spans="17:21" s="476" customFormat="1" ht="13.15" customHeight="1" x14ac:dyDescent="0.2">
      <c r="Q212" s="925"/>
      <c r="R212" s="926"/>
      <c r="S212" s="926"/>
      <c r="T212" s="926"/>
      <c r="U212" s="926"/>
    </row>
    <row r="213" spans="17:21" s="476" customFormat="1" ht="13.15" customHeight="1" x14ac:dyDescent="0.2">
      <c r="Q213" s="925"/>
      <c r="R213" s="926"/>
      <c r="S213" s="926"/>
      <c r="T213" s="926"/>
      <c r="U213" s="926"/>
    </row>
    <row r="214" spans="17:21" s="476" customFormat="1" ht="13.15" customHeight="1" x14ac:dyDescent="0.2">
      <c r="Q214" s="925"/>
      <c r="R214" s="926"/>
      <c r="S214" s="926"/>
      <c r="T214" s="926"/>
      <c r="U214" s="926"/>
    </row>
    <row r="215" spans="17:21" s="476" customFormat="1" ht="13.15" customHeight="1" x14ac:dyDescent="0.2">
      <c r="Q215" s="925"/>
      <c r="R215" s="926"/>
      <c r="S215" s="926"/>
      <c r="T215" s="926"/>
      <c r="U215" s="926"/>
    </row>
    <row r="216" spans="17:21" s="476" customFormat="1" ht="13.15" customHeight="1" x14ac:dyDescent="0.2">
      <c r="Q216" s="925"/>
      <c r="R216" s="926"/>
      <c r="S216" s="926"/>
      <c r="T216" s="926"/>
      <c r="U216" s="926"/>
    </row>
    <row r="217" spans="17:21" s="476" customFormat="1" ht="13.15" customHeight="1" x14ac:dyDescent="0.2">
      <c r="Q217" s="925"/>
      <c r="R217" s="926"/>
      <c r="S217" s="926"/>
      <c r="T217" s="926"/>
      <c r="U217" s="926"/>
    </row>
    <row r="218" spans="17:21" s="476" customFormat="1" ht="13.15" customHeight="1" x14ac:dyDescent="0.2">
      <c r="Q218" s="925"/>
      <c r="R218" s="926"/>
      <c r="S218" s="926"/>
      <c r="T218" s="926"/>
      <c r="U218" s="926"/>
    </row>
    <row r="219" spans="17:21" s="476" customFormat="1" ht="13.15" customHeight="1" x14ac:dyDescent="0.2">
      <c r="Q219" s="925"/>
      <c r="R219" s="926"/>
      <c r="S219" s="926"/>
      <c r="T219" s="926"/>
      <c r="U219" s="926"/>
    </row>
    <row r="220" spans="17:21" s="476" customFormat="1" ht="13.15" customHeight="1" x14ac:dyDescent="0.2">
      <c r="Q220" s="925"/>
      <c r="R220" s="926"/>
      <c r="S220" s="926"/>
      <c r="T220" s="926"/>
      <c r="U220" s="926"/>
    </row>
    <row r="221" spans="17:21" s="476" customFormat="1" ht="13.15" customHeight="1" x14ac:dyDescent="0.2">
      <c r="Q221" s="925"/>
      <c r="R221" s="926"/>
      <c r="S221" s="926"/>
      <c r="T221" s="926"/>
      <c r="U221" s="926"/>
    </row>
    <row r="222" spans="17:21" s="476" customFormat="1" ht="13.15" customHeight="1" x14ac:dyDescent="0.2">
      <c r="Q222" s="925"/>
      <c r="R222" s="926"/>
      <c r="S222" s="926"/>
      <c r="T222" s="926"/>
      <c r="U222" s="926"/>
    </row>
    <row r="223" spans="17:21" s="476" customFormat="1" ht="13.15" customHeight="1" x14ac:dyDescent="0.2">
      <c r="Q223" s="925"/>
      <c r="R223" s="926"/>
      <c r="S223" s="926"/>
      <c r="T223" s="926"/>
      <c r="U223" s="926"/>
    </row>
    <row r="224" spans="17:21" s="476" customFormat="1" ht="13.15" customHeight="1" x14ac:dyDescent="0.2">
      <c r="Q224" s="925"/>
      <c r="R224" s="926"/>
      <c r="S224" s="926"/>
      <c r="T224" s="926"/>
      <c r="U224" s="926"/>
    </row>
    <row r="225" spans="17:21" s="476" customFormat="1" ht="13.15" customHeight="1" x14ac:dyDescent="0.2">
      <c r="Q225" s="925"/>
      <c r="R225" s="926"/>
      <c r="S225" s="926"/>
      <c r="T225" s="926"/>
      <c r="U225" s="926"/>
    </row>
    <row r="226" spans="17:21" s="476" customFormat="1" ht="13.15" customHeight="1" x14ac:dyDescent="0.2">
      <c r="Q226" s="925"/>
      <c r="R226" s="926"/>
      <c r="S226" s="926"/>
      <c r="T226" s="926"/>
      <c r="U226" s="926"/>
    </row>
    <row r="227" spans="17:21" s="476" customFormat="1" ht="13.15" customHeight="1" x14ac:dyDescent="0.2">
      <c r="Q227" s="925"/>
      <c r="R227" s="926"/>
      <c r="S227" s="926"/>
      <c r="T227" s="926"/>
      <c r="U227" s="926"/>
    </row>
    <row r="228" spans="17:21" s="476" customFormat="1" ht="13.15" customHeight="1" x14ac:dyDescent="0.2">
      <c r="Q228" s="925"/>
      <c r="R228" s="926"/>
      <c r="S228" s="926"/>
      <c r="T228" s="926"/>
      <c r="U228" s="926"/>
    </row>
    <row r="229" spans="17:21" s="476" customFormat="1" ht="13.15" customHeight="1" x14ac:dyDescent="0.2">
      <c r="Q229" s="925"/>
      <c r="R229" s="926"/>
      <c r="S229" s="926"/>
      <c r="T229" s="926"/>
      <c r="U229" s="926"/>
    </row>
    <row r="230" spans="17:21" s="476" customFormat="1" ht="13.15" customHeight="1" x14ac:dyDescent="0.2">
      <c r="Q230" s="925"/>
      <c r="R230" s="926"/>
      <c r="S230" s="926"/>
      <c r="T230" s="926"/>
      <c r="U230" s="926"/>
    </row>
    <row r="231" spans="17:21" s="476" customFormat="1" ht="13.15" customHeight="1" x14ac:dyDescent="0.2">
      <c r="Q231" s="925"/>
      <c r="R231" s="926"/>
      <c r="S231" s="926"/>
      <c r="T231" s="926"/>
      <c r="U231" s="926"/>
    </row>
    <row r="232" spans="17:21" s="476" customFormat="1" ht="13.15" customHeight="1" x14ac:dyDescent="0.2">
      <c r="Q232" s="925"/>
      <c r="R232" s="926"/>
      <c r="S232" s="926"/>
      <c r="T232" s="926"/>
      <c r="U232" s="926"/>
    </row>
    <row r="233" spans="17:21" s="476" customFormat="1" ht="13.15" customHeight="1" x14ac:dyDescent="0.2">
      <c r="Q233" s="925"/>
      <c r="R233" s="926"/>
      <c r="S233" s="926"/>
      <c r="T233" s="926"/>
      <c r="U233" s="926"/>
    </row>
    <row r="234" spans="17:21" s="476" customFormat="1" ht="13.15" customHeight="1" x14ac:dyDescent="0.2">
      <c r="Q234" s="925"/>
      <c r="R234" s="926"/>
      <c r="S234" s="926"/>
      <c r="T234" s="926"/>
      <c r="U234" s="926"/>
    </row>
    <row r="235" spans="17:21" s="476" customFormat="1" ht="13.15" customHeight="1" x14ac:dyDescent="0.2">
      <c r="Q235" s="925"/>
      <c r="R235" s="926"/>
      <c r="S235" s="926"/>
      <c r="T235" s="926"/>
      <c r="U235" s="926"/>
    </row>
    <row r="236" spans="17:21" s="476" customFormat="1" ht="13.15" customHeight="1" x14ac:dyDescent="0.2">
      <c r="Q236" s="925"/>
      <c r="R236" s="926"/>
      <c r="S236" s="926"/>
      <c r="T236" s="926"/>
      <c r="U236" s="926"/>
    </row>
    <row r="237" spans="17:21" s="476" customFormat="1" ht="13.15" customHeight="1" x14ac:dyDescent="0.2">
      <c r="Q237" s="925"/>
      <c r="R237" s="926"/>
      <c r="S237" s="926"/>
      <c r="T237" s="926"/>
      <c r="U237" s="926"/>
    </row>
    <row r="238" spans="17:21" s="476" customFormat="1" ht="13.15" customHeight="1" x14ac:dyDescent="0.2">
      <c r="Q238" s="925"/>
      <c r="R238" s="926"/>
      <c r="S238" s="926"/>
      <c r="T238" s="926"/>
      <c r="U238" s="926"/>
    </row>
    <row r="239" spans="17:21" s="476" customFormat="1" ht="13.15" customHeight="1" x14ac:dyDescent="0.2">
      <c r="Q239" s="925"/>
      <c r="R239" s="926"/>
      <c r="S239" s="926"/>
      <c r="T239" s="926"/>
      <c r="U239" s="926"/>
    </row>
    <row r="240" spans="17:21" s="476" customFormat="1" ht="13.15" customHeight="1" x14ac:dyDescent="0.2">
      <c r="Q240" s="925"/>
      <c r="R240" s="926"/>
      <c r="S240" s="926"/>
      <c r="T240" s="926"/>
      <c r="U240" s="926"/>
    </row>
    <row r="241" spans="17:21" s="476" customFormat="1" ht="13.15" customHeight="1" x14ac:dyDescent="0.2">
      <c r="Q241" s="925"/>
      <c r="R241" s="926"/>
      <c r="S241" s="926"/>
      <c r="T241" s="926"/>
      <c r="U241" s="926"/>
    </row>
    <row r="242" spans="17:21" s="476" customFormat="1" ht="13.15" customHeight="1" x14ac:dyDescent="0.2">
      <c r="Q242" s="925"/>
      <c r="R242" s="926"/>
      <c r="S242" s="926"/>
      <c r="T242" s="926"/>
      <c r="U242" s="926"/>
    </row>
    <row r="243" spans="17:21" s="476" customFormat="1" ht="13.15" customHeight="1" x14ac:dyDescent="0.2">
      <c r="Q243" s="925"/>
      <c r="R243" s="926"/>
      <c r="S243" s="926"/>
      <c r="T243" s="926"/>
      <c r="U243" s="926"/>
    </row>
    <row r="244" spans="17:21" s="476" customFormat="1" ht="13.15" customHeight="1" x14ac:dyDescent="0.2">
      <c r="Q244" s="925"/>
      <c r="R244" s="926"/>
      <c r="S244" s="926"/>
      <c r="T244" s="926"/>
      <c r="U244" s="926"/>
    </row>
    <row r="245" spans="17:21" s="476" customFormat="1" ht="13.15" customHeight="1" x14ac:dyDescent="0.2">
      <c r="Q245" s="925"/>
      <c r="R245" s="926"/>
      <c r="S245" s="926"/>
      <c r="T245" s="926"/>
      <c r="U245" s="926"/>
    </row>
    <row r="246" spans="17:21" s="476" customFormat="1" ht="13.15" customHeight="1" x14ac:dyDescent="0.2">
      <c r="Q246" s="925"/>
      <c r="R246" s="926"/>
      <c r="S246" s="926"/>
      <c r="T246" s="926"/>
      <c r="U246" s="926"/>
    </row>
    <row r="247" spans="17:21" s="476" customFormat="1" ht="13.15" customHeight="1" x14ac:dyDescent="0.2">
      <c r="Q247" s="925"/>
      <c r="R247" s="926"/>
      <c r="S247" s="926"/>
      <c r="T247" s="926"/>
      <c r="U247" s="926"/>
    </row>
    <row r="248" spans="17:21" s="476" customFormat="1" ht="13.15" customHeight="1" x14ac:dyDescent="0.2">
      <c r="Q248" s="925"/>
      <c r="R248" s="926"/>
      <c r="S248" s="926"/>
      <c r="T248" s="926"/>
      <c r="U248" s="926"/>
    </row>
    <row r="249" spans="17:21" s="476" customFormat="1" ht="13.15" customHeight="1" x14ac:dyDescent="0.2">
      <c r="Q249" s="925"/>
      <c r="R249" s="926"/>
      <c r="S249" s="926"/>
      <c r="T249" s="926"/>
      <c r="U249" s="926"/>
    </row>
    <row r="250" spans="17:21" s="476" customFormat="1" ht="13.15" customHeight="1" x14ac:dyDescent="0.2">
      <c r="Q250" s="925"/>
      <c r="R250" s="926"/>
      <c r="S250" s="926"/>
      <c r="T250" s="926"/>
      <c r="U250" s="926"/>
    </row>
    <row r="251" spans="17:21" s="476" customFormat="1" ht="13.15" customHeight="1" x14ac:dyDescent="0.2">
      <c r="Q251" s="925"/>
      <c r="R251" s="926"/>
      <c r="S251" s="926"/>
      <c r="T251" s="926"/>
      <c r="U251" s="926"/>
    </row>
    <row r="252" spans="17:21" s="476" customFormat="1" ht="13.15" customHeight="1" x14ac:dyDescent="0.2">
      <c r="Q252" s="925"/>
      <c r="R252" s="926"/>
      <c r="S252" s="926"/>
      <c r="T252" s="926"/>
      <c r="U252" s="926"/>
    </row>
    <row r="253" spans="17:21" s="476" customFormat="1" ht="13.15" customHeight="1" x14ac:dyDescent="0.2">
      <c r="Q253" s="925"/>
      <c r="R253" s="926"/>
      <c r="S253" s="926"/>
      <c r="T253" s="926"/>
      <c r="U253" s="926"/>
    </row>
    <row r="254" spans="17:21" s="476" customFormat="1" ht="13.15" customHeight="1" x14ac:dyDescent="0.2">
      <c r="Q254" s="925"/>
      <c r="R254" s="926"/>
      <c r="S254" s="926"/>
      <c r="T254" s="926"/>
      <c r="U254" s="926"/>
    </row>
    <row r="255" spans="17:21" s="476" customFormat="1" ht="13.15" customHeight="1" x14ac:dyDescent="0.2">
      <c r="Q255" s="925"/>
      <c r="R255" s="926"/>
      <c r="S255" s="926"/>
      <c r="T255" s="926"/>
      <c r="U255" s="926"/>
    </row>
    <row r="256" spans="17:21" s="476" customFormat="1" ht="13.15" customHeight="1" x14ac:dyDescent="0.2">
      <c r="Q256" s="925"/>
      <c r="R256" s="926"/>
      <c r="S256" s="926"/>
      <c r="T256" s="926"/>
      <c r="U256" s="926"/>
    </row>
    <row r="257" spans="17:21" s="476" customFormat="1" ht="13.15" customHeight="1" x14ac:dyDescent="0.2">
      <c r="Q257" s="925"/>
      <c r="R257" s="926"/>
      <c r="S257" s="926"/>
      <c r="T257" s="926"/>
      <c r="U257" s="926"/>
    </row>
    <row r="258" spans="17:21" s="476" customFormat="1" ht="13.15" customHeight="1" x14ac:dyDescent="0.2">
      <c r="Q258" s="925"/>
      <c r="R258" s="926"/>
      <c r="S258" s="926"/>
      <c r="T258" s="926"/>
      <c r="U258" s="926"/>
    </row>
    <row r="259" spans="17:21" s="476" customFormat="1" ht="13.15" customHeight="1" x14ac:dyDescent="0.2">
      <c r="Q259" s="925"/>
      <c r="R259" s="926"/>
      <c r="S259" s="926"/>
      <c r="T259" s="926"/>
      <c r="U259" s="926"/>
    </row>
    <row r="260" spans="17:21" s="476" customFormat="1" ht="13.15" customHeight="1" x14ac:dyDescent="0.2">
      <c r="Q260" s="925"/>
      <c r="R260" s="926"/>
      <c r="S260" s="926"/>
      <c r="T260" s="926"/>
      <c r="U260" s="926"/>
    </row>
    <row r="261" spans="17:21" s="476" customFormat="1" ht="13.15" customHeight="1" x14ac:dyDescent="0.2">
      <c r="Q261" s="925"/>
      <c r="R261" s="926"/>
      <c r="S261" s="926"/>
      <c r="T261" s="926"/>
      <c r="U261" s="926"/>
    </row>
    <row r="262" spans="17:21" s="476" customFormat="1" ht="13.15" customHeight="1" x14ac:dyDescent="0.2">
      <c r="Q262" s="925"/>
      <c r="R262" s="926"/>
      <c r="S262" s="926"/>
      <c r="T262" s="926"/>
      <c r="U262" s="926"/>
    </row>
    <row r="263" spans="17:21" s="476" customFormat="1" ht="13.15" customHeight="1" x14ac:dyDescent="0.2">
      <c r="Q263" s="925"/>
      <c r="R263" s="926"/>
      <c r="S263" s="926"/>
      <c r="T263" s="926"/>
      <c r="U263" s="926"/>
    </row>
    <row r="264" spans="17:21" s="476" customFormat="1" ht="13.15" customHeight="1" x14ac:dyDescent="0.2">
      <c r="Q264" s="925"/>
      <c r="R264" s="926"/>
      <c r="S264" s="926"/>
      <c r="T264" s="926"/>
      <c r="U264" s="926"/>
    </row>
    <row r="265" spans="17:21" s="476" customFormat="1" ht="13.15" customHeight="1" x14ac:dyDescent="0.2">
      <c r="Q265" s="925"/>
      <c r="R265" s="926"/>
      <c r="S265" s="926"/>
      <c r="T265" s="926"/>
      <c r="U265" s="926"/>
    </row>
    <row r="266" spans="17:21" s="476" customFormat="1" ht="13.15" customHeight="1" x14ac:dyDescent="0.2">
      <c r="Q266" s="925"/>
      <c r="R266" s="926"/>
      <c r="S266" s="926"/>
      <c r="T266" s="926"/>
      <c r="U266" s="926"/>
    </row>
    <row r="267" spans="17:21" s="476" customFormat="1" ht="13.15" customHeight="1" x14ac:dyDescent="0.2">
      <c r="Q267" s="925"/>
      <c r="R267" s="926"/>
      <c r="S267" s="926"/>
      <c r="T267" s="926"/>
      <c r="U267" s="926"/>
    </row>
    <row r="268" spans="17:21" s="476" customFormat="1" ht="13.15" customHeight="1" x14ac:dyDescent="0.2">
      <c r="Q268" s="925"/>
      <c r="R268" s="926"/>
      <c r="S268" s="926"/>
      <c r="T268" s="926"/>
      <c r="U268" s="926"/>
    </row>
    <row r="269" spans="17:21" s="476" customFormat="1" ht="13.15" customHeight="1" x14ac:dyDescent="0.2">
      <c r="Q269" s="925"/>
      <c r="R269" s="926"/>
      <c r="S269" s="926"/>
      <c r="T269" s="926"/>
      <c r="U269" s="926"/>
    </row>
    <row r="270" spans="17:21" s="476" customFormat="1" ht="13.15" customHeight="1" x14ac:dyDescent="0.2">
      <c r="Q270" s="925"/>
      <c r="R270" s="926"/>
      <c r="S270" s="926"/>
      <c r="T270" s="926"/>
      <c r="U270" s="926"/>
    </row>
    <row r="271" spans="17:21" s="476" customFormat="1" ht="13.15" customHeight="1" x14ac:dyDescent="0.2">
      <c r="Q271" s="925"/>
      <c r="R271" s="926"/>
      <c r="S271" s="926"/>
      <c r="T271" s="926"/>
      <c r="U271" s="926"/>
    </row>
    <row r="272" spans="17:21" s="476" customFormat="1" ht="13.15" customHeight="1" x14ac:dyDescent="0.2">
      <c r="Q272" s="925"/>
      <c r="R272" s="926"/>
      <c r="S272" s="926"/>
      <c r="T272" s="926"/>
      <c r="U272" s="926"/>
    </row>
    <row r="273" spans="17:21" s="476" customFormat="1" ht="13.15" customHeight="1" x14ac:dyDescent="0.2">
      <c r="Q273" s="925"/>
      <c r="R273" s="926"/>
      <c r="S273" s="926"/>
      <c r="T273" s="926"/>
      <c r="U273" s="926"/>
    </row>
    <row r="274" spans="17:21" s="476" customFormat="1" ht="13.15" customHeight="1" x14ac:dyDescent="0.2">
      <c r="Q274" s="925"/>
      <c r="R274" s="926"/>
      <c r="S274" s="926"/>
      <c r="T274" s="926"/>
      <c r="U274" s="926"/>
    </row>
    <row r="275" spans="17:21" s="476" customFormat="1" ht="13.15" customHeight="1" x14ac:dyDescent="0.2">
      <c r="Q275" s="925"/>
      <c r="R275" s="926"/>
      <c r="S275" s="926"/>
      <c r="T275" s="926"/>
      <c r="U275" s="926"/>
    </row>
    <row r="276" spans="17:21" s="476" customFormat="1" ht="13.15" customHeight="1" x14ac:dyDescent="0.2">
      <c r="Q276" s="925"/>
      <c r="R276" s="926"/>
      <c r="S276" s="926"/>
      <c r="T276" s="926"/>
      <c r="U276" s="926"/>
    </row>
    <row r="277" spans="17:21" s="476" customFormat="1" ht="13.15" customHeight="1" x14ac:dyDescent="0.2">
      <c r="Q277" s="925"/>
      <c r="R277" s="926"/>
      <c r="S277" s="926"/>
      <c r="T277" s="926"/>
      <c r="U277" s="926"/>
    </row>
    <row r="278" spans="17:21" s="476" customFormat="1" ht="13.15" customHeight="1" x14ac:dyDescent="0.2">
      <c r="Q278" s="925"/>
      <c r="R278" s="926"/>
      <c r="S278" s="926"/>
      <c r="T278" s="926"/>
      <c r="U278" s="926"/>
    </row>
    <row r="279" spans="17:21" s="476" customFormat="1" ht="13.15" customHeight="1" x14ac:dyDescent="0.2">
      <c r="Q279" s="925"/>
      <c r="R279" s="926"/>
      <c r="S279" s="926"/>
      <c r="T279" s="926"/>
      <c r="U279" s="926"/>
    </row>
    <row r="280" spans="17:21" s="476" customFormat="1" ht="13.15" customHeight="1" x14ac:dyDescent="0.2">
      <c r="Q280" s="925"/>
      <c r="R280" s="926"/>
      <c r="S280" s="926"/>
      <c r="T280" s="926"/>
      <c r="U280" s="926"/>
    </row>
    <row r="281" spans="17:21" s="476" customFormat="1" ht="13.15" customHeight="1" x14ac:dyDescent="0.2">
      <c r="Q281" s="925"/>
      <c r="R281" s="926"/>
      <c r="S281" s="926"/>
      <c r="T281" s="926"/>
      <c r="U281" s="926"/>
    </row>
    <row r="282" spans="17:21" s="476" customFormat="1" ht="13.15" customHeight="1" x14ac:dyDescent="0.2">
      <c r="Q282" s="925"/>
      <c r="R282" s="926"/>
      <c r="S282" s="926"/>
      <c r="T282" s="926"/>
      <c r="U282" s="926"/>
    </row>
    <row r="283" spans="17:21" s="476" customFormat="1" ht="13.15" customHeight="1" x14ac:dyDescent="0.2">
      <c r="Q283" s="925"/>
      <c r="R283" s="926"/>
      <c r="S283" s="926"/>
      <c r="T283" s="926"/>
      <c r="U283" s="926"/>
    </row>
    <row r="284" spans="17:21" s="476" customFormat="1" ht="13.15" customHeight="1" x14ac:dyDescent="0.2">
      <c r="Q284" s="925"/>
      <c r="R284" s="926"/>
      <c r="S284" s="926"/>
      <c r="T284" s="926"/>
      <c r="U284" s="926"/>
    </row>
    <row r="285" spans="17:21" s="476" customFormat="1" ht="13.15" customHeight="1" x14ac:dyDescent="0.2">
      <c r="Q285" s="925"/>
      <c r="R285" s="926"/>
      <c r="S285" s="926"/>
      <c r="T285" s="926"/>
      <c r="U285" s="926"/>
    </row>
    <row r="286" spans="17:21" s="476" customFormat="1" ht="13.15" customHeight="1" x14ac:dyDescent="0.2">
      <c r="Q286" s="925"/>
      <c r="R286" s="926"/>
      <c r="S286" s="926"/>
      <c r="T286" s="926"/>
      <c r="U286" s="926"/>
    </row>
    <row r="287" spans="17:21" s="476" customFormat="1" ht="13.15" customHeight="1" x14ac:dyDescent="0.2">
      <c r="Q287" s="925"/>
      <c r="R287" s="926"/>
      <c r="S287" s="926"/>
      <c r="T287" s="926"/>
      <c r="U287" s="926"/>
    </row>
    <row r="288" spans="17:21" s="476" customFormat="1" ht="13.15" customHeight="1" x14ac:dyDescent="0.2">
      <c r="Q288" s="925"/>
      <c r="R288" s="926"/>
      <c r="S288" s="926"/>
      <c r="T288" s="926"/>
      <c r="U288" s="926"/>
    </row>
    <row r="289" spans="17:21" s="476" customFormat="1" ht="13.15" customHeight="1" x14ac:dyDescent="0.2">
      <c r="Q289" s="925"/>
      <c r="R289" s="926"/>
      <c r="S289" s="926"/>
      <c r="T289" s="926"/>
      <c r="U289" s="926"/>
    </row>
    <row r="290" spans="17:21" s="476" customFormat="1" ht="13.15" customHeight="1" x14ac:dyDescent="0.2">
      <c r="Q290" s="925"/>
      <c r="R290" s="926"/>
      <c r="S290" s="926"/>
      <c r="T290" s="926"/>
      <c r="U290" s="926"/>
    </row>
    <row r="291" spans="17:21" s="476" customFormat="1" ht="13.15" customHeight="1" x14ac:dyDescent="0.2">
      <c r="Q291" s="925"/>
      <c r="R291" s="926"/>
      <c r="S291" s="926"/>
      <c r="T291" s="926"/>
      <c r="U291" s="926"/>
    </row>
    <row r="292" spans="17:21" s="476" customFormat="1" ht="13.15" customHeight="1" x14ac:dyDescent="0.2">
      <c r="Q292" s="925"/>
      <c r="R292" s="926"/>
      <c r="S292" s="926"/>
      <c r="T292" s="926"/>
      <c r="U292" s="926"/>
    </row>
    <row r="293" spans="17:21" s="476" customFormat="1" ht="13.15" customHeight="1" x14ac:dyDescent="0.2">
      <c r="Q293" s="925"/>
      <c r="R293" s="926"/>
      <c r="S293" s="926"/>
      <c r="T293" s="926"/>
      <c r="U293" s="926"/>
    </row>
    <row r="294" spans="17:21" s="476" customFormat="1" ht="13.15" customHeight="1" x14ac:dyDescent="0.2">
      <c r="Q294" s="925"/>
      <c r="R294" s="926"/>
      <c r="S294" s="926"/>
      <c r="T294" s="926"/>
      <c r="U294" s="926"/>
    </row>
    <row r="295" spans="17:21" s="476" customFormat="1" ht="13.15" customHeight="1" x14ac:dyDescent="0.2">
      <c r="Q295" s="925"/>
      <c r="R295" s="926"/>
      <c r="S295" s="926"/>
      <c r="T295" s="926"/>
      <c r="U295" s="926"/>
    </row>
    <row r="296" spans="17:21" s="476" customFormat="1" ht="13.15" customHeight="1" x14ac:dyDescent="0.2">
      <c r="Q296" s="925"/>
      <c r="R296" s="926"/>
      <c r="S296" s="926"/>
      <c r="T296" s="926"/>
      <c r="U296" s="926"/>
    </row>
    <row r="297" spans="17:21" s="476" customFormat="1" ht="13.15" customHeight="1" x14ac:dyDescent="0.2">
      <c r="Q297" s="925"/>
      <c r="R297" s="926"/>
      <c r="S297" s="926"/>
      <c r="T297" s="926"/>
      <c r="U297" s="926"/>
    </row>
    <row r="298" spans="17:21" s="476" customFormat="1" ht="13.15" customHeight="1" x14ac:dyDescent="0.2">
      <c r="Q298" s="925"/>
      <c r="R298" s="926"/>
      <c r="S298" s="926"/>
      <c r="T298" s="926"/>
      <c r="U298" s="926"/>
    </row>
    <row r="299" spans="17:21" s="476" customFormat="1" ht="13.15" customHeight="1" x14ac:dyDescent="0.2">
      <c r="Q299" s="925"/>
      <c r="R299" s="926"/>
      <c r="S299" s="926"/>
      <c r="T299" s="926"/>
      <c r="U299" s="926"/>
    </row>
    <row r="300" spans="17:21" s="476" customFormat="1" ht="13.15" customHeight="1" x14ac:dyDescent="0.2">
      <c r="Q300" s="925"/>
      <c r="R300" s="926"/>
      <c r="S300" s="926"/>
      <c r="T300" s="926"/>
      <c r="U300" s="926"/>
    </row>
    <row r="301" spans="17:21" s="476" customFormat="1" ht="13.15" customHeight="1" x14ac:dyDescent="0.2">
      <c r="Q301" s="925"/>
      <c r="R301" s="926"/>
      <c r="S301" s="926"/>
      <c r="T301" s="926"/>
      <c r="U301" s="926"/>
    </row>
    <row r="302" spans="17:21" s="476" customFormat="1" ht="13.15" customHeight="1" x14ac:dyDescent="0.2">
      <c r="Q302" s="925"/>
      <c r="R302" s="926"/>
      <c r="S302" s="926"/>
      <c r="T302" s="926"/>
      <c r="U302" s="926"/>
    </row>
    <row r="303" spans="17:21" s="476" customFormat="1" ht="13.15" customHeight="1" x14ac:dyDescent="0.2">
      <c r="Q303" s="925"/>
      <c r="R303" s="926"/>
      <c r="S303" s="926"/>
      <c r="T303" s="926"/>
      <c r="U303" s="926"/>
    </row>
    <row r="304" spans="17:21" s="476" customFormat="1" ht="13.15" customHeight="1" x14ac:dyDescent="0.2">
      <c r="Q304" s="925"/>
      <c r="R304" s="926"/>
      <c r="S304" s="926"/>
      <c r="T304" s="926"/>
      <c r="U304" s="926"/>
    </row>
    <row r="305" spans="17:21" s="476" customFormat="1" ht="13.15" customHeight="1" x14ac:dyDescent="0.2">
      <c r="Q305" s="925"/>
      <c r="R305" s="926"/>
      <c r="S305" s="926"/>
      <c r="T305" s="926"/>
      <c r="U305" s="926"/>
    </row>
    <row r="306" spans="17:21" s="476" customFormat="1" ht="13.15" customHeight="1" x14ac:dyDescent="0.2">
      <c r="Q306" s="925"/>
      <c r="R306" s="926"/>
      <c r="S306" s="926"/>
      <c r="T306" s="926"/>
      <c r="U306" s="926"/>
    </row>
    <row r="307" spans="17:21" s="476" customFormat="1" ht="13.15" customHeight="1" x14ac:dyDescent="0.2">
      <c r="Q307" s="925"/>
      <c r="R307" s="926"/>
      <c r="S307" s="926"/>
      <c r="T307" s="926"/>
      <c r="U307" s="926"/>
    </row>
    <row r="308" spans="17:21" s="476" customFormat="1" ht="13.15" customHeight="1" x14ac:dyDescent="0.2">
      <c r="Q308" s="925"/>
      <c r="R308" s="926"/>
      <c r="S308" s="926"/>
      <c r="T308" s="926"/>
      <c r="U308" s="926"/>
    </row>
    <row r="309" spans="17:21" s="476" customFormat="1" ht="13.15" customHeight="1" x14ac:dyDescent="0.2">
      <c r="Q309" s="925"/>
      <c r="R309" s="926"/>
      <c r="S309" s="926"/>
      <c r="T309" s="926"/>
      <c r="U309" s="926"/>
    </row>
    <row r="310" spans="17:21" s="476" customFormat="1" ht="13.15" customHeight="1" x14ac:dyDescent="0.2">
      <c r="Q310" s="925"/>
      <c r="R310" s="926"/>
      <c r="S310" s="926"/>
      <c r="T310" s="926"/>
      <c r="U310" s="926"/>
    </row>
    <row r="311" spans="17:21" s="476" customFormat="1" ht="13.15" customHeight="1" x14ac:dyDescent="0.2">
      <c r="Q311" s="925"/>
      <c r="R311" s="926"/>
      <c r="S311" s="926"/>
      <c r="T311" s="926"/>
      <c r="U311" s="926"/>
    </row>
    <row r="312" spans="17:21" s="476" customFormat="1" ht="13.15" customHeight="1" x14ac:dyDescent="0.2">
      <c r="Q312" s="925"/>
      <c r="R312" s="926"/>
      <c r="S312" s="926"/>
      <c r="T312" s="926"/>
      <c r="U312" s="926"/>
    </row>
    <row r="313" spans="17:21" s="476" customFormat="1" ht="13.15" customHeight="1" x14ac:dyDescent="0.2">
      <c r="Q313" s="925"/>
      <c r="R313" s="926"/>
      <c r="S313" s="926"/>
      <c r="T313" s="926"/>
      <c r="U313" s="926"/>
    </row>
    <row r="314" spans="17:21" s="476" customFormat="1" ht="13.15" customHeight="1" x14ac:dyDescent="0.2">
      <c r="Q314" s="925"/>
      <c r="R314" s="926"/>
      <c r="S314" s="926"/>
      <c r="T314" s="926"/>
      <c r="U314" s="926"/>
    </row>
    <row r="315" spans="17:21" s="476" customFormat="1" ht="13.15" customHeight="1" x14ac:dyDescent="0.2">
      <c r="Q315" s="925"/>
      <c r="R315" s="926"/>
      <c r="S315" s="926"/>
      <c r="T315" s="926"/>
      <c r="U315" s="926"/>
    </row>
    <row r="316" spans="17:21" s="476" customFormat="1" ht="13.15" customHeight="1" x14ac:dyDescent="0.2">
      <c r="Q316" s="925"/>
      <c r="R316" s="926"/>
      <c r="S316" s="926"/>
      <c r="T316" s="926"/>
      <c r="U316" s="926"/>
    </row>
    <row r="317" spans="17:21" s="476" customFormat="1" ht="13.15" customHeight="1" x14ac:dyDescent="0.2">
      <c r="Q317" s="925"/>
      <c r="R317" s="926"/>
      <c r="S317" s="926"/>
      <c r="T317" s="926"/>
      <c r="U317" s="926"/>
    </row>
    <row r="318" spans="17:21" s="476" customFormat="1" ht="13.15" customHeight="1" x14ac:dyDescent="0.2">
      <c r="Q318" s="925"/>
      <c r="R318" s="926"/>
      <c r="S318" s="926"/>
      <c r="T318" s="926"/>
      <c r="U318" s="926"/>
    </row>
    <row r="319" spans="17:21" s="476" customFormat="1" ht="13.15" customHeight="1" x14ac:dyDescent="0.2">
      <c r="Q319" s="925"/>
      <c r="R319" s="926"/>
      <c r="S319" s="926"/>
      <c r="T319" s="926"/>
      <c r="U319" s="926"/>
    </row>
    <row r="320" spans="17:21" s="476" customFormat="1" ht="13.15" customHeight="1" x14ac:dyDescent="0.2">
      <c r="Q320" s="925"/>
      <c r="R320" s="926"/>
      <c r="S320" s="926"/>
      <c r="T320" s="926"/>
      <c r="U320" s="926"/>
    </row>
    <row r="321" spans="17:21" s="476" customFormat="1" ht="13.15" customHeight="1" x14ac:dyDescent="0.2">
      <c r="Q321" s="925"/>
      <c r="R321" s="926"/>
      <c r="S321" s="926"/>
      <c r="T321" s="926"/>
      <c r="U321" s="926"/>
    </row>
    <row r="322" spans="17:21" s="476" customFormat="1" ht="13.15" customHeight="1" x14ac:dyDescent="0.2">
      <c r="Q322" s="925"/>
      <c r="R322" s="926"/>
      <c r="S322" s="926"/>
      <c r="T322" s="926"/>
      <c r="U322" s="926"/>
    </row>
    <row r="323" spans="17:21" s="476" customFormat="1" ht="13.15" customHeight="1" x14ac:dyDescent="0.2">
      <c r="Q323" s="925"/>
      <c r="R323" s="926"/>
      <c r="S323" s="926"/>
      <c r="T323" s="926"/>
      <c r="U323" s="926"/>
    </row>
    <row r="324" spans="17:21" s="476" customFormat="1" ht="13.15" customHeight="1" x14ac:dyDescent="0.2">
      <c r="Q324" s="925"/>
      <c r="R324" s="926"/>
      <c r="S324" s="926"/>
      <c r="T324" s="926"/>
      <c r="U324" s="926"/>
    </row>
    <row r="325" spans="17:21" s="476" customFormat="1" ht="13.15" customHeight="1" x14ac:dyDescent="0.2">
      <c r="Q325" s="925"/>
      <c r="R325" s="926"/>
      <c r="S325" s="926"/>
      <c r="T325" s="926"/>
      <c r="U325" s="926"/>
    </row>
    <row r="326" spans="17:21" s="476" customFormat="1" ht="13.15" customHeight="1" x14ac:dyDescent="0.2">
      <c r="Q326" s="925"/>
      <c r="R326" s="926"/>
      <c r="S326" s="926"/>
      <c r="T326" s="926"/>
      <c r="U326" s="926"/>
    </row>
    <row r="327" spans="17:21" s="476" customFormat="1" ht="13.15" customHeight="1" x14ac:dyDescent="0.2">
      <c r="Q327" s="925"/>
      <c r="R327" s="926"/>
      <c r="S327" s="926"/>
      <c r="T327" s="926"/>
      <c r="U327" s="926"/>
    </row>
    <row r="328" spans="17:21" s="476" customFormat="1" ht="13.15" customHeight="1" x14ac:dyDescent="0.2">
      <c r="Q328" s="925"/>
      <c r="R328" s="926"/>
      <c r="S328" s="926"/>
      <c r="T328" s="926"/>
      <c r="U328" s="926"/>
    </row>
    <row r="329" spans="17:21" s="476" customFormat="1" ht="13.15" customHeight="1" x14ac:dyDescent="0.2">
      <c r="Q329" s="925"/>
      <c r="R329" s="926"/>
      <c r="S329" s="926"/>
      <c r="T329" s="926"/>
      <c r="U329" s="926"/>
    </row>
    <row r="330" spans="17:21" s="476" customFormat="1" ht="13.15" customHeight="1" x14ac:dyDescent="0.2">
      <c r="Q330" s="925"/>
      <c r="R330" s="926"/>
      <c r="S330" s="926"/>
      <c r="T330" s="926"/>
      <c r="U330" s="926"/>
    </row>
    <row r="331" spans="17:21" s="476" customFormat="1" ht="13.15" customHeight="1" x14ac:dyDescent="0.2">
      <c r="Q331" s="925"/>
      <c r="R331" s="926"/>
      <c r="S331" s="926"/>
      <c r="T331" s="926"/>
      <c r="U331" s="926"/>
    </row>
    <row r="332" spans="17:21" s="476" customFormat="1" ht="13.15" customHeight="1" x14ac:dyDescent="0.2">
      <c r="Q332" s="925"/>
      <c r="R332" s="926"/>
      <c r="S332" s="926"/>
      <c r="T332" s="926"/>
      <c r="U332" s="926"/>
    </row>
    <row r="333" spans="17:21" s="476" customFormat="1" ht="13.15" customHeight="1" x14ac:dyDescent="0.2">
      <c r="Q333" s="925"/>
      <c r="R333" s="926"/>
      <c r="S333" s="926"/>
      <c r="T333" s="926"/>
      <c r="U333" s="926"/>
    </row>
    <row r="334" spans="17:21" s="476" customFormat="1" ht="13.15" customHeight="1" x14ac:dyDescent="0.2">
      <c r="Q334" s="925"/>
      <c r="R334" s="926"/>
      <c r="S334" s="926"/>
      <c r="T334" s="926"/>
      <c r="U334" s="926"/>
    </row>
    <row r="335" spans="17:21" s="476" customFormat="1" ht="13.15" customHeight="1" x14ac:dyDescent="0.2">
      <c r="Q335" s="925"/>
      <c r="R335" s="926"/>
      <c r="S335" s="926"/>
      <c r="T335" s="926"/>
      <c r="U335" s="926"/>
    </row>
    <row r="336" spans="17:21" s="476" customFormat="1" ht="13.15" customHeight="1" x14ac:dyDescent="0.2">
      <c r="Q336" s="925"/>
      <c r="R336" s="926"/>
      <c r="S336" s="926"/>
      <c r="T336" s="926"/>
      <c r="U336" s="926"/>
    </row>
    <row r="337" spans="17:21" s="476" customFormat="1" ht="13.15" customHeight="1" x14ac:dyDescent="0.2">
      <c r="Q337" s="925"/>
      <c r="R337" s="926"/>
      <c r="S337" s="926"/>
      <c r="T337" s="926"/>
      <c r="U337" s="926"/>
    </row>
    <row r="338" spans="17:21" s="476" customFormat="1" ht="13.15" customHeight="1" x14ac:dyDescent="0.2">
      <c r="Q338" s="925"/>
      <c r="R338" s="926"/>
      <c r="S338" s="926"/>
      <c r="T338" s="926"/>
      <c r="U338" s="926"/>
    </row>
    <row r="339" spans="17:21" s="476" customFormat="1" ht="13.15" customHeight="1" x14ac:dyDescent="0.2">
      <c r="Q339" s="925"/>
      <c r="R339" s="926"/>
      <c r="S339" s="926"/>
      <c r="T339" s="926"/>
      <c r="U339" s="926"/>
    </row>
    <row r="340" spans="17:21" s="476" customFormat="1" ht="13.15" customHeight="1" x14ac:dyDescent="0.2">
      <c r="Q340" s="925"/>
      <c r="R340" s="926"/>
      <c r="S340" s="926"/>
      <c r="T340" s="926"/>
      <c r="U340" s="926"/>
    </row>
    <row r="341" spans="17:21" s="476" customFormat="1" ht="13.15" customHeight="1" x14ac:dyDescent="0.2">
      <c r="Q341" s="925"/>
      <c r="R341" s="926"/>
      <c r="S341" s="926"/>
      <c r="T341" s="926"/>
      <c r="U341" s="926"/>
    </row>
    <row r="342" spans="17:21" s="476" customFormat="1" ht="13.15" customHeight="1" x14ac:dyDescent="0.2">
      <c r="Q342" s="925"/>
      <c r="R342" s="926"/>
      <c r="S342" s="926"/>
      <c r="T342" s="926"/>
      <c r="U342" s="926"/>
    </row>
    <row r="343" spans="17:21" s="476" customFormat="1" ht="13.15" customHeight="1" x14ac:dyDescent="0.2">
      <c r="Q343" s="925"/>
      <c r="R343" s="926"/>
      <c r="S343" s="926"/>
      <c r="T343" s="926"/>
      <c r="U343" s="926"/>
    </row>
    <row r="344" spans="17:21" s="476" customFormat="1" ht="13.15" customHeight="1" x14ac:dyDescent="0.2">
      <c r="Q344" s="925"/>
      <c r="R344" s="926"/>
      <c r="S344" s="926"/>
      <c r="T344" s="926"/>
      <c r="U344" s="926"/>
    </row>
    <row r="345" spans="17:21" s="476" customFormat="1" ht="13.15" customHeight="1" x14ac:dyDescent="0.2">
      <c r="Q345" s="925"/>
      <c r="R345" s="926"/>
      <c r="S345" s="926"/>
      <c r="T345" s="926"/>
      <c r="U345" s="926"/>
    </row>
    <row r="346" spans="17:21" s="476" customFormat="1" ht="13.15" customHeight="1" x14ac:dyDescent="0.2">
      <c r="Q346" s="925"/>
      <c r="R346" s="926"/>
      <c r="S346" s="926"/>
      <c r="T346" s="926"/>
      <c r="U346" s="926"/>
    </row>
    <row r="347" spans="17:21" s="476" customFormat="1" ht="13.15" customHeight="1" x14ac:dyDescent="0.2">
      <c r="Q347" s="925"/>
      <c r="R347" s="926"/>
      <c r="S347" s="926"/>
      <c r="T347" s="926"/>
      <c r="U347" s="926"/>
    </row>
    <row r="348" spans="17:21" s="476" customFormat="1" ht="13.15" customHeight="1" x14ac:dyDescent="0.2">
      <c r="Q348" s="925"/>
      <c r="R348" s="926"/>
      <c r="S348" s="926"/>
      <c r="T348" s="926"/>
      <c r="U348" s="926"/>
    </row>
    <row r="349" spans="17:21" s="476" customFormat="1" ht="13.15" customHeight="1" x14ac:dyDescent="0.2">
      <c r="Q349" s="925"/>
      <c r="R349" s="926"/>
      <c r="S349" s="926"/>
      <c r="T349" s="926"/>
      <c r="U349" s="926"/>
    </row>
    <row r="350" spans="17:21" s="476" customFormat="1" ht="13.15" customHeight="1" x14ac:dyDescent="0.2">
      <c r="Q350" s="925"/>
      <c r="R350" s="926"/>
      <c r="S350" s="926"/>
      <c r="T350" s="926"/>
      <c r="U350" s="926"/>
    </row>
    <row r="351" spans="17:21" s="476" customFormat="1" ht="13.15" customHeight="1" x14ac:dyDescent="0.2">
      <c r="Q351" s="925"/>
      <c r="R351" s="926"/>
      <c r="S351" s="926"/>
      <c r="T351" s="926"/>
      <c r="U351" s="926"/>
    </row>
    <row r="352" spans="17:21" s="476" customFormat="1" ht="13.15" customHeight="1" x14ac:dyDescent="0.2">
      <c r="Q352" s="925"/>
      <c r="R352" s="926"/>
      <c r="S352" s="926"/>
      <c r="T352" s="926"/>
      <c r="U352" s="926"/>
    </row>
    <row r="353" spans="17:21" s="476" customFormat="1" ht="13.15" customHeight="1" x14ac:dyDescent="0.2">
      <c r="Q353" s="925"/>
      <c r="R353" s="926"/>
      <c r="S353" s="926"/>
      <c r="T353" s="926"/>
      <c r="U353" s="926"/>
    </row>
    <row r="354" spans="17:21" s="476" customFormat="1" ht="13.15" customHeight="1" x14ac:dyDescent="0.2">
      <c r="Q354" s="925"/>
      <c r="R354" s="926"/>
      <c r="S354" s="926"/>
      <c r="T354" s="926"/>
      <c r="U354" s="926"/>
    </row>
    <row r="355" spans="17:21" s="476" customFormat="1" ht="13.15" customHeight="1" x14ac:dyDescent="0.2">
      <c r="Q355" s="925"/>
      <c r="R355" s="926"/>
      <c r="S355" s="926"/>
      <c r="T355" s="926"/>
      <c r="U355" s="926"/>
    </row>
    <row r="356" spans="17:21" s="476" customFormat="1" ht="13.15" customHeight="1" x14ac:dyDescent="0.2">
      <c r="Q356" s="925"/>
      <c r="R356" s="926"/>
      <c r="S356" s="926"/>
      <c r="T356" s="926"/>
      <c r="U356" s="926"/>
    </row>
    <row r="357" spans="17:21" s="476" customFormat="1" ht="13.15" customHeight="1" x14ac:dyDescent="0.2">
      <c r="Q357" s="925"/>
      <c r="R357" s="926"/>
      <c r="S357" s="926"/>
      <c r="T357" s="926"/>
      <c r="U357" s="926"/>
    </row>
    <row r="358" spans="17:21" s="476" customFormat="1" ht="13.15" customHeight="1" x14ac:dyDescent="0.2">
      <c r="Q358" s="925"/>
      <c r="R358" s="926"/>
      <c r="S358" s="926"/>
      <c r="T358" s="926"/>
      <c r="U358" s="926"/>
    </row>
    <row r="359" spans="17:21" s="476" customFormat="1" ht="13.15" customHeight="1" x14ac:dyDescent="0.2">
      <c r="Q359" s="925"/>
      <c r="R359" s="926"/>
      <c r="S359" s="926"/>
      <c r="T359" s="926"/>
      <c r="U359" s="926"/>
    </row>
    <row r="360" spans="17:21" s="476" customFormat="1" ht="13.15" customHeight="1" x14ac:dyDescent="0.2">
      <c r="Q360" s="925"/>
      <c r="R360" s="926"/>
      <c r="S360" s="926"/>
      <c r="T360" s="926"/>
      <c r="U360" s="926"/>
    </row>
    <row r="361" spans="17:21" s="476" customFormat="1" ht="13.15" customHeight="1" x14ac:dyDescent="0.2">
      <c r="Q361" s="925"/>
      <c r="R361" s="926"/>
      <c r="S361" s="926"/>
      <c r="T361" s="926"/>
      <c r="U361" s="926"/>
    </row>
    <row r="362" spans="17:21" s="476" customFormat="1" ht="13.15" customHeight="1" x14ac:dyDescent="0.2">
      <c r="Q362" s="925"/>
      <c r="R362" s="926"/>
      <c r="S362" s="926"/>
      <c r="T362" s="926"/>
      <c r="U362" s="926"/>
    </row>
    <row r="363" spans="17:21" s="476" customFormat="1" ht="13.15" customHeight="1" x14ac:dyDescent="0.2">
      <c r="Q363" s="925"/>
      <c r="R363" s="926"/>
      <c r="S363" s="926"/>
      <c r="T363" s="926"/>
      <c r="U363" s="926"/>
    </row>
    <row r="364" spans="17:21" s="476" customFormat="1" ht="13.15" customHeight="1" x14ac:dyDescent="0.2">
      <c r="Q364" s="925"/>
      <c r="R364" s="926"/>
      <c r="S364" s="926"/>
      <c r="T364" s="926"/>
      <c r="U364" s="926"/>
    </row>
    <row r="365" spans="17:21" s="476" customFormat="1" ht="13.15" customHeight="1" x14ac:dyDescent="0.2">
      <c r="Q365" s="925"/>
      <c r="R365" s="926"/>
      <c r="S365" s="926"/>
      <c r="T365" s="926"/>
      <c r="U365" s="926"/>
    </row>
    <row r="366" spans="17:21" s="476" customFormat="1" ht="13.15" customHeight="1" x14ac:dyDescent="0.2">
      <c r="Q366" s="925"/>
      <c r="R366" s="926"/>
      <c r="S366" s="926"/>
      <c r="T366" s="926"/>
      <c r="U366" s="926"/>
    </row>
    <row r="367" spans="17:21" s="476" customFormat="1" ht="13.15" customHeight="1" x14ac:dyDescent="0.2">
      <c r="Q367" s="925"/>
      <c r="R367" s="926"/>
      <c r="S367" s="926"/>
      <c r="T367" s="926"/>
      <c r="U367" s="926"/>
    </row>
    <row r="368" spans="17:21" s="476" customFormat="1" ht="13.15" customHeight="1" x14ac:dyDescent="0.2">
      <c r="Q368" s="925"/>
      <c r="R368" s="926"/>
      <c r="S368" s="926"/>
      <c r="T368" s="926"/>
      <c r="U368" s="926"/>
    </row>
    <row r="369" spans="17:21" s="476" customFormat="1" ht="13.15" customHeight="1" x14ac:dyDescent="0.2">
      <c r="Q369" s="925"/>
      <c r="R369" s="926"/>
      <c r="S369" s="926"/>
      <c r="T369" s="926"/>
      <c r="U369" s="926"/>
    </row>
    <row r="370" spans="17:21" s="476" customFormat="1" ht="13.15" customHeight="1" x14ac:dyDescent="0.2">
      <c r="Q370" s="925"/>
      <c r="R370" s="926"/>
      <c r="S370" s="926"/>
      <c r="T370" s="926"/>
      <c r="U370" s="926"/>
    </row>
    <row r="371" spans="17:21" s="476" customFormat="1" ht="13.15" customHeight="1" x14ac:dyDescent="0.2">
      <c r="Q371" s="925"/>
      <c r="R371" s="926"/>
      <c r="S371" s="926"/>
      <c r="T371" s="926"/>
      <c r="U371" s="926"/>
    </row>
    <row r="372" spans="17:21" s="476" customFormat="1" ht="13.15" customHeight="1" x14ac:dyDescent="0.2">
      <c r="Q372" s="925"/>
      <c r="R372" s="926"/>
      <c r="S372" s="926"/>
      <c r="T372" s="926"/>
      <c r="U372" s="926"/>
    </row>
    <row r="373" spans="17:21" s="476" customFormat="1" ht="13.15" customHeight="1" x14ac:dyDescent="0.2">
      <c r="Q373" s="925"/>
      <c r="R373" s="926"/>
      <c r="S373" s="926"/>
      <c r="T373" s="926"/>
      <c r="U373" s="926"/>
    </row>
    <row r="374" spans="17:21" s="476" customFormat="1" ht="13.15" customHeight="1" x14ac:dyDescent="0.2">
      <c r="Q374" s="925"/>
      <c r="R374" s="926"/>
      <c r="S374" s="926"/>
      <c r="T374" s="926"/>
      <c r="U374" s="926"/>
    </row>
    <row r="375" spans="17:21" s="476" customFormat="1" ht="13.15" customHeight="1" x14ac:dyDescent="0.2">
      <c r="Q375" s="925"/>
      <c r="R375" s="926"/>
      <c r="S375" s="926"/>
      <c r="T375" s="926"/>
      <c r="U375" s="926"/>
    </row>
    <row r="376" spans="17:21" s="476" customFormat="1" ht="13.15" customHeight="1" x14ac:dyDescent="0.2">
      <c r="Q376" s="925"/>
      <c r="R376" s="926"/>
      <c r="S376" s="926"/>
      <c r="T376" s="926"/>
      <c r="U376" s="926"/>
    </row>
    <row r="377" spans="17:21" s="476" customFormat="1" ht="13.15" customHeight="1" x14ac:dyDescent="0.2">
      <c r="Q377" s="925"/>
      <c r="R377" s="926"/>
      <c r="S377" s="926"/>
      <c r="T377" s="926"/>
      <c r="U377" s="926"/>
    </row>
    <row r="378" spans="17:21" s="476" customFormat="1" ht="13.15" customHeight="1" x14ac:dyDescent="0.2">
      <c r="Q378" s="925"/>
      <c r="R378" s="926"/>
      <c r="S378" s="926"/>
      <c r="T378" s="926"/>
      <c r="U378" s="926"/>
    </row>
    <row r="379" spans="17:21" s="476" customFormat="1" ht="13.15" customHeight="1" x14ac:dyDescent="0.2">
      <c r="Q379" s="925"/>
      <c r="R379" s="926"/>
      <c r="S379" s="926"/>
      <c r="T379" s="926"/>
      <c r="U379" s="926"/>
    </row>
    <row r="380" spans="17:21" s="476" customFormat="1" ht="13.15" customHeight="1" x14ac:dyDescent="0.2">
      <c r="Q380" s="925"/>
      <c r="R380" s="926"/>
      <c r="S380" s="926"/>
      <c r="T380" s="926"/>
      <c r="U380" s="926"/>
    </row>
    <row r="381" spans="17:21" s="476" customFormat="1" ht="13.15" customHeight="1" x14ac:dyDescent="0.2">
      <c r="Q381" s="925"/>
      <c r="R381" s="926"/>
      <c r="S381" s="926"/>
      <c r="T381" s="926"/>
      <c r="U381" s="926"/>
    </row>
    <row r="382" spans="17:21" s="476" customFormat="1" ht="13.15" customHeight="1" x14ac:dyDescent="0.2">
      <c r="Q382" s="925"/>
      <c r="R382" s="926"/>
      <c r="S382" s="926"/>
      <c r="T382" s="926"/>
      <c r="U382" s="926"/>
    </row>
    <row r="383" spans="17:21" s="476" customFormat="1" ht="13.15" customHeight="1" x14ac:dyDescent="0.2">
      <c r="Q383" s="925"/>
      <c r="R383" s="926"/>
      <c r="S383" s="926"/>
      <c r="T383" s="926"/>
      <c r="U383" s="926"/>
    </row>
    <row r="384" spans="17:21" s="476" customFormat="1" ht="13.15" customHeight="1" x14ac:dyDescent="0.2">
      <c r="Q384" s="925"/>
      <c r="R384" s="926"/>
      <c r="S384" s="926"/>
      <c r="T384" s="926"/>
      <c r="U384" s="926"/>
    </row>
    <row r="385" spans="17:21" s="476" customFormat="1" ht="13.15" customHeight="1" x14ac:dyDescent="0.2">
      <c r="Q385" s="925"/>
      <c r="R385" s="926"/>
      <c r="S385" s="926"/>
      <c r="T385" s="926"/>
      <c r="U385" s="926"/>
    </row>
    <row r="386" spans="17:21" s="476" customFormat="1" ht="13.15" customHeight="1" x14ac:dyDescent="0.2">
      <c r="Q386" s="925"/>
      <c r="R386" s="926"/>
      <c r="S386" s="926"/>
      <c r="T386" s="926"/>
      <c r="U386" s="926"/>
    </row>
    <row r="387" spans="17:21" s="476" customFormat="1" ht="13.15" customHeight="1" x14ac:dyDescent="0.2">
      <c r="Q387" s="925"/>
      <c r="R387" s="926"/>
      <c r="S387" s="926"/>
      <c r="T387" s="926"/>
      <c r="U387" s="926"/>
    </row>
    <row r="388" spans="17:21" s="476" customFormat="1" ht="13.15" customHeight="1" x14ac:dyDescent="0.2">
      <c r="Q388" s="925"/>
      <c r="R388" s="926"/>
      <c r="S388" s="926"/>
      <c r="T388" s="926"/>
      <c r="U388" s="926"/>
    </row>
    <row r="389" spans="17:21" s="476" customFormat="1" ht="13.15" customHeight="1" x14ac:dyDescent="0.2">
      <c r="Q389" s="925"/>
      <c r="R389" s="926"/>
      <c r="S389" s="926"/>
      <c r="T389" s="926"/>
      <c r="U389" s="926"/>
    </row>
    <row r="390" spans="17:21" s="476" customFormat="1" ht="13.15" customHeight="1" x14ac:dyDescent="0.2">
      <c r="Q390" s="925"/>
      <c r="R390" s="926"/>
      <c r="S390" s="926"/>
      <c r="T390" s="926"/>
      <c r="U390" s="926"/>
    </row>
    <row r="391" spans="17:21" s="476" customFormat="1" ht="13.15" customHeight="1" x14ac:dyDescent="0.2">
      <c r="Q391" s="925"/>
      <c r="R391" s="926"/>
      <c r="S391" s="926"/>
      <c r="T391" s="926"/>
      <c r="U391" s="926"/>
    </row>
    <row r="392" spans="17:21" s="476" customFormat="1" ht="13.15" customHeight="1" x14ac:dyDescent="0.2">
      <c r="Q392" s="925"/>
      <c r="R392" s="926"/>
      <c r="S392" s="926"/>
      <c r="T392" s="926"/>
      <c r="U392" s="926"/>
    </row>
    <row r="393" spans="17:21" s="476" customFormat="1" ht="13.15" customHeight="1" x14ac:dyDescent="0.2">
      <c r="Q393" s="925"/>
      <c r="R393" s="926"/>
      <c r="S393" s="926"/>
      <c r="T393" s="926"/>
      <c r="U393" s="926"/>
    </row>
    <row r="394" spans="17:21" s="476" customFormat="1" ht="13.15" customHeight="1" x14ac:dyDescent="0.2">
      <c r="Q394" s="925"/>
      <c r="R394" s="926"/>
      <c r="S394" s="926"/>
      <c r="T394" s="926"/>
      <c r="U394" s="926"/>
    </row>
    <row r="395" spans="17:21" s="476" customFormat="1" ht="13.15" customHeight="1" x14ac:dyDescent="0.2">
      <c r="Q395" s="925"/>
      <c r="R395" s="926"/>
      <c r="S395" s="926"/>
      <c r="T395" s="926"/>
      <c r="U395" s="926"/>
    </row>
    <row r="396" spans="17:21" s="476" customFormat="1" ht="13.15" customHeight="1" x14ac:dyDescent="0.2">
      <c r="Q396" s="925"/>
      <c r="R396" s="926"/>
      <c r="S396" s="926"/>
      <c r="T396" s="926"/>
      <c r="U396" s="926"/>
    </row>
    <row r="397" spans="17:21" s="476" customFormat="1" ht="13.15" customHeight="1" x14ac:dyDescent="0.2">
      <c r="Q397" s="925"/>
      <c r="R397" s="926"/>
      <c r="S397" s="926"/>
      <c r="T397" s="926"/>
      <c r="U397" s="926"/>
    </row>
    <row r="398" spans="17:21" s="476" customFormat="1" ht="13.15" customHeight="1" x14ac:dyDescent="0.2">
      <c r="Q398" s="925"/>
      <c r="R398" s="926"/>
      <c r="S398" s="926"/>
      <c r="T398" s="926"/>
      <c r="U398" s="926"/>
    </row>
    <row r="399" spans="17:21" s="476" customFormat="1" ht="13.15" customHeight="1" x14ac:dyDescent="0.2">
      <c r="Q399" s="925"/>
      <c r="R399" s="926"/>
      <c r="S399" s="926"/>
      <c r="T399" s="926"/>
      <c r="U399" s="926"/>
    </row>
    <row r="400" spans="17:21" s="476" customFormat="1" ht="13.15" customHeight="1" x14ac:dyDescent="0.2">
      <c r="Q400" s="925"/>
      <c r="R400" s="926"/>
      <c r="S400" s="926"/>
      <c r="T400" s="926"/>
      <c r="U400" s="926"/>
    </row>
    <row r="401" spans="17:21" s="476" customFormat="1" ht="13.15" customHeight="1" x14ac:dyDescent="0.2">
      <c r="Q401" s="925"/>
      <c r="R401" s="926"/>
      <c r="S401" s="926"/>
      <c r="T401" s="926"/>
      <c r="U401" s="926"/>
    </row>
    <row r="402" spans="17:21" s="476" customFormat="1" ht="13.15" customHeight="1" x14ac:dyDescent="0.2">
      <c r="Q402" s="925"/>
      <c r="R402" s="926"/>
      <c r="S402" s="926"/>
      <c r="T402" s="926"/>
      <c r="U402" s="926"/>
    </row>
    <row r="403" spans="17:21" s="476" customFormat="1" ht="13.15" customHeight="1" x14ac:dyDescent="0.2">
      <c r="Q403" s="925"/>
      <c r="R403" s="926"/>
      <c r="S403" s="926"/>
      <c r="T403" s="926"/>
      <c r="U403" s="926"/>
    </row>
    <row r="404" spans="17:21" s="476" customFormat="1" ht="13.15" customHeight="1" x14ac:dyDescent="0.2">
      <c r="Q404" s="925"/>
      <c r="R404" s="926"/>
      <c r="S404" s="926"/>
      <c r="T404" s="926"/>
      <c r="U404" s="926"/>
    </row>
    <row r="405" spans="17:21" s="476" customFormat="1" ht="13.15" customHeight="1" x14ac:dyDescent="0.2">
      <c r="Q405" s="925"/>
      <c r="R405" s="926"/>
      <c r="S405" s="926"/>
      <c r="T405" s="926"/>
      <c r="U405" s="926"/>
    </row>
    <row r="406" spans="17:21" s="476" customFormat="1" ht="13.15" customHeight="1" x14ac:dyDescent="0.2">
      <c r="Q406" s="925"/>
      <c r="R406" s="926"/>
      <c r="S406" s="926"/>
      <c r="T406" s="926"/>
      <c r="U406" s="926"/>
    </row>
    <row r="407" spans="17:21" s="476" customFormat="1" ht="13.15" customHeight="1" x14ac:dyDescent="0.2">
      <c r="Q407" s="925"/>
      <c r="R407" s="926"/>
      <c r="S407" s="926"/>
      <c r="T407" s="926"/>
      <c r="U407" s="926"/>
    </row>
    <row r="408" spans="17:21" s="476" customFormat="1" ht="13.15" customHeight="1" x14ac:dyDescent="0.2">
      <c r="Q408" s="925"/>
      <c r="R408" s="926"/>
      <c r="S408" s="926"/>
      <c r="T408" s="926"/>
      <c r="U408" s="926"/>
    </row>
    <row r="409" spans="17:21" s="476" customFormat="1" ht="13.15" customHeight="1" x14ac:dyDescent="0.2">
      <c r="Q409" s="925"/>
      <c r="R409" s="926"/>
      <c r="S409" s="926"/>
      <c r="T409" s="926"/>
      <c r="U409" s="926"/>
    </row>
    <row r="410" spans="17:21" s="476" customFormat="1" ht="13.15" customHeight="1" x14ac:dyDescent="0.2">
      <c r="Q410" s="925"/>
      <c r="R410" s="926"/>
      <c r="S410" s="926"/>
      <c r="T410" s="926"/>
      <c r="U410" s="926"/>
    </row>
    <row r="411" spans="17:21" s="476" customFormat="1" ht="13.15" customHeight="1" x14ac:dyDescent="0.2">
      <c r="Q411" s="925"/>
      <c r="R411" s="926"/>
      <c r="S411" s="926"/>
      <c r="T411" s="926"/>
      <c r="U411" s="926"/>
    </row>
    <row r="412" spans="17:21" s="476" customFormat="1" ht="13.15" customHeight="1" x14ac:dyDescent="0.2">
      <c r="Q412" s="925"/>
      <c r="R412" s="926"/>
      <c r="S412" s="926"/>
      <c r="T412" s="926"/>
      <c r="U412" s="926"/>
    </row>
    <row r="413" spans="17:21" s="476" customFormat="1" ht="13.15" customHeight="1" x14ac:dyDescent="0.2">
      <c r="Q413" s="925"/>
      <c r="R413" s="926"/>
      <c r="S413" s="926"/>
      <c r="T413" s="926"/>
      <c r="U413" s="926"/>
    </row>
    <row r="414" spans="17:21" s="476" customFormat="1" ht="13.15" customHeight="1" x14ac:dyDescent="0.2">
      <c r="Q414" s="925"/>
      <c r="R414" s="926"/>
      <c r="S414" s="926"/>
      <c r="T414" s="926"/>
      <c r="U414" s="926"/>
    </row>
    <row r="415" spans="17:21" s="476" customFormat="1" ht="13.15" customHeight="1" x14ac:dyDescent="0.2">
      <c r="Q415" s="925"/>
      <c r="R415" s="926"/>
      <c r="S415" s="926"/>
      <c r="T415" s="926"/>
      <c r="U415" s="926"/>
    </row>
    <row r="416" spans="17:21" s="476" customFormat="1" ht="13.15" customHeight="1" x14ac:dyDescent="0.2">
      <c r="Q416" s="925"/>
      <c r="R416" s="926"/>
      <c r="S416" s="926"/>
      <c r="T416" s="926"/>
      <c r="U416" s="926"/>
    </row>
    <row r="417" spans="17:21" s="476" customFormat="1" ht="13.15" customHeight="1" x14ac:dyDescent="0.2">
      <c r="Q417" s="925"/>
      <c r="R417" s="926"/>
      <c r="S417" s="926"/>
      <c r="T417" s="926"/>
      <c r="U417" s="926"/>
    </row>
    <row r="418" spans="17:21" s="476" customFormat="1" ht="13.15" customHeight="1" x14ac:dyDescent="0.2">
      <c r="Q418" s="925"/>
      <c r="R418" s="926"/>
      <c r="S418" s="926"/>
      <c r="T418" s="926"/>
      <c r="U418" s="926"/>
    </row>
    <row r="419" spans="17:21" s="476" customFormat="1" ht="13.15" customHeight="1" x14ac:dyDescent="0.2">
      <c r="Q419" s="925"/>
      <c r="R419" s="926"/>
      <c r="S419" s="926"/>
      <c r="T419" s="926"/>
      <c r="U419" s="926"/>
    </row>
    <row r="420" spans="17:21" s="476" customFormat="1" ht="13.15" customHeight="1" x14ac:dyDescent="0.2">
      <c r="Q420" s="925"/>
      <c r="R420" s="926"/>
      <c r="S420" s="926"/>
      <c r="T420" s="926"/>
      <c r="U420" s="926"/>
    </row>
    <row r="421" spans="17:21" s="476" customFormat="1" ht="13.15" customHeight="1" x14ac:dyDescent="0.2">
      <c r="Q421" s="925"/>
      <c r="R421" s="926"/>
      <c r="S421" s="926"/>
      <c r="T421" s="926"/>
      <c r="U421" s="926"/>
    </row>
    <row r="422" spans="17:21" s="476" customFormat="1" ht="13.15" customHeight="1" x14ac:dyDescent="0.2">
      <c r="Q422" s="925"/>
      <c r="R422" s="926"/>
      <c r="S422" s="926"/>
      <c r="T422" s="926"/>
      <c r="U422" s="926"/>
    </row>
    <row r="423" spans="17:21" s="476" customFormat="1" ht="13.15" customHeight="1" x14ac:dyDescent="0.2">
      <c r="Q423" s="925"/>
      <c r="R423" s="926"/>
      <c r="S423" s="926"/>
      <c r="T423" s="926"/>
      <c r="U423" s="926"/>
    </row>
    <row r="424" spans="17:21" s="476" customFormat="1" ht="13.15" customHeight="1" x14ac:dyDescent="0.2">
      <c r="Q424" s="925"/>
      <c r="R424" s="926"/>
      <c r="S424" s="926"/>
      <c r="T424" s="926"/>
      <c r="U424" s="926"/>
    </row>
    <row r="425" spans="17:21" s="476" customFormat="1" ht="13.15" customHeight="1" x14ac:dyDescent="0.2">
      <c r="Q425" s="925"/>
      <c r="R425" s="926"/>
      <c r="S425" s="926"/>
      <c r="T425" s="926"/>
      <c r="U425" s="926"/>
    </row>
    <row r="426" spans="17:21" s="476" customFormat="1" ht="13.15" customHeight="1" x14ac:dyDescent="0.2">
      <c r="Q426" s="925"/>
      <c r="R426" s="926"/>
      <c r="S426" s="926"/>
      <c r="T426" s="926"/>
      <c r="U426" s="926"/>
    </row>
    <row r="427" spans="17:21" s="476" customFormat="1" ht="13.15" customHeight="1" x14ac:dyDescent="0.2">
      <c r="Q427" s="925"/>
      <c r="R427" s="926"/>
      <c r="S427" s="926"/>
      <c r="T427" s="926"/>
      <c r="U427" s="926"/>
    </row>
    <row r="428" spans="17:21" s="476" customFormat="1" ht="13.15" customHeight="1" x14ac:dyDescent="0.2">
      <c r="Q428" s="925"/>
      <c r="R428" s="926"/>
      <c r="S428" s="926"/>
      <c r="T428" s="926"/>
      <c r="U428" s="926"/>
    </row>
    <row r="429" spans="17:21" s="476" customFormat="1" ht="13.15" customHeight="1" x14ac:dyDescent="0.2">
      <c r="Q429" s="925"/>
      <c r="R429" s="926"/>
      <c r="S429" s="926"/>
      <c r="T429" s="926"/>
      <c r="U429" s="926"/>
    </row>
    <row r="430" spans="17:21" s="476" customFormat="1" ht="13.15" customHeight="1" x14ac:dyDescent="0.2">
      <c r="Q430" s="925"/>
      <c r="R430" s="926"/>
      <c r="S430" s="926"/>
      <c r="T430" s="926"/>
      <c r="U430" s="926"/>
    </row>
    <row r="431" spans="17:21" s="476" customFormat="1" ht="13.15" customHeight="1" x14ac:dyDescent="0.2">
      <c r="Q431" s="925"/>
      <c r="R431" s="926"/>
      <c r="S431" s="926"/>
      <c r="T431" s="926"/>
      <c r="U431" s="926"/>
    </row>
    <row r="432" spans="17:21" s="476" customFormat="1" ht="13.15" customHeight="1" x14ac:dyDescent="0.2">
      <c r="Q432" s="925"/>
      <c r="R432" s="926"/>
      <c r="S432" s="926"/>
      <c r="T432" s="926"/>
      <c r="U432" s="926"/>
    </row>
    <row r="433" spans="17:21" s="476" customFormat="1" ht="13.15" customHeight="1" x14ac:dyDescent="0.2">
      <c r="Q433" s="925"/>
      <c r="R433" s="926"/>
      <c r="S433" s="926"/>
      <c r="T433" s="926"/>
      <c r="U433" s="926"/>
    </row>
    <row r="434" spans="17:21" s="476" customFormat="1" ht="13.15" customHeight="1" x14ac:dyDescent="0.2">
      <c r="Q434" s="925"/>
      <c r="R434" s="926"/>
      <c r="S434" s="926"/>
      <c r="T434" s="926"/>
      <c r="U434" s="926"/>
    </row>
    <row r="435" spans="17:21" s="476" customFormat="1" ht="13.15" customHeight="1" x14ac:dyDescent="0.2">
      <c r="Q435" s="925"/>
      <c r="R435" s="926"/>
      <c r="S435" s="926"/>
      <c r="T435" s="926"/>
      <c r="U435" s="926"/>
    </row>
    <row r="436" spans="17:21" s="476" customFormat="1" ht="13.15" customHeight="1" x14ac:dyDescent="0.2">
      <c r="Q436" s="925"/>
      <c r="R436" s="926"/>
      <c r="S436" s="926"/>
      <c r="T436" s="926"/>
      <c r="U436" s="926"/>
    </row>
    <row r="437" spans="17:21" s="476" customFormat="1" ht="13.15" customHeight="1" x14ac:dyDescent="0.2">
      <c r="Q437" s="925"/>
      <c r="R437" s="926"/>
      <c r="S437" s="926"/>
      <c r="T437" s="926"/>
      <c r="U437" s="926"/>
    </row>
    <row r="438" spans="17:21" s="476" customFormat="1" ht="13.15" customHeight="1" x14ac:dyDescent="0.2">
      <c r="Q438" s="925"/>
      <c r="R438" s="926"/>
      <c r="S438" s="926"/>
      <c r="T438" s="926"/>
      <c r="U438" s="926"/>
    </row>
    <row r="439" spans="17:21" s="476" customFormat="1" ht="13.15" customHeight="1" x14ac:dyDescent="0.2">
      <c r="Q439" s="925"/>
      <c r="R439" s="926"/>
      <c r="S439" s="926"/>
      <c r="T439" s="926"/>
      <c r="U439" s="926"/>
    </row>
    <row r="440" spans="17:21" s="476" customFormat="1" ht="13.15" customHeight="1" x14ac:dyDescent="0.2">
      <c r="Q440" s="925"/>
      <c r="R440" s="926"/>
      <c r="S440" s="926"/>
      <c r="T440" s="926"/>
      <c r="U440" s="926"/>
    </row>
    <row r="441" spans="17:21" s="476" customFormat="1" ht="13.15" customHeight="1" x14ac:dyDescent="0.2">
      <c r="Q441" s="925"/>
      <c r="R441" s="926"/>
      <c r="S441" s="926"/>
      <c r="T441" s="926"/>
      <c r="U441" s="926"/>
    </row>
    <row r="442" spans="17:21" s="476" customFormat="1" ht="13.15" customHeight="1" x14ac:dyDescent="0.2">
      <c r="Q442" s="925"/>
      <c r="R442" s="926"/>
      <c r="S442" s="926"/>
      <c r="T442" s="926"/>
      <c r="U442" s="926"/>
    </row>
    <row r="443" spans="17:21" s="476" customFormat="1" ht="13.15" customHeight="1" x14ac:dyDescent="0.2">
      <c r="Q443" s="925"/>
      <c r="R443" s="926"/>
      <c r="S443" s="926"/>
      <c r="T443" s="926"/>
      <c r="U443" s="926"/>
    </row>
    <row r="444" spans="17:21" s="476" customFormat="1" ht="13.15" customHeight="1" x14ac:dyDescent="0.2">
      <c r="Q444" s="925"/>
      <c r="R444" s="926"/>
      <c r="S444" s="926"/>
      <c r="T444" s="926"/>
      <c r="U444" s="926"/>
    </row>
    <row r="445" spans="17:21" s="476" customFormat="1" ht="13.15" customHeight="1" x14ac:dyDescent="0.2">
      <c r="Q445" s="925"/>
      <c r="R445" s="926"/>
      <c r="S445" s="926"/>
      <c r="T445" s="926"/>
      <c r="U445" s="926"/>
    </row>
    <row r="446" spans="17:21" s="476" customFormat="1" ht="13.15" customHeight="1" x14ac:dyDescent="0.2">
      <c r="Q446" s="925"/>
      <c r="R446" s="926"/>
      <c r="S446" s="926"/>
      <c r="T446" s="926"/>
      <c r="U446" s="926"/>
    </row>
    <row r="447" spans="17:21" s="476" customFormat="1" ht="13.15" customHeight="1" x14ac:dyDescent="0.2">
      <c r="Q447" s="925"/>
      <c r="R447" s="926"/>
      <c r="S447" s="926"/>
      <c r="T447" s="926"/>
      <c r="U447" s="926"/>
    </row>
    <row r="448" spans="17:21" s="476" customFormat="1" ht="13.15" customHeight="1" x14ac:dyDescent="0.2">
      <c r="Q448" s="925"/>
      <c r="R448" s="926"/>
      <c r="S448" s="926"/>
      <c r="T448" s="926"/>
      <c r="U448" s="926"/>
    </row>
    <row r="449" spans="17:21" s="476" customFormat="1" ht="13.15" customHeight="1" x14ac:dyDescent="0.2">
      <c r="Q449" s="925"/>
      <c r="R449" s="926"/>
      <c r="S449" s="926"/>
      <c r="T449" s="926"/>
      <c r="U449" s="926"/>
    </row>
    <row r="450" spans="17:21" s="476" customFormat="1" ht="13.15" customHeight="1" x14ac:dyDescent="0.2">
      <c r="Q450" s="925"/>
      <c r="R450" s="926"/>
      <c r="S450" s="926"/>
      <c r="T450" s="926"/>
      <c r="U450" s="926"/>
    </row>
    <row r="451" spans="17:21" s="476" customFormat="1" ht="13.15" customHeight="1" x14ac:dyDescent="0.2">
      <c r="Q451" s="925"/>
      <c r="R451" s="926"/>
      <c r="S451" s="926"/>
      <c r="T451" s="926"/>
      <c r="U451" s="926"/>
    </row>
    <row r="452" spans="17:21" s="476" customFormat="1" ht="13.15" customHeight="1" x14ac:dyDescent="0.2">
      <c r="Q452" s="925"/>
      <c r="R452" s="926"/>
      <c r="S452" s="926"/>
      <c r="T452" s="926"/>
      <c r="U452" s="926"/>
    </row>
    <row r="453" spans="17:21" s="476" customFormat="1" ht="13.15" customHeight="1" x14ac:dyDescent="0.2">
      <c r="Q453" s="925"/>
      <c r="R453" s="926"/>
      <c r="S453" s="926"/>
      <c r="T453" s="926"/>
      <c r="U453" s="926"/>
    </row>
    <row r="454" spans="17:21" s="476" customFormat="1" ht="13.15" customHeight="1" x14ac:dyDescent="0.2">
      <c r="Q454" s="925"/>
      <c r="R454" s="926"/>
      <c r="S454" s="926"/>
      <c r="T454" s="926"/>
      <c r="U454" s="926"/>
    </row>
    <row r="455" spans="17:21" s="476" customFormat="1" ht="13.15" customHeight="1" x14ac:dyDescent="0.2">
      <c r="Q455" s="925"/>
      <c r="R455" s="926"/>
      <c r="S455" s="926"/>
      <c r="T455" s="926"/>
      <c r="U455" s="926"/>
    </row>
    <row r="456" spans="17:21" s="476" customFormat="1" ht="13.15" customHeight="1" x14ac:dyDescent="0.2">
      <c r="Q456" s="925"/>
      <c r="R456" s="926"/>
      <c r="S456" s="926"/>
      <c r="T456" s="926"/>
      <c r="U456" s="926"/>
    </row>
    <row r="457" spans="17:21" s="476" customFormat="1" ht="13.15" customHeight="1" x14ac:dyDescent="0.2">
      <c r="Q457" s="925"/>
      <c r="R457" s="926"/>
      <c r="S457" s="926"/>
      <c r="T457" s="926"/>
      <c r="U457" s="926"/>
    </row>
    <row r="458" spans="17:21" s="476" customFormat="1" ht="13.15" customHeight="1" x14ac:dyDescent="0.2">
      <c r="Q458" s="925"/>
      <c r="R458" s="926"/>
      <c r="S458" s="926"/>
      <c r="T458" s="926"/>
      <c r="U458" s="926"/>
    </row>
    <row r="459" spans="17:21" s="476" customFormat="1" ht="13.15" customHeight="1" x14ac:dyDescent="0.2">
      <c r="Q459" s="925"/>
      <c r="R459" s="926"/>
      <c r="S459" s="926"/>
      <c r="T459" s="926"/>
      <c r="U459" s="926"/>
    </row>
    <row r="460" spans="17:21" s="476" customFormat="1" ht="13.15" customHeight="1" x14ac:dyDescent="0.2">
      <c r="Q460" s="925"/>
      <c r="R460" s="926"/>
      <c r="S460" s="926"/>
      <c r="T460" s="926"/>
      <c r="U460" s="926"/>
    </row>
    <row r="461" spans="17:21" s="476" customFormat="1" ht="13.15" customHeight="1" x14ac:dyDescent="0.2">
      <c r="Q461" s="925"/>
      <c r="R461" s="926"/>
      <c r="S461" s="926"/>
      <c r="T461" s="926"/>
      <c r="U461" s="926"/>
    </row>
    <row r="462" spans="17:21" s="476" customFormat="1" ht="13.15" customHeight="1" x14ac:dyDescent="0.2">
      <c r="Q462" s="925"/>
      <c r="R462" s="926"/>
      <c r="S462" s="926"/>
      <c r="T462" s="926"/>
      <c r="U462" s="926"/>
    </row>
    <row r="463" spans="17:21" s="476" customFormat="1" ht="13.15" customHeight="1" x14ac:dyDescent="0.2">
      <c r="Q463" s="925"/>
      <c r="R463" s="926"/>
      <c r="S463" s="926"/>
      <c r="T463" s="926"/>
      <c r="U463" s="926"/>
    </row>
    <row r="464" spans="17:21" s="476" customFormat="1" ht="13.15" customHeight="1" x14ac:dyDescent="0.2">
      <c r="Q464" s="925"/>
      <c r="R464" s="926"/>
      <c r="S464" s="926"/>
      <c r="T464" s="926"/>
      <c r="U464" s="926"/>
    </row>
    <row r="465" spans="17:21" s="476" customFormat="1" ht="13.15" customHeight="1" x14ac:dyDescent="0.2">
      <c r="Q465" s="925"/>
      <c r="R465" s="926"/>
      <c r="S465" s="926"/>
      <c r="T465" s="926"/>
      <c r="U465" s="926"/>
    </row>
    <row r="466" spans="17:21" s="476" customFormat="1" ht="13.15" customHeight="1" x14ac:dyDescent="0.2">
      <c r="Q466" s="925"/>
      <c r="R466" s="926"/>
      <c r="S466" s="926"/>
      <c r="T466" s="926"/>
      <c r="U466" s="926"/>
    </row>
    <row r="467" spans="17:21" s="476" customFormat="1" ht="13.15" customHeight="1" x14ac:dyDescent="0.2">
      <c r="Q467" s="925"/>
      <c r="R467" s="926"/>
      <c r="S467" s="926"/>
      <c r="T467" s="926"/>
      <c r="U467" s="926"/>
    </row>
    <row r="468" spans="17:21" s="476" customFormat="1" ht="13.15" customHeight="1" x14ac:dyDescent="0.2">
      <c r="Q468" s="925"/>
      <c r="R468" s="926"/>
      <c r="S468" s="926"/>
      <c r="T468" s="926"/>
      <c r="U468" s="926"/>
    </row>
    <row r="469" spans="17:21" s="476" customFormat="1" ht="13.15" customHeight="1" x14ac:dyDescent="0.2">
      <c r="Q469" s="925"/>
      <c r="R469" s="926"/>
      <c r="S469" s="926"/>
      <c r="T469" s="926"/>
      <c r="U469" s="926"/>
    </row>
    <row r="470" spans="17:21" s="476" customFormat="1" ht="13.15" customHeight="1" x14ac:dyDescent="0.2">
      <c r="Q470" s="925"/>
      <c r="R470" s="926"/>
      <c r="S470" s="926"/>
      <c r="T470" s="926"/>
      <c r="U470" s="926"/>
    </row>
    <row r="471" spans="17:21" s="476" customFormat="1" ht="13.15" customHeight="1" x14ac:dyDescent="0.2">
      <c r="Q471" s="925"/>
      <c r="R471" s="926"/>
      <c r="S471" s="926"/>
      <c r="T471" s="926"/>
      <c r="U471" s="926"/>
    </row>
    <row r="472" spans="17:21" s="476" customFormat="1" ht="13.15" customHeight="1" x14ac:dyDescent="0.2">
      <c r="Q472" s="925"/>
      <c r="R472" s="926"/>
      <c r="S472" s="926"/>
      <c r="T472" s="926"/>
      <c r="U472" s="926"/>
    </row>
    <row r="473" spans="17:21" s="476" customFormat="1" ht="13.15" customHeight="1" x14ac:dyDescent="0.2">
      <c r="Q473" s="925"/>
      <c r="R473" s="926"/>
      <c r="S473" s="926"/>
      <c r="T473" s="926"/>
      <c r="U473" s="926"/>
    </row>
    <row r="474" spans="17:21" s="476" customFormat="1" ht="13.15" customHeight="1" x14ac:dyDescent="0.2">
      <c r="Q474" s="925"/>
      <c r="R474" s="926"/>
      <c r="S474" s="926"/>
      <c r="T474" s="926"/>
      <c r="U474" s="926"/>
    </row>
    <row r="475" spans="17:21" s="476" customFormat="1" ht="13.15" customHeight="1" x14ac:dyDescent="0.2">
      <c r="Q475" s="925"/>
      <c r="R475" s="926"/>
      <c r="S475" s="926"/>
      <c r="T475" s="926"/>
      <c r="U475" s="926"/>
    </row>
    <row r="476" spans="17:21" s="476" customFormat="1" ht="13.15" customHeight="1" x14ac:dyDescent="0.2">
      <c r="Q476" s="925"/>
      <c r="R476" s="926"/>
      <c r="S476" s="926"/>
      <c r="T476" s="926"/>
      <c r="U476" s="926"/>
    </row>
    <row r="477" spans="17:21" s="476" customFormat="1" ht="13.15" customHeight="1" x14ac:dyDescent="0.2">
      <c r="Q477" s="925"/>
      <c r="R477" s="926"/>
      <c r="S477" s="926"/>
      <c r="T477" s="926"/>
      <c r="U477" s="926"/>
    </row>
    <row r="478" spans="17:21" s="476" customFormat="1" ht="13.15" customHeight="1" x14ac:dyDescent="0.2">
      <c r="Q478" s="925"/>
      <c r="R478" s="926"/>
      <c r="S478" s="926"/>
      <c r="T478" s="926"/>
      <c r="U478" s="926"/>
    </row>
    <row r="479" spans="17:21" s="476" customFormat="1" ht="13.15" customHeight="1" x14ac:dyDescent="0.2">
      <c r="Q479" s="925"/>
      <c r="R479" s="926"/>
      <c r="S479" s="926"/>
      <c r="T479" s="926"/>
      <c r="U479" s="926"/>
    </row>
    <row r="480" spans="17:21" s="476" customFormat="1" ht="13.15" customHeight="1" x14ac:dyDescent="0.2">
      <c r="Q480" s="925"/>
      <c r="R480" s="926"/>
      <c r="S480" s="926"/>
      <c r="T480" s="926"/>
      <c r="U480" s="926"/>
    </row>
    <row r="481" spans="17:21" s="476" customFormat="1" ht="13.15" customHeight="1" x14ac:dyDescent="0.2">
      <c r="Q481" s="925"/>
      <c r="R481" s="926"/>
      <c r="S481" s="926"/>
      <c r="T481" s="926"/>
      <c r="U481" s="926"/>
    </row>
    <row r="482" spans="17:21" s="476" customFormat="1" ht="13.15" customHeight="1" x14ac:dyDescent="0.2">
      <c r="Q482" s="925"/>
      <c r="R482" s="926"/>
      <c r="S482" s="926"/>
      <c r="T482" s="926"/>
      <c r="U482" s="926"/>
    </row>
    <row r="483" spans="17:21" s="476" customFormat="1" ht="13.15" customHeight="1" x14ac:dyDescent="0.2">
      <c r="Q483" s="925"/>
      <c r="R483" s="926"/>
      <c r="S483" s="926"/>
      <c r="T483" s="926"/>
      <c r="U483" s="926"/>
    </row>
    <row r="484" spans="17:21" s="476" customFormat="1" ht="13.15" customHeight="1" x14ac:dyDescent="0.2">
      <c r="Q484" s="925"/>
      <c r="R484" s="926"/>
      <c r="S484" s="926"/>
      <c r="T484" s="926"/>
      <c r="U484" s="926"/>
    </row>
    <row r="485" spans="17:21" s="476" customFormat="1" ht="13.15" customHeight="1" x14ac:dyDescent="0.2">
      <c r="Q485" s="925"/>
      <c r="R485" s="926"/>
      <c r="S485" s="926"/>
      <c r="T485" s="926"/>
      <c r="U485" s="926"/>
    </row>
    <row r="486" spans="17:21" s="476" customFormat="1" ht="13.15" customHeight="1" x14ac:dyDescent="0.2">
      <c r="Q486" s="925"/>
      <c r="R486" s="926"/>
      <c r="S486" s="926"/>
      <c r="T486" s="926"/>
      <c r="U486" s="926"/>
    </row>
    <row r="487" spans="17:21" s="476" customFormat="1" ht="13.15" customHeight="1" x14ac:dyDescent="0.2">
      <c r="Q487" s="925"/>
      <c r="R487" s="926"/>
      <c r="S487" s="926"/>
      <c r="T487" s="926"/>
      <c r="U487" s="926"/>
    </row>
  </sheetData>
  <sheetProtection algorithmName="SHA-512" hashValue="3bhlQBEHP9zv+O6kcALgw8QQzgtHmiDIlWPlWHTYhaq1TGdOojw+kjaYTrGmGFclHhQ2ezz6/0jIIPUU9adF/Q==" saltValue="wyHJ3NZDBd7vLVDm7QNLhw==" spinCount="100000" sheet="1" objects="1" scenarios="1"/>
  <phoneticPr fontId="0" type="noConversion"/>
  <pageMargins left="0.74803149606299213" right="0.74803149606299213" top="0.98425196850393704" bottom="0.98425196850393704" header="0.51181102362204722" footer="0.51181102362204722"/>
  <pageSetup paperSize="9" scale="60" orientation="landscape" r:id="rId1"/>
  <headerFooter alignWithMargins="0">
    <oddHeader>&amp;L&amp;"Arial,Vet"&amp;F&amp;R&amp;"Arial,Vet"&amp;A</oddHeader>
    <oddFooter>&amp;L&amp;"Arial,Vet"keizer / goedhart&amp;C&amp;"Arial,Vet"pagina &amp;P&amp;R&amp;"Arial,Vet"&amp;D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93"/>
  <sheetViews>
    <sheetView zoomScale="85" zoomScaleNormal="85" workbookViewId="0">
      <selection activeCell="B2" sqref="B2"/>
    </sheetView>
  </sheetViews>
  <sheetFormatPr defaultColWidth="9.140625" defaultRowHeight="13.15" customHeight="1" x14ac:dyDescent="0.2"/>
  <cols>
    <col min="1" max="1" width="3.7109375" style="476" customWidth="1"/>
    <col min="2" max="3" width="2.7109375" style="131" customWidth="1"/>
    <col min="4" max="4" width="45.7109375" style="131" customWidth="1"/>
    <col min="5" max="5" width="2.7109375" style="131" customWidth="1"/>
    <col min="6" max="11" width="12.7109375" style="131" customWidth="1"/>
    <col min="12" max="12" width="2.7109375" style="131" customWidth="1"/>
    <col min="13" max="13" width="3.140625" style="131" customWidth="1"/>
    <col min="14" max="15" width="5.7109375" style="476" customWidth="1"/>
    <col min="16" max="42" width="9.140625" style="476"/>
    <col min="43" max="16384" width="9.140625" style="131"/>
  </cols>
  <sheetData>
    <row r="1" spans="1:42" s="476" customFormat="1" ht="13.15" customHeight="1" x14ac:dyDescent="0.2"/>
    <row r="2" spans="1:42" ht="13.15" customHeight="1" x14ac:dyDescent="0.2">
      <c r="B2" s="82"/>
      <c r="C2" s="83"/>
      <c r="D2" s="83"/>
      <c r="E2" s="83"/>
      <c r="F2" s="83"/>
      <c r="G2" s="83"/>
      <c r="H2" s="83"/>
      <c r="I2" s="83"/>
      <c r="J2" s="83"/>
      <c r="K2" s="83"/>
      <c r="L2" s="83"/>
      <c r="M2" s="461"/>
    </row>
    <row r="3" spans="1:42" ht="13.15" customHeight="1" x14ac:dyDescent="0.2">
      <c r="B3" s="86"/>
      <c r="C3" s="87"/>
      <c r="D3" s="87"/>
      <c r="E3" s="87"/>
      <c r="F3" s="87"/>
      <c r="G3" s="87"/>
      <c r="H3" s="87"/>
      <c r="I3" s="87"/>
      <c r="J3" s="87"/>
      <c r="K3" s="87"/>
      <c r="L3" s="87"/>
      <c r="M3" s="88"/>
    </row>
    <row r="4" spans="1:42" s="334" customFormat="1" ht="18" customHeight="1" x14ac:dyDescent="0.3">
      <c r="A4" s="929"/>
      <c r="B4" s="203"/>
      <c r="C4" s="204" t="s">
        <v>108</v>
      </c>
      <c r="D4" s="204"/>
      <c r="E4" s="53"/>
      <c r="F4" s="393"/>
      <c r="G4" s="53"/>
      <c r="H4" s="53"/>
      <c r="I4" s="53"/>
      <c r="J4" s="53"/>
      <c r="K4" s="53"/>
      <c r="L4" s="53"/>
      <c r="M4" s="333"/>
      <c r="N4" s="929"/>
      <c r="O4" s="929"/>
      <c r="P4" s="929"/>
      <c r="Q4" s="929"/>
      <c r="R4" s="929"/>
      <c r="S4" s="929"/>
      <c r="T4" s="929"/>
      <c r="U4" s="929"/>
      <c r="V4" s="929"/>
      <c r="W4" s="929"/>
      <c r="X4" s="929"/>
      <c r="Y4" s="929"/>
      <c r="Z4" s="929"/>
      <c r="AA4" s="929"/>
      <c r="AB4" s="929"/>
      <c r="AC4" s="929"/>
      <c r="AD4" s="929"/>
      <c r="AE4" s="929"/>
      <c r="AF4" s="929"/>
      <c r="AG4" s="929"/>
      <c r="AH4" s="929"/>
      <c r="AI4" s="929"/>
      <c r="AJ4" s="929"/>
      <c r="AK4" s="929"/>
      <c r="AL4" s="929"/>
      <c r="AM4" s="929"/>
      <c r="AN4" s="929"/>
      <c r="AO4" s="929"/>
      <c r="AP4" s="929"/>
    </row>
    <row r="5" spans="1:42" s="239" customFormat="1" ht="15.6" customHeight="1" x14ac:dyDescent="0.25">
      <c r="A5" s="705"/>
      <c r="B5" s="258"/>
      <c r="C5" s="741" t="str">
        <f>'geg LO'!G8</f>
        <v>SWV PO Passend Onderwijs</v>
      </c>
      <c r="D5" s="259"/>
      <c r="E5" s="259"/>
      <c r="F5" s="259"/>
      <c r="G5" s="259"/>
      <c r="H5" s="259"/>
      <c r="I5" s="259"/>
      <c r="J5" s="259"/>
      <c r="K5" s="259"/>
      <c r="L5" s="259"/>
      <c r="M5" s="269"/>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N5" s="705"/>
      <c r="AO5" s="705"/>
      <c r="AP5" s="705"/>
    </row>
    <row r="6" spans="1:42" ht="13.15" customHeight="1" x14ac:dyDescent="0.2">
      <c r="B6" s="86"/>
      <c r="C6" s="87"/>
      <c r="D6" s="87"/>
      <c r="E6" s="300"/>
      <c r="F6" s="64"/>
      <c r="G6" s="64"/>
      <c r="H6" s="64"/>
      <c r="I6" s="64"/>
      <c r="J6" s="64"/>
      <c r="K6" s="64"/>
      <c r="L6" s="301"/>
      <c r="M6" s="302"/>
      <c r="N6" s="930"/>
    </row>
    <row r="7" spans="1:42" ht="13.15" customHeight="1" x14ac:dyDescent="0.2">
      <c r="B7" s="86"/>
      <c r="C7" s="87"/>
      <c r="D7" s="87"/>
      <c r="E7" s="300"/>
      <c r="F7" s="806"/>
      <c r="G7" s="933"/>
      <c r="H7" s="806"/>
      <c r="I7" s="806"/>
      <c r="J7" s="806"/>
      <c r="K7" s="806"/>
      <c r="L7" s="301"/>
      <c r="M7" s="302"/>
      <c r="N7" s="930"/>
    </row>
    <row r="8" spans="1:42" s="224" customFormat="1" ht="13.15" customHeight="1" x14ac:dyDescent="0.2">
      <c r="A8" s="703"/>
      <c r="B8" s="226"/>
      <c r="C8" s="227"/>
      <c r="D8" s="303"/>
      <c r="E8" s="304"/>
      <c r="F8" s="806">
        <f>tab!C4</f>
        <v>2015</v>
      </c>
      <c r="G8" s="806">
        <f>tab!D4</f>
        <v>2016</v>
      </c>
      <c r="H8" s="806">
        <f>tab!E4</f>
        <v>2017</v>
      </c>
      <c r="I8" s="806">
        <f>tab!F4</f>
        <v>2018</v>
      </c>
      <c r="J8" s="806">
        <f>tab!G4</f>
        <v>2019</v>
      </c>
      <c r="K8" s="806">
        <f>tab!H4</f>
        <v>2020</v>
      </c>
      <c r="L8" s="305"/>
      <c r="M8" s="306"/>
      <c r="N8" s="931"/>
      <c r="O8" s="703"/>
      <c r="P8" s="703"/>
      <c r="Q8" s="703"/>
      <c r="R8" s="703"/>
      <c r="S8" s="703"/>
      <c r="T8" s="703"/>
      <c r="U8" s="703"/>
      <c r="V8" s="703"/>
      <c r="W8" s="703"/>
      <c r="X8" s="703"/>
      <c r="Y8" s="703"/>
      <c r="Z8" s="703"/>
      <c r="AA8" s="703"/>
      <c r="AB8" s="703"/>
      <c r="AC8" s="703"/>
      <c r="AD8" s="703"/>
      <c r="AE8" s="703"/>
      <c r="AF8" s="703"/>
      <c r="AG8" s="703"/>
      <c r="AH8" s="703"/>
      <c r="AI8" s="703"/>
      <c r="AJ8" s="703"/>
      <c r="AK8" s="703"/>
      <c r="AL8" s="703"/>
      <c r="AM8" s="703"/>
      <c r="AN8" s="703"/>
      <c r="AO8" s="703"/>
      <c r="AP8" s="703"/>
    </row>
    <row r="9" spans="1:42" ht="13.15" customHeight="1" x14ac:dyDescent="0.2">
      <c r="B9" s="86"/>
      <c r="C9" s="87"/>
      <c r="D9" s="87"/>
      <c r="E9" s="300"/>
      <c r="F9" s="87"/>
      <c r="G9" s="87"/>
      <c r="H9" s="87"/>
      <c r="I9" s="87"/>
      <c r="J9" s="87"/>
      <c r="K9" s="87"/>
      <c r="L9" s="301"/>
      <c r="M9" s="302"/>
      <c r="N9" s="930"/>
    </row>
    <row r="10" spans="1:42" ht="13.15" customHeight="1" x14ac:dyDescent="0.2">
      <c r="B10" s="86"/>
      <c r="C10" s="1000"/>
      <c r="D10" s="1000"/>
      <c r="E10" s="1308"/>
      <c r="F10" s="1000"/>
      <c r="G10" s="1000"/>
      <c r="H10" s="1000"/>
      <c r="I10" s="1000"/>
      <c r="J10" s="1000"/>
      <c r="K10" s="1000"/>
      <c r="L10" s="1311"/>
      <c r="M10" s="302"/>
      <c r="N10" s="930"/>
    </row>
    <row r="11" spans="1:42" ht="13.15" customHeight="1" x14ac:dyDescent="0.2">
      <c r="B11" s="86"/>
      <c r="C11" s="1000"/>
      <c r="D11" s="1049" t="s">
        <v>466</v>
      </c>
      <c r="E11" s="1308"/>
      <c r="F11" s="1000"/>
      <c r="G11" s="1000"/>
      <c r="H11" s="1000"/>
      <c r="I11" s="1000"/>
      <c r="J11" s="1000"/>
      <c r="K11" s="1000"/>
      <c r="L11" s="1311"/>
      <c r="M11" s="302"/>
      <c r="N11" s="930"/>
    </row>
    <row r="12" spans="1:42" ht="13.15" customHeight="1" x14ac:dyDescent="0.2">
      <c r="B12" s="86"/>
      <c r="C12" s="1000"/>
      <c r="D12" s="1000"/>
      <c r="E12" s="1308"/>
      <c r="F12" s="1000"/>
      <c r="G12" s="1000"/>
      <c r="H12" s="1000"/>
      <c r="I12" s="1000"/>
      <c r="J12" s="1000"/>
      <c r="K12" s="1000"/>
      <c r="L12" s="1311"/>
      <c r="M12" s="302"/>
      <c r="N12" s="930"/>
    </row>
    <row r="13" spans="1:42" ht="13.15" customHeight="1" x14ac:dyDescent="0.2">
      <c r="B13" s="86"/>
      <c r="C13" s="1000"/>
      <c r="D13" s="1075" t="s">
        <v>404</v>
      </c>
      <c r="E13" s="1308"/>
      <c r="F13" s="1000"/>
      <c r="G13" s="1000"/>
      <c r="H13" s="1000"/>
      <c r="I13" s="1000"/>
      <c r="J13" s="1000"/>
      <c r="K13" s="1000"/>
      <c r="L13" s="1311"/>
      <c r="M13" s="302"/>
      <c r="N13" s="930"/>
    </row>
    <row r="14" spans="1:42" ht="13.15" customHeight="1" x14ac:dyDescent="0.2">
      <c r="B14" s="86"/>
      <c r="C14" s="1000"/>
      <c r="D14" s="1079" t="s">
        <v>221</v>
      </c>
      <c r="E14" s="1000"/>
      <c r="F14" s="1481">
        <v>0</v>
      </c>
      <c r="G14" s="1301">
        <f>pers!J182+mat!J38</f>
        <v>0</v>
      </c>
      <c r="H14" s="1301">
        <f>pers!K182+mat!K38</f>
        <v>0</v>
      </c>
      <c r="I14" s="1301">
        <f>pers!L182+mat!L38</f>
        <v>0</v>
      </c>
      <c r="J14" s="1301">
        <f>pers!M182+mat!M38</f>
        <v>0</v>
      </c>
      <c r="K14" s="1301">
        <f>pers!N182+mat!N38</f>
        <v>0</v>
      </c>
      <c r="L14" s="1000"/>
      <c r="M14" s="88"/>
    </row>
    <row r="15" spans="1:42" s="11" customFormat="1" ht="13.15" customHeight="1" x14ac:dyDescent="0.2">
      <c r="A15" s="625"/>
      <c r="B15" s="72"/>
      <c r="C15" s="1056"/>
      <c r="D15" s="1086" t="s">
        <v>810</v>
      </c>
      <c r="E15" s="1056"/>
      <c r="F15" s="1482">
        <v>0</v>
      </c>
      <c r="G15" s="1302">
        <f>+pers!J189+mat!J21</f>
        <v>0</v>
      </c>
      <c r="H15" s="1302">
        <f>+pers!K189+mat!K21</f>
        <v>0</v>
      </c>
      <c r="I15" s="1302">
        <f>+pers!L189+mat!L21</f>
        <v>0</v>
      </c>
      <c r="J15" s="1302">
        <f>+pers!M189+mat!M21</f>
        <v>0</v>
      </c>
      <c r="K15" s="1302">
        <f>+pers!N189+mat!N21</f>
        <v>0</v>
      </c>
      <c r="L15" s="1056"/>
      <c r="M15" s="73"/>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row>
    <row r="16" spans="1:42" s="11" customFormat="1" ht="13.15" customHeight="1" x14ac:dyDescent="0.2">
      <c r="A16" s="625"/>
      <c r="B16" s="72"/>
      <c r="C16" s="1056"/>
      <c r="D16" s="1086" t="s">
        <v>811</v>
      </c>
      <c r="E16" s="1056"/>
      <c r="F16" s="1482">
        <v>0</v>
      </c>
      <c r="G16" s="1302">
        <f>+pers!J196+mat!J35</f>
        <v>0</v>
      </c>
      <c r="H16" s="1302">
        <f>+pers!K196+mat!K35</f>
        <v>0</v>
      </c>
      <c r="I16" s="1302">
        <f>+pers!L196+mat!L35</f>
        <v>0</v>
      </c>
      <c r="J16" s="1302">
        <f>+pers!M196+mat!M35</f>
        <v>0</v>
      </c>
      <c r="K16" s="1302">
        <f>+pers!N196+mat!N35</f>
        <v>0</v>
      </c>
      <c r="L16" s="1056"/>
      <c r="M16" s="73"/>
      <c r="N16" s="625"/>
      <c r="O16" s="625"/>
      <c r="P16" s="625"/>
      <c r="Q16" s="625"/>
      <c r="R16" s="625"/>
      <c r="S16" s="625"/>
      <c r="T16" s="625"/>
      <c r="U16" s="625"/>
      <c r="V16" s="625"/>
      <c r="W16" s="625"/>
      <c r="X16" s="625"/>
      <c r="Y16" s="625"/>
      <c r="Z16" s="625"/>
      <c r="AA16" s="625"/>
      <c r="AB16" s="625"/>
      <c r="AC16" s="625"/>
      <c r="AD16" s="625"/>
      <c r="AE16" s="625"/>
      <c r="AF16" s="625"/>
      <c r="AG16" s="625"/>
      <c r="AH16" s="625"/>
      <c r="AI16" s="625"/>
      <c r="AJ16" s="625"/>
      <c r="AK16" s="625"/>
      <c r="AL16" s="625"/>
      <c r="AM16" s="625"/>
      <c r="AN16" s="625"/>
      <c r="AO16" s="625"/>
      <c r="AP16" s="625"/>
    </row>
    <row r="17" spans="2:13" ht="13.15" customHeight="1" x14ac:dyDescent="0.2">
      <c r="B17" s="86"/>
      <c r="C17" s="1000"/>
      <c r="D17" s="1079" t="s">
        <v>324</v>
      </c>
      <c r="E17" s="1000"/>
      <c r="F17" s="1483">
        <f>pers!I183+mat!I58</f>
        <v>0</v>
      </c>
      <c r="G17" s="1303">
        <f>pers!J183+mat!J58</f>
        <v>0</v>
      </c>
      <c r="H17" s="1303">
        <f>pers!K183+mat!K58</f>
        <v>0</v>
      </c>
      <c r="I17" s="1303">
        <f>pers!L183+mat!L58</f>
        <v>0</v>
      </c>
      <c r="J17" s="1303">
        <f>pers!M183+mat!M58</f>
        <v>0</v>
      </c>
      <c r="K17" s="1303">
        <f>pers!N183+mat!N58</f>
        <v>0</v>
      </c>
      <c r="L17" s="1000"/>
      <c r="M17" s="88"/>
    </row>
    <row r="18" spans="2:13" ht="13.15" customHeight="1" x14ac:dyDescent="0.2">
      <c r="B18" s="86"/>
      <c r="C18" s="1000"/>
      <c r="D18" s="1079" t="s">
        <v>340</v>
      </c>
      <c r="E18" s="1000"/>
      <c r="F18" s="1481">
        <v>0</v>
      </c>
      <c r="G18" s="1301">
        <v>0</v>
      </c>
      <c r="H18" s="1301">
        <v>0</v>
      </c>
      <c r="I18" s="1301">
        <v>0</v>
      </c>
      <c r="J18" s="1301">
        <v>0</v>
      </c>
      <c r="K18" s="1301">
        <v>0</v>
      </c>
      <c r="L18" s="1000"/>
      <c r="M18" s="88"/>
    </row>
    <row r="19" spans="2:13" ht="13.15" customHeight="1" x14ac:dyDescent="0.2">
      <c r="B19" s="86"/>
      <c r="C19" s="1000"/>
      <c r="D19" s="1086" t="s">
        <v>814</v>
      </c>
      <c r="E19" s="1000"/>
      <c r="F19" s="1484">
        <f>+pers!I190+mat!I48</f>
        <v>0</v>
      </c>
      <c r="G19" s="1305">
        <f>+pers!J190+mat!J48</f>
        <v>0</v>
      </c>
      <c r="H19" s="1305">
        <f>+pers!K190+mat!K48</f>
        <v>0</v>
      </c>
      <c r="I19" s="1305">
        <f>+pers!L190+mat!L48</f>
        <v>0</v>
      </c>
      <c r="J19" s="1305">
        <f>+pers!M190+mat!M48</f>
        <v>0</v>
      </c>
      <c r="K19" s="1305">
        <f>+pers!N190+mat!N48</f>
        <v>0</v>
      </c>
      <c r="L19" s="1000"/>
      <c r="M19" s="88"/>
    </row>
    <row r="20" spans="2:13" ht="13.15" customHeight="1" x14ac:dyDescent="0.2">
      <c r="B20" s="86"/>
      <c r="C20" s="1000"/>
      <c r="D20" s="1086" t="s">
        <v>815</v>
      </c>
      <c r="E20" s="1000"/>
      <c r="F20" s="1484">
        <f>+pers!I197+mat!I55</f>
        <v>0</v>
      </c>
      <c r="G20" s="1305">
        <f>+pers!J197+mat!J55</f>
        <v>0</v>
      </c>
      <c r="H20" s="1305">
        <f>+pers!K197+mat!K55</f>
        <v>0</v>
      </c>
      <c r="I20" s="1305">
        <f>+pers!L197+mat!L55</f>
        <v>0</v>
      </c>
      <c r="J20" s="1305">
        <f>+pers!M197+mat!M55</f>
        <v>0</v>
      </c>
      <c r="K20" s="1305">
        <f>+pers!N197+mat!N55</f>
        <v>0</v>
      </c>
      <c r="L20" s="1000"/>
      <c r="M20" s="88"/>
    </row>
    <row r="21" spans="2:13" ht="13.15" customHeight="1" x14ac:dyDescent="0.2">
      <c r="B21" s="86"/>
      <c r="C21" s="1000"/>
      <c r="D21" s="1079" t="s">
        <v>341</v>
      </c>
      <c r="E21" s="1000"/>
      <c r="F21" s="1485">
        <f>pers!I184+mat!I66+mat!I76</f>
        <v>0</v>
      </c>
      <c r="G21" s="1304">
        <f>pers!J184+mat!J66+mat!J76</f>
        <v>0</v>
      </c>
      <c r="H21" s="1304">
        <f>pers!K184+mat!K66+mat!K76</f>
        <v>0</v>
      </c>
      <c r="I21" s="1304">
        <f>pers!L184+mat!L66+mat!L76</f>
        <v>0</v>
      </c>
      <c r="J21" s="1304">
        <f>pers!M184+mat!M66+mat!M76</f>
        <v>0</v>
      </c>
      <c r="K21" s="1304">
        <f>pers!N184+mat!N66+mat!N76</f>
        <v>0</v>
      </c>
      <c r="L21" s="1000"/>
      <c r="M21" s="88"/>
    </row>
    <row r="22" spans="2:13" ht="13.15" customHeight="1" x14ac:dyDescent="0.2">
      <c r="B22" s="86"/>
      <c r="C22" s="1000"/>
      <c r="D22" s="1079" t="s">
        <v>222</v>
      </c>
      <c r="E22" s="1000"/>
      <c r="F22" s="1485">
        <v>0</v>
      </c>
      <c r="G22" s="1304">
        <f>pers!J185+(mat!J85-mat!J66-mat!J76)</f>
        <v>0</v>
      </c>
      <c r="H22" s="1304">
        <f>pers!K185+(mat!K85-mat!K66-mat!K76)</f>
        <v>0</v>
      </c>
      <c r="I22" s="1304">
        <f>pers!L185+(mat!L85-mat!L66-mat!L76)</f>
        <v>0</v>
      </c>
      <c r="J22" s="1304">
        <f>pers!M185+(mat!M85-mat!M66-mat!M76)</f>
        <v>0</v>
      </c>
      <c r="K22" s="1304">
        <f>pers!N185+(mat!N85-mat!N66-mat!N76)</f>
        <v>0</v>
      </c>
      <c r="L22" s="1000"/>
      <c r="M22" s="88"/>
    </row>
    <row r="23" spans="2:13" ht="13.15" customHeight="1" x14ac:dyDescent="0.2">
      <c r="B23" s="86"/>
      <c r="C23" s="1000"/>
      <c r="D23" s="1088"/>
      <c r="E23" s="1075"/>
      <c r="F23" s="1306">
        <f t="shared" ref="F23:K23" si="0">+F14+F17+F21+F22</f>
        <v>0</v>
      </c>
      <c r="G23" s="1306">
        <f t="shared" si="0"/>
        <v>0</v>
      </c>
      <c r="H23" s="1306">
        <f t="shared" si="0"/>
        <v>0</v>
      </c>
      <c r="I23" s="1306">
        <f t="shared" si="0"/>
        <v>0</v>
      </c>
      <c r="J23" s="1306">
        <f t="shared" si="0"/>
        <v>0</v>
      </c>
      <c r="K23" s="1306">
        <f t="shared" si="0"/>
        <v>0</v>
      </c>
      <c r="L23" s="1000"/>
      <c r="M23" s="88"/>
    </row>
    <row r="24" spans="2:13" ht="13.15" customHeight="1" x14ac:dyDescent="0.2">
      <c r="B24" s="307"/>
      <c r="C24" s="1088"/>
      <c r="D24" s="1075" t="s">
        <v>342</v>
      </c>
      <c r="E24" s="1075"/>
      <c r="F24" s="1312"/>
      <c r="G24" s="1312"/>
      <c r="H24" s="1312"/>
      <c r="I24" s="1312"/>
      <c r="J24" s="1312"/>
      <c r="K24" s="1312"/>
      <c r="L24" s="1000"/>
      <c r="M24" s="88"/>
    </row>
    <row r="25" spans="2:13" ht="13.15" customHeight="1" x14ac:dyDescent="0.2">
      <c r="B25" s="86"/>
      <c r="C25" s="1000"/>
      <c r="D25" s="1309" t="s">
        <v>349</v>
      </c>
      <c r="E25" s="1056"/>
      <c r="F25" s="1483">
        <v>0</v>
      </c>
      <c r="G25" s="1303">
        <f>pers!J186</f>
        <v>78849.180000000022</v>
      </c>
      <c r="H25" s="1303">
        <f>pers!K186</f>
        <v>82605.420000000013</v>
      </c>
      <c r="I25" s="1303">
        <f>pers!L186</f>
        <v>85396.680000000022</v>
      </c>
      <c r="J25" s="1303">
        <f>pers!M186</f>
        <v>86780.160000000003</v>
      </c>
      <c r="K25" s="1303">
        <f>pers!N186</f>
        <v>86780.160000000003</v>
      </c>
      <c r="L25" s="1000"/>
      <c r="M25" s="88"/>
    </row>
    <row r="26" spans="2:13" ht="13.15" customHeight="1" x14ac:dyDescent="0.2">
      <c r="B26" s="86"/>
      <c r="C26" s="1000"/>
      <c r="D26" s="1000" t="s">
        <v>223</v>
      </c>
      <c r="E26" s="1000"/>
      <c r="F26" s="1303">
        <f>mat!I105</f>
        <v>0</v>
      </c>
      <c r="G26" s="1303">
        <f>mat!J105</f>
        <v>0</v>
      </c>
      <c r="H26" s="1303">
        <f>mat!K105</f>
        <v>0</v>
      </c>
      <c r="I26" s="1303">
        <f>mat!L105</f>
        <v>0</v>
      </c>
      <c r="J26" s="1303">
        <f>mat!M105</f>
        <v>0</v>
      </c>
      <c r="K26" s="1303">
        <f>mat!N105</f>
        <v>0</v>
      </c>
      <c r="L26" s="1000"/>
      <c r="M26" s="88"/>
    </row>
    <row r="27" spans="2:13" ht="13.15" customHeight="1" x14ac:dyDescent="0.2">
      <c r="B27" s="86"/>
      <c r="C27" s="1000"/>
      <c r="D27" s="1000" t="s">
        <v>224</v>
      </c>
      <c r="E27" s="1000"/>
      <c r="F27" s="1303">
        <f>mat!I125</f>
        <v>0</v>
      </c>
      <c r="G27" s="1303">
        <f>mat!J125</f>
        <v>0</v>
      </c>
      <c r="H27" s="1303">
        <f>mat!K125</f>
        <v>0</v>
      </c>
      <c r="I27" s="1303">
        <f>mat!L125</f>
        <v>0</v>
      </c>
      <c r="J27" s="1303">
        <f>mat!M125</f>
        <v>0</v>
      </c>
      <c r="K27" s="1303">
        <f>mat!N125</f>
        <v>0</v>
      </c>
      <c r="L27" s="1000"/>
      <c r="M27" s="88"/>
    </row>
    <row r="28" spans="2:13" ht="13.15" customHeight="1" x14ac:dyDescent="0.2">
      <c r="B28" s="86"/>
      <c r="C28" s="1000"/>
      <c r="D28" s="1000" t="s">
        <v>343</v>
      </c>
      <c r="E28" s="1000"/>
      <c r="F28" s="1301">
        <f>mat!I176</f>
        <v>0</v>
      </c>
      <c r="G28" s="1301">
        <f>mat!J176</f>
        <v>0</v>
      </c>
      <c r="H28" s="1301">
        <f>mat!K176</f>
        <v>0</v>
      </c>
      <c r="I28" s="1301">
        <f>mat!L176</f>
        <v>0</v>
      </c>
      <c r="J28" s="1301">
        <f>mat!M176</f>
        <v>0</v>
      </c>
      <c r="K28" s="1301">
        <f>mat!N176</f>
        <v>0</v>
      </c>
      <c r="L28" s="1000"/>
      <c r="M28" s="88"/>
    </row>
    <row r="29" spans="2:13" ht="13.15" customHeight="1" x14ac:dyDescent="0.2">
      <c r="B29" s="86"/>
      <c r="C29" s="1000"/>
      <c r="D29" s="1088"/>
      <c r="E29" s="1000"/>
      <c r="F29" s="1306">
        <f t="shared" ref="F29:K29" si="1">SUM(F25:F28)</f>
        <v>0</v>
      </c>
      <c r="G29" s="1306">
        <f t="shared" si="1"/>
        <v>78849.180000000022</v>
      </c>
      <c r="H29" s="1306">
        <f t="shared" si="1"/>
        <v>82605.420000000013</v>
      </c>
      <c r="I29" s="1306">
        <f t="shared" si="1"/>
        <v>85396.680000000022</v>
      </c>
      <c r="J29" s="1306">
        <f t="shared" si="1"/>
        <v>86780.160000000003</v>
      </c>
      <c r="K29" s="1306">
        <f t="shared" si="1"/>
        <v>86780.160000000003</v>
      </c>
      <c r="L29" s="1000"/>
      <c r="M29" s="88"/>
    </row>
    <row r="30" spans="2:13" ht="13.15" customHeight="1" x14ac:dyDescent="0.2">
      <c r="B30" s="86"/>
      <c r="C30" s="1000"/>
      <c r="D30" s="1310"/>
      <c r="E30" s="1056"/>
      <c r="F30" s="1313"/>
      <c r="G30" s="1313"/>
      <c r="H30" s="1313"/>
      <c r="I30" s="1313"/>
      <c r="J30" s="1313"/>
      <c r="K30" s="1313"/>
      <c r="L30" s="1000"/>
      <c r="M30" s="88"/>
    </row>
    <row r="31" spans="2:13" ht="13.15" customHeight="1" x14ac:dyDescent="0.2">
      <c r="B31" s="90"/>
      <c r="C31" s="1075"/>
      <c r="D31" s="1088" t="s">
        <v>344</v>
      </c>
      <c r="E31" s="1056"/>
      <c r="F31" s="1306">
        <f t="shared" ref="F31:K31" si="2">F23-F29</f>
        <v>0</v>
      </c>
      <c r="G31" s="1306">
        <f t="shared" si="2"/>
        <v>-78849.180000000022</v>
      </c>
      <c r="H31" s="1306">
        <f t="shared" si="2"/>
        <v>-82605.420000000013</v>
      </c>
      <c r="I31" s="1306">
        <f t="shared" si="2"/>
        <v>-85396.680000000022</v>
      </c>
      <c r="J31" s="1306">
        <f t="shared" si="2"/>
        <v>-86780.160000000003</v>
      </c>
      <c r="K31" s="1306">
        <f t="shared" si="2"/>
        <v>-86780.160000000003</v>
      </c>
      <c r="L31" s="1000"/>
      <c r="M31" s="88"/>
    </row>
    <row r="32" spans="2:13" ht="13.15" customHeight="1" x14ac:dyDescent="0.2">
      <c r="B32" s="86"/>
      <c r="C32" s="1000"/>
      <c r="D32" s="1086"/>
      <c r="E32" s="1056"/>
      <c r="F32" s="1313"/>
      <c r="G32" s="1313"/>
      <c r="H32" s="1313"/>
      <c r="I32" s="1313"/>
      <c r="J32" s="1313"/>
      <c r="K32" s="1313"/>
      <c r="L32" s="1000"/>
      <c r="M32" s="88"/>
    </row>
    <row r="33" spans="1:42" ht="13.15" customHeight="1" x14ac:dyDescent="0.2">
      <c r="B33" s="86"/>
      <c r="C33" s="87"/>
      <c r="D33" s="74"/>
      <c r="E33" s="66"/>
      <c r="F33" s="308"/>
      <c r="G33" s="308"/>
      <c r="H33" s="308"/>
      <c r="I33" s="308"/>
      <c r="J33" s="308"/>
      <c r="K33" s="308"/>
      <c r="L33" s="87"/>
      <c r="M33" s="88"/>
    </row>
    <row r="34" spans="1:42" ht="13.15" customHeight="1" x14ac:dyDescent="0.2">
      <c r="B34" s="86"/>
      <c r="C34" s="1000"/>
      <c r="D34" s="1145"/>
      <c r="E34" s="1056"/>
      <c r="F34" s="1314"/>
      <c r="G34" s="1314"/>
      <c r="H34" s="1314"/>
      <c r="I34" s="1314"/>
      <c r="J34" s="1314"/>
      <c r="K34" s="1314"/>
      <c r="L34" s="1000"/>
      <c r="M34" s="88"/>
    </row>
    <row r="35" spans="1:42" ht="13.15" customHeight="1" x14ac:dyDescent="0.2">
      <c r="B35" s="86"/>
      <c r="C35" s="1000"/>
      <c r="D35" s="1194" t="s">
        <v>304</v>
      </c>
      <c r="E35" s="1056"/>
      <c r="F35" s="1314"/>
      <c r="G35" s="1314"/>
      <c r="H35" s="1314"/>
      <c r="I35" s="1314"/>
      <c r="J35" s="1314"/>
      <c r="K35" s="1314"/>
      <c r="L35" s="1000"/>
      <c r="M35" s="88"/>
    </row>
    <row r="36" spans="1:42" ht="13.15" customHeight="1" x14ac:dyDescent="0.2">
      <c r="B36" s="86"/>
      <c r="C36" s="1000"/>
      <c r="D36" s="1145"/>
      <c r="E36" s="1056"/>
      <c r="F36" s="1314"/>
      <c r="G36" s="1314"/>
      <c r="H36" s="1314"/>
      <c r="I36" s="1314"/>
      <c r="J36" s="1314"/>
      <c r="K36" s="1314"/>
      <c r="L36" s="1000"/>
      <c r="M36" s="88"/>
    </row>
    <row r="37" spans="1:42" ht="13.15" customHeight="1" x14ac:dyDescent="0.2">
      <c r="B37" s="86"/>
      <c r="C37" s="1000"/>
      <c r="D37" s="1079" t="s">
        <v>225</v>
      </c>
      <c r="E37" s="1056"/>
      <c r="F37" s="1307">
        <v>0</v>
      </c>
      <c r="G37" s="1307">
        <f t="shared" ref="G37:I38" si="3">+F37</f>
        <v>0</v>
      </c>
      <c r="H37" s="1307">
        <f t="shared" si="3"/>
        <v>0</v>
      </c>
      <c r="I37" s="1307">
        <f t="shared" si="3"/>
        <v>0</v>
      </c>
      <c r="J37" s="1307">
        <f>+I37</f>
        <v>0</v>
      </c>
      <c r="K37" s="1307">
        <f>+J37</f>
        <v>0</v>
      </c>
      <c r="L37" s="1000"/>
      <c r="M37" s="88"/>
    </row>
    <row r="38" spans="1:42" ht="13.15" customHeight="1" x14ac:dyDescent="0.2">
      <c r="B38" s="86"/>
      <c r="C38" s="1000"/>
      <c r="D38" s="1079" t="s">
        <v>226</v>
      </c>
      <c r="E38" s="1056"/>
      <c r="F38" s="1307">
        <v>0</v>
      </c>
      <c r="G38" s="1307">
        <f t="shared" si="3"/>
        <v>0</v>
      </c>
      <c r="H38" s="1307">
        <f t="shared" si="3"/>
        <v>0</v>
      </c>
      <c r="I38" s="1307">
        <f t="shared" si="3"/>
        <v>0</v>
      </c>
      <c r="J38" s="1307">
        <f>+I38</f>
        <v>0</v>
      </c>
      <c r="K38" s="1307">
        <f>+J38</f>
        <v>0</v>
      </c>
      <c r="L38" s="1000"/>
      <c r="M38" s="88"/>
    </row>
    <row r="39" spans="1:42" ht="13.15" customHeight="1" x14ac:dyDescent="0.2">
      <c r="B39" s="86"/>
      <c r="C39" s="1000"/>
      <c r="D39" s="1079"/>
      <c r="E39" s="1056"/>
      <c r="F39" s="1314"/>
      <c r="G39" s="1314"/>
      <c r="H39" s="1314"/>
      <c r="I39" s="1314"/>
      <c r="J39" s="1314"/>
      <c r="K39" s="1314"/>
      <c r="L39" s="1000"/>
      <c r="M39" s="88"/>
    </row>
    <row r="40" spans="1:42" s="135" customFormat="1" ht="13.15" customHeight="1" x14ac:dyDescent="0.2">
      <c r="A40" s="540"/>
      <c r="B40" s="90"/>
      <c r="C40" s="1075"/>
      <c r="D40" s="1088" t="s">
        <v>657</v>
      </c>
      <c r="E40" s="1075"/>
      <c r="F40" s="1306">
        <f t="shared" ref="F40:K40" si="4">F37-F38</f>
        <v>0</v>
      </c>
      <c r="G40" s="1306">
        <f t="shared" si="4"/>
        <v>0</v>
      </c>
      <c r="H40" s="1306">
        <f t="shared" si="4"/>
        <v>0</v>
      </c>
      <c r="I40" s="1306">
        <f t="shared" si="4"/>
        <v>0</v>
      </c>
      <c r="J40" s="1306">
        <f t="shared" si="4"/>
        <v>0</v>
      </c>
      <c r="K40" s="1306">
        <f t="shared" si="4"/>
        <v>0</v>
      </c>
      <c r="L40" s="1075"/>
      <c r="M40" s="101"/>
      <c r="N40" s="540"/>
      <c r="O40" s="540"/>
      <c r="P40" s="540"/>
      <c r="Q40" s="540"/>
      <c r="R40" s="540"/>
      <c r="S40" s="540"/>
      <c r="T40" s="540"/>
      <c r="U40" s="540"/>
      <c r="V40" s="540"/>
      <c r="W40" s="540"/>
      <c r="X40" s="540"/>
      <c r="Y40" s="540"/>
      <c r="Z40" s="540"/>
      <c r="AA40" s="540"/>
      <c r="AB40" s="540"/>
      <c r="AC40" s="540"/>
      <c r="AD40" s="540"/>
      <c r="AE40" s="540"/>
      <c r="AF40" s="540"/>
      <c r="AG40" s="540"/>
      <c r="AH40" s="540"/>
      <c r="AI40" s="540"/>
      <c r="AJ40" s="540"/>
      <c r="AK40" s="540"/>
      <c r="AL40" s="540"/>
      <c r="AM40" s="540"/>
      <c r="AN40" s="540"/>
      <c r="AO40" s="540"/>
      <c r="AP40" s="540"/>
    </row>
    <row r="41" spans="1:42" ht="13.15" customHeight="1" x14ac:dyDescent="0.2">
      <c r="B41" s="86"/>
      <c r="C41" s="1000"/>
      <c r="D41" s="1079"/>
      <c r="E41" s="1056"/>
      <c r="F41" s="1314"/>
      <c r="G41" s="1314"/>
      <c r="H41" s="1314"/>
      <c r="I41" s="1314"/>
      <c r="J41" s="1314"/>
      <c r="K41" s="1314"/>
      <c r="L41" s="1000"/>
      <c r="M41" s="88"/>
    </row>
    <row r="42" spans="1:42" ht="13.15" customHeight="1" x14ac:dyDescent="0.2">
      <c r="B42" s="86"/>
      <c r="C42" s="87"/>
      <c r="D42" s="74"/>
      <c r="E42" s="66"/>
      <c r="F42" s="308"/>
      <c r="G42" s="308"/>
      <c r="H42" s="308"/>
      <c r="I42" s="308"/>
      <c r="J42" s="308"/>
      <c r="K42" s="308"/>
      <c r="L42" s="87"/>
      <c r="M42" s="88"/>
    </row>
    <row r="43" spans="1:42" ht="13.15" customHeight="1" x14ac:dyDescent="0.2">
      <c r="B43" s="86"/>
      <c r="C43" s="1000"/>
      <c r="D43" s="1079"/>
      <c r="E43" s="1056"/>
      <c r="F43" s="1314"/>
      <c r="G43" s="1314"/>
      <c r="H43" s="1314"/>
      <c r="I43" s="1314"/>
      <c r="J43" s="1314"/>
      <c r="K43" s="1314"/>
      <c r="L43" s="1000"/>
      <c r="M43" s="88"/>
    </row>
    <row r="44" spans="1:42" s="135" customFormat="1" ht="13.15" customHeight="1" x14ac:dyDescent="0.2">
      <c r="A44" s="540"/>
      <c r="B44" s="90"/>
      <c r="C44" s="1075"/>
      <c r="D44" s="1194" t="s">
        <v>345</v>
      </c>
      <c r="E44" s="1075"/>
      <c r="F44" s="1306">
        <f t="shared" ref="F44:K44" si="5">F31+F40</f>
        <v>0</v>
      </c>
      <c r="G44" s="1306">
        <f t="shared" si="5"/>
        <v>-78849.180000000022</v>
      </c>
      <c r="H44" s="1306">
        <f t="shared" si="5"/>
        <v>-82605.420000000013</v>
      </c>
      <c r="I44" s="1306">
        <f t="shared" si="5"/>
        <v>-85396.680000000022</v>
      </c>
      <c r="J44" s="1306">
        <f t="shared" si="5"/>
        <v>-86780.160000000003</v>
      </c>
      <c r="K44" s="1306">
        <f t="shared" si="5"/>
        <v>-86780.160000000003</v>
      </c>
      <c r="L44" s="1075"/>
      <c r="M44" s="101"/>
      <c r="N44" s="540"/>
      <c r="O44" s="540"/>
      <c r="P44" s="540"/>
      <c r="Q44" s="540"/>
      <c r="R44" s="540"/>
      <c r="S44" s="540"/>
      <c r="T44" s="540"/>
      <c r="U44" s="540"/>
      <c r="V44" s="540"/>
      <c r="W44" s="540"/>
      <c r="X44" s="540"/>
      <c r="Y44" s="540"/>
      <c r="Z44" s="540"/>
      <c r="AA44" s="540"/>
      <c r="AB44" s="540"/>
      <c r="AC44" s="540"/>
      <c r="AD44" s="540"/>
      <c r="AE44" s="540"/>
      <c r="AF44" s="540"/>
      <c r="AG44" s="540"/>
      <c r="AH44" s="540"/>
      <c r="AI44" s="540"/>
      <c r="AJ44" s="540"/>
      <c r="AK44" s="540"/>
      <c r="AL44" s="540"/>
      <c r="AM44" s="540"/>
      <c r="AN44" s="540"/>
      <c r="AO44" s="540"/>
      <c r="AP44" s="540"/>
    </row>
    <row r="45" spans="1:42" ht="13.15" customHeight="1" x14ac:dyDescent="0.2">
      <c r="B45" s="86"/>
      <c r="C45" s="1000"/>
      <c r="D45" s="1315"/>
      <c r="E45" s="1056"/>
      <c r="F45" s="1314"/>
      <c r="G45" s="1314"/>
      <c r="H45" s="1314"/>
      <c r="I45" s="1314"/>
      <c r="J45" s="1314"/>
      <c r="K45" s="1314"/>
      <c r="L45" s="1000"/>
      <c r="M45" s="88"/>
    </row>
    <row r="46" spans="1:42" ht="13.15" customHeight="1" x14ac:dyDescent="0.2">
      <c r="B46" s="86"/>
      <c r="C46" s="87"/>
      <c r="D46" s="291"/>
      <c r="E46" s="87"/>
      <c r="F46" s="309"/>
      <c r="G46" s="309"/>
      <c r="H46" s="309"/>
      <c r="I46" s="309"/>
      <c r="J46" s="309"/>
      <c r="K46" s="309"/>
      <c r="L46" s="87"/>
      <c r="M46" s="88"/>
    </row>
    <row r="47" spans="1:42" ht="13.15" customHeight="1" x14ac:dyDescent="0.25">
      <c r="B47" s="96"/>
      <c r="C47" s="93"/>
      <c r="D47" s="310"/>
      <c r="E47" s="93"/>
      <c r="F47" s="311"/>
      <c r="G47" s="311"/>
      <c r="H47" s="311"/>
      <c r="I47" s="311"/>
      <c r="J47" s="311"/>
      <c r="K47" s="311"/>
      <c r="L47" s="36" t="s">
        <v>464</v>
      </c>
      <c r="M47" s="95"/>
    </row>
    <row r="48" spans="1:42" s="476" customFormat="1" ht="13.15" customHeight="1" x14ac:dyDescent="0.2">
      <c r="G48" s="932"/>
    </row>
    <row r="49" spans="3:14" s="476" customFormat="1" ht="13.15" customHeight="1" x14ac:dyDescent="0.2"/>
    <row r="50" spans="3:14" s="476" customFormat="1" ht="13.15" customHeight="1" x14ac:dyDescent="0.2">
      <c r="E50" s="1493"/>
      <c r="F50" s="827"/>
      <c r="G50" s="1494"/>
      <c r="H50" s="827"/>
      <c r="I50" s="827"/>
      <c r="J50" s="827"/>
      <c r="K50" s="827"/>
      <c r="L50" s="930"/>
      <c r="M50" s="930"/>
      <c r="N50" s="930"/>
    </row>
    <row r="51" spans="3:14" s="703" customFormat="1" ht="13.15" customHeight="1" x14ac:dyDescent="0.2">
      <c r="C51" s="476"/>
      <c r="D51" s="1495"/>
      <c r="E51" s="1496"/>
      <c r="F51" s="827" t="str">
        <f>+tab!C2</f>
        <v>2015/16</v>
      </c>
      <c r="G51" s="827" t="str">
        <f>+tab!D2</f>
        <v>2016/17</v>
      </c>
      <c r="H51" s="827" t="str">
        <f>+tab!E2</f>
        <v>2017/18</v>
      </c>
      <c r="I51" s="827" t="str">
        <f>+tab!F2</f>
        <v>2018/19</v>
      </c>
      <c r="J51" s="827" t="str">
        <f>+tab!G2</f>
        <v>2019/20</v>
      </c>
      <c r="K51" s="827" t="str">
        <f>+tab!H2</f>
        <v>2020/21</v>
      </c>
      <c r="L51" s="931"/>
      <c r="M51" s="931"/>
      <c r="N51" s="931"/>
    </row>
    <row r="52" spans="3:14" s="476" customFormat="1" ht="13.15" customHeight="1" x14ac:dyDescent="0.2">
      <c r="E52" s="1493"/>
      <c r="L52" s="930"/>
      <c r="M52" s="930"/>
      <c r="N52" s="930"/>
    </row>
    <row r="53" spans="3:14" s="476" customFormat="1" ht="13.15" customHeight="1" x14ac:dyDescent="0.2">
      <c r="E53" s="1493"/>
      <c r="L53" s="930"/>
      <c r="M53" s="930"/>
      <c r="N53" s="930"/>
    </row>
    <row r="54" spans="3:14" s="476" customFormat="1" ht="13.15" customHeight="1" x14ac:dyDescent="0.2">
      <c r="D54" s="829" t="s">
        <v>466</v>
      </c>
      <c r="E54" s="1493"/>
      <c r="L54" s="930"/>
      <c r="M54" s="930"/>
      <c r="N54" s="930"/>
    </row>
    <row r="55" spans="3:14" s="476" customFormat="1" ht="13.15" customHeight="1" x14ac:dyDescent="0.2">
      <c r="E55" s="1493"/>
      <c r="L55" s="930"/>
      <c r="M55" s="930"/>
      <c r="N55" s="930"/>
    </row>
    <row r="56" spans="3:14" s="476" customFormat="1" ht="13.15" customHeight="1" x14ac:dyDescent="0.2">
      <c r="D56" s="540" t="s">
        <v>404</v>
      </c>
      <c r="E56" s="1493"/>
      <c r="L56" s="930"/>
      <c r="M56" s="930"/>
      <c r="N56" s="930"/>
    </row>
    <row r="57" spans="3:14" s="476" customFormat="1" ht="13.15" customHeight="1" x14ac:dyDescent="0.2">
      <c r="D57" s="679" t="s">
        <v>221</v>
      </c>
      <c r="F57" s="1499">
        <f>+pers!I46+mat!I197</f>
        <v>0</v>
      </c>
      <c r="G57" s="1499">
        <f>+pers!J46+mat!J197</f>
        <v>0</v>
      </c>
      <c r="H57" s="1499">
        <f>+pers!K46+mat!K197</f>
        <v>0</v>
      </c>
      <c r="I57" s="1499">
        <f>+pers!L46+mat!L197</f>
        <v>0</v>
      </c>
      <c r="J57" s="1499">
        <f>+pers!M46+mat!M197</f>
        <v>0</v>
      </c>
      <c r="K57" s="1499">
        <f>+pers!N46+mat!N197</f>
        <v>0</v>
      </c>
    </row>
    <row r="58" spans="3:14" s="476" customFormat="1" ht="13.15" customHeight="1" x14ac:dyDescent="0.2">
      <c r="D58" s="906" t="s">
        <v>810</v>
      </c>
      <c r="F58" s="1500">
        <f>+pers!I26+5/12*mat!I21+7/12*mat!J21</f>
        <v>0</v>
      </c>
      <c r="G58" s="1500">
        <f>+pers!J26+5/12*mat!J21+7/12*mat!K21</f>
        <v>0</v>
      </c>
      <c r="H58" s="1500">
        <f>+pers!K26+5/12*mat!K21+7/12*mat!L21</f>
        <v>0</v>
      </c>
      <c r="I58" s="1500">
        <f>+pers!L26+5/12*mat!L21+7/12*mat!M21</f>
        <v>0</v>
      </c>
      <c r="J58" s="1500">
        <f>+pers!M26+5/12*mat!M21+7/12*mat!N21</f>
        <v>0</v>
      </c>
      <c r="K58" s="1500">
        <f>+pers!N26+mat!N21</f>
        <v>0</v>
      </c>
    </row>
    <row r="59" spans="3:14" s="476" customFormat="1" ht="13.15" customHeight="1" x14ac:dyDescent="0.2">
      <c r="D59" s="906" t="s">
        <v>811</v>
      </c>
      <c r="F59" s="1500">
        <f>+pers!I43+5/12*mat!I35+7/12*mat!J35</f>
        <v>0</v>
      </c>
      <c r="G59" s="1500">
        <f>+pers!J43+5/12*mat!J35+7/12*mat!K35</f>
        <v>0</v>
      </c>
      <c r="H59" s="1500">
        <f>+pers!K43+5/12*mat!K35+7/12*mat!L35</f>
        <v>0</v>
      </c>
      <c r="I59" s="1500">
        <f>+pers!L43+5/12*mat!L35+7/12*mat!M35</f>
        <v>0</v>
      </c>
      <c r="J59" s="1500">
        <f>+pers!M43+5/12*mat!M35+7/12*mat!N35</f>
        <v>0</v>
      </c>
      <c r="K59" s="1500">
        <f>+pers!N43+mat!N35</f>
        <v>0</v>
      </c>
    </row>
    <row r="60" spans="3:14" s="476" customFormat="1" ht="13.15" customHeight="1" x14ac:dyDescent="0.2">
      <c r="D60" s="679" t="s">
        <v>324</v>
      </c>
      <c r="F60" s="1501">
        <f>pers!I70+mat!I198</f>
        <v>0</v>
      </c>
      <c r="G60" s="1501">
        <f>pers!J70+mat!J198</f>
        <v>0</v>
      </c>
      <c r="H60" s="1501">
        <f>pers!K70+mat!K198</f>
        <v>0</v>
      </c>
      <c r="I60" s="1501">
        <f>pers!L70+mat!L198</f>
        <v>0</v>
      </c>
      <c r="J60" s="1501">
        <f>pers!M70+mat!M198</f>
        <v>0</v>
      </c>
      <c r="K60" s="1501">
        <f>pers!N70+mat!N198</f>
        <v>0</v>
      </c>
    </row>
    <row r="61" spans="3:14" s="476" customFormat="1" ht="13.15" hidden="1" customHeight="1" x14ac:dyDescent="0.2">
      <c r="D61" s="679" t="s">
        <v>340</v>
      </c>
      <c r="F61" s="1497">
        <v>0</v>
      </c>
      <c r="G61" s="1497">
        <v>0</v>
      </c>
      <c r="H61" s="1497">
        <v>0</v>
      </c>
      <c r="I61" s="1497">
        <v>0</v>
      </c>
      <c r="J61" s="1497">
        <v>0</v>
      </c>
      <c r="K61" s="1497">
        <v>0</v>
      </c>
    </row>
    <row r="62" spans="3:14" s="476" customFormat="1" ht="13.15" customHeight="1" x14ac:dyDescent="0.2">
      <c r="D62" s="906" t="s">
        <v>812</v>
      </c>
      <c r="F62" s="1502">
        <f>+pers!I58+5/12*mat!I48+7/12*mat!J48</f>
        <v>0</v>
      </c>
      <c r="G62" s="1502">
        <f>+pers!J58+5/12*mat!J48+7/12*mat!K48</f>
        <v>0</v>
      </c>
      <c r="H62" s="1502">
        <f>+pers!K58+5/12*mat!K48+7/12*mat!L48</f>
        <v>0</v>
      </c>
      <c r="I62" s="1502">
        <f>+pers!L58+5/12*mat!L48+7/12*mat!M48</f>
        <v>0</v>
      </c>
      <c r="J62" s="1502">
        <f>+pers!M58+5/12*mat!M48+7/12*mat!N48</f>
        <v>0</v>
      </c>
      <c r="K62" s="1502">
        <f>+pers!N58+mat!N48</f>
        <v>0</v>
      </c>
    </row>
    <row r="63" spans="3:14" s="476" customFormat="1" ht="13.15" customHeight="1" x14ac:dyDescent="0.2">
      <c r="D63" s="906" t="s">
        <v>813</v>
      </c>
      <c r="F63" s="1502">
        <f>+pers!I67+5/12*mat!I55+7/12*mat!J55</f>
        <v>0</v>
      </c>
      <c r="G63" s="1502">
        <f>+pers!J67+5/12*mat!J55+7/12*mat!K55</f>
        <v>0</v>
      </c>
      <c r="H63" s="1502">
        <f>+pers!K67+5/12*mat!K55+7/12*mat!L55</f>
        <v>0</v>
      </c>
      <c r="I63" s="1502">
        <f>+pers!L67+5/12*mat!L55+7/12*mat!M55</f>
        <v>0</v>
      </c>
      <c r="J63" s="1502">
        <f>+pers!M67+5/12*mat!M55+7/12*mat!N55</f>
        <v>0</v>
      </c>
      <c r="K63" s="1502">
        <f>+pers!N67+mat!N55</f>
        <v>0</v>
      </c>
    </row>
    <row r="64" spans="3:14" s="476" customFormat="1" ht="13.15" customHeight="1" x14ac:dyDescent="0.2">
      <c r="D64" s="679" t="s">
        <v>341</v>
      </c>
      <c r="F64" s="1502">
        <f>+pers!I78+mat!I200</f>
        <v>0</v>
      </c>
      <c r="G64" s="1502">
        <f>+pers!J78+mat!J200</f>
        <v>0</v>
      </c>
      <c r="H64" s="1502">
        <f>+pers!K78+mat!K200</f>
        <v>0</v>
      </c>
      <c r="I64" s="1502">
        <f>+pers!L78+mat!L200</f>
        <v>0</v>
      </c>
      <c r="J64" s="1502">
        <f>+pers!M78+mat!M200</f>
        <v>0</v>
      </c>
      <c r="K64" s="1502">
        <f>+pers!N78+mat!N200</f>
        <v>0</v>
      </c>
    </row>
    <row r="65" spans="2:11" s="476" customFormat="1" ht="13.15" customHeight="1" x14ac:dyDescent="0.2">
      <c r="D65" s="679" t="s">
        <v>222</v>
      </c>
      <c r="F65" s="1502">
        <f>pers!I95-pers!I78-pers!I87+mat!I201</f>
        <v>0</v>
      </c>
      <c r="G65" s="1502">
        <f>pers!J95-pers!J78-pers!J87+mat!J201</f>
        <v>0</v>
      </c>
      <c r="H65" s="1502">
        <f>pers!K95-pers!K78-pers!K87+mat!K201</f>
        <v>0</v>
      </c>
      <c r="I65" s="1502">
        <f>pers!L95-pers!L78-pers!L87+mat!L201</f>
        <v>0</v>
      </c>
      <c r="J65" s="1502">
        <f>pers!M95-pers!M78-pers!M87+mat!M201</f>
        <v>0</v>
      </c>
      <c r="K65" s="1502">
        <f>pers!N95-pers!N78-pers!N87+mat!N201</f>
        <v>0</v>
      </c>
    </row>
    <row r="66" spans="2:11" s="476" customFormat="1" ht="13.15" customHeight="1" x14ac:dyDescent="0.2">
      <c r="D66" s="905"/>
      <c r="E66" s="540"/>
      <c r="F66" s="1498">
        <f t="shared" ref="F66:K66" si="6">F57+F60+F64+F65</f>
        <v>0</v>
      </c>
      <c r="G66" s="1498">
        <f t="shared" si="6"/>
        <v>0</v>
      </c>
      <c r="H66" s="1498">
        <f t="shared" si="6"/>
        <v>0</v>
      </c>
      <c r="I66" s="1498">
        <f t="shared" si="6"/>
        <v>0</v>
      </c>
      <c r="J66" s="1498">
        <f t="shared" si="6"/>
        <v>0</v>
      </c>
      <c r="K66" s="1498">
        <f t="shared" si="6"/>
        <v>0</v>
      </c>
    </row>
    <row r="67" spans="2:11" s="476" customFormat="1" ht="13.15" customHeight="1" x14ac:dyDescent="0.2">
      <c r="B67" s="905"/>
      <c r="C67" s="905"/>
      <c r="D67" s="540" t="s">
        <v>342</v>
      </c>
      <c r="E67" s="540"/>
      <c r="F67" s="1498"/>
      <c r="G67" s="1498"/>
      <c r="H67" s="1498"/>
      <c r="I67" s="1498"/>
      <c r="J67" s="1498"/>
      <c r="K67" s="1498"/>
    </row>
    <row r="68" spans="2:11" s="476" customFormat="1" ht="13.15" customHeight="1" x14ac:dyDescent="0.2">
      <c r="D68" s="1503" t="s">
        <v>349</v>
      </c>
      <c r="E68" s="625"/>
      <c r="F68" s="1504">
        <f>pers!I166</f>
        <v>77086.080000000016</v>
      </c>
      <c r="G68" s="1504">
        <f>pers!J166</f>
        <v>81317.52</v>
      </c>
      <c r="H68" s="1504">
        <f>pers!K166</f>
        <v>84408.480000000025</v>
      </c>
      <c r="I68" s="1504">
        <f>pers!L166</f>
        <v>86780.160000000003</v>
      </c>
      <c r="J68" s="1504">
        <f>pers!M166</f>
        <v>86780.160000000003</v>
      </c>
      <c r="K68" s="1504">
        <f>pers!N166</f>
        <v>86780.160000000003</v>
      </c>
    </row>
    <row r="69" spans="2:11" s="476" customFormat="1" ht="13.15" customHeight="1" x14ac:dyDescent="0.2">
      <c r="D69" s="476" t="s">
        <v>223</v>
      </c>
      <c r="F69" s="1504">
        <f>+mat!I204</f>
        <v>0</v>
      </c>
      <c r="G69" s="1504">
        <f>+mat!J204</f>
        <v>0</v>
      </c>
      <c r="H69" s="1504">
        <f>+mat!K204</f>
        <v>0</v>
      </c>
      <c r="I69" s="1504">
        <f>+mat!L204</f>
        <v>0</v>
      </c>
      <c r="J69" s="1504">
        <f>+mat!M204</f>
        <v>0</v>
      </c>
      <c r="K69" s="1504">
        <f>+mat!N204</f>
        <v>0</v>
      </c>
    </row>
    <row r="70" spans="2:11" s="476" customFormat="1" ht="13.15" customHeight="1" x14ac:dyDescent="0.2">
      <c r="D70" s="476" t="s">
        <v>224</v>
      </c>
      <c r="F70" s="1504">
        <f>+mat!I205</f>
        <v>0</v>
      </c>
      <c r="G70" s="1504">
        <f>+mat!J205</f>
        <v>0</v>
      </c>
      <c r="H70" s="1504">
        <f>+mat!K205</f>
        <v>0</v>
      </c>
      <c r="I70" s="1504">
        <f>+mat!L205</f>
        <v>0</v>
      </c>
      <c r="J70" s="1504">
        <f>+mat!M205</f>
        <v>0</v>
      </c>
      <c r="K70" s="1504">
        <f>+mat!N205</f>
        <v>0</v>
      </c>
    </row>
    <row r="71" spans="2:11" s="476" customFormat="1" ht="13.15" customHeight="1" x14ac:dyDescent="0.2">
      <c r="D71" s="476" t="s">
        <v>343</v>
      </c>
      <c r="F71" s="1497">
        <f>+mat!I206</f>
        <v>0</v>
      </c>
      <c r="G71" s="1497">
        <f>+mat!J206</f>
        <v>0</v>
      </c>
      <c r="H71" s="1497">
        <f>+mat!K206</f>
        <v>0</v>
      </c>
      <c r="I71" s="1497">
        <f>+mat!L206</f>
        <v>0</v>
      </c>
      <c r="J71" s="1497">
        <f>+mat!M206</f>
        <v>0</v>
      </c>
      <c r="K71" s="1497">
        <f>+mat!N206</f>
        <v>0</v>
      </c>
    </row>
    <row r="72" spans="2:11" s="476" customFormat="1" ht="13.15" customHeight="1" x14ac:dyDescent="0.2">
      <c r="D72" s="905"/>
      <c r="F72" s="1498">
        <f t="shared" ref="F72" si="7">SUM(F68:F71)</f>
        <v>77086.080000000016</v>
      </c>
      <c r="G72" s="1498">
        <f t="shared" ref="G72" si="8">SUM(G68:G71)</f>
        <v>81317.52</v>
      </c>
      <c r="H72" s="1498">
        <f t="shared" ref="H72" si="9">SUM(H68:H71)</f>
        <v>84408.480000000025</v>
      </c>
      <c r="I72" s="1498">
        <f t="shared" ref="I72" si="10">SUM(I68:I71)</f>
        <v>86780.160000000003</v>
      </c>
      <c r="J72" s="1498">
        <f t="shared" ref="J72" si="11">SUM(J68:J71)</f>
        <v>86780.160000000003</v>
      </c>
      <c r="K72" s="1498">
        <f t="shared" ref="K72" si="12">SUM(K68:K71)</f>
        <v>86780.160000000003</v>
      </c>
    </row>
    <row r="73" spans="2:11" s="476" customFormat="1" ht="13.15" customHeight="1" x14ac:dyDescent="0.2">
      <c r="D73" s="1505"/>
      <c r="E73" s="625"/>
      <c r="F73" s="1506"/>
      <c r="G73" s="1506"/>
      <c r="H73" s="1506"/>
      <c r="I73" s="1506"/>
      <c r="J73" s="1506"/>
      <c r="K73" s="1506"/>
    </row>
    <row r="74" spans="2:11" s="476" customFormat="1" ht="13.15" customHeight="1" x14ac:dyDescent="0.2">
      <c r="B74" s="540"/>
      <c r="C74" s="540"/>
      <c r="D74" s="905" t="s">
        <v>344</v>
      </c>
      <c r="E74" s="625"/>
      <c r="F74" s="1498">
        <f t="shared" ref="F74:K74" si="13">F66-F72</f>
        <v>-77086.080000000016</v>
      </c>
      <c r="G74" s="1498">
        <f t="shared" si="13"/>
        <v>-81317.52</v>
      </c>
      <c r="H74" s="1498">
        <f t="shared" si="13"/>
        <v>-84408.480000000025</v>
      </c>
      <c r="I74" s="1498">
        <f t="shared" si="13"/>
        <v>-86780.160000000003</v>
      </c>
      <c r="J74" s="1498">
        <f t="shared" si="13"/>
        <v>-86780.160000000003</v>
      </c>
      <c r="K74" s="1498">
        <f t="shared" si="13"/>
        <v>-86780.160000000003</v>
      </c>
    </row>
    <row r="75" spans="2:11" s="476" customFormat="1" ht="13.15" customHeight="1" x14ac:dyDescent="0.2">
      <c r="D75" s="906"/>
      <c r="E75" s="625"/>
      <c r="F75" s="1506"/>
      <c r="G75" s="1506"/>
      <c r="H75" s="1506"/>
      <c r="I75" s="1506"/>
      <c r="J75" s="1506"/>
      <c r="K75" s="1506"/>
    </row>
    <row r="76" spans="2:11" s="476" customFormat="1" ht="13.15" customHeight="1" x14ac:dyDescent="0.2">
      <c r="D76" s="906"/>
      <c r="E76" s="625"/>
      <c r="F76" s="1497"/>
      <c r="G76" s="1497"/>
      <c r="H76" s="1497"/>
      <c r="I76" s="1497"/>
      <c r="J76" s="1497"/>
      <c r="K76" s="1497"/>
    </row>
    <row r="77" spans="2:11" s="476" customFormat="1" ht="13.15" customHeight="1" x14ac:dyDescent="0.2">
      <c r="D77" s="906"/>
      <c r="E77" s="625"/>
      <c r="F77" s="1497"/>
      <c r="G77" s="1497"/>
      <c r="H77" s="1497"/>
      <c r="I77" s="1497"/>
      <c r="J77" s="1497"/>
      <c r="K77" s="1497"/>
    </row>
    <row r="78" spans="2:11" s="476" customFormat="1" ht="13.15" customHeight="1" x14ac:dyDescent="0.2">
      <c r="D78" s="1507" t="s">
        <v>304</v>
      </c>
      <c r="E78" s="625"/>
      <c r="F78" s="1497"/>
      <c r="G78" s="1497"/>
      <c r="H78" s="1497"/>
      <c r="I78" s="1497"/>
      <c r="J78" s="1497"/>
      <c r="K78" s="1497"/>
    </row>
    <row r="79" spans="2:11" s="476" customFormat="1" ht="13.15" customHeight="1" x14ac:dyDescent="0.2">
      <c r="D79" s="906"/>
      <c r="E79" s="625"/>
      <c r="F79" s="1497"/>
      <c r="G79" s="1497"/>
      <c r="H79" s="1497"/>
      <c r="I79" s="1497"/>
      <c r="J79" s="1497"/>
      <c r="K79" s="1497"/>
    </row>
    <row r="80" spans="2:11" s="476" customFormat="1" ht="13.15" customHeight="1" x14ac:dyDescent="0.2">
      <c r="D80" s="679" t="s">
        <v>225</v>
      </c>
      <c r="E80" s="625"/>
      <c r="F80" s="1508">
        <f>5/12*F37+7/12*G37</f>
        <v>0</v>
      </c>
      <c r="G80" s="1508">
        <f t="shared" ref="G80:J80" si="14">5/12*G37+7/12*H37</f>
        <v>0</v>
      </c>
      <c r="H80" s="1508">
        <f t="shared" si="14"/>
        <v>0</v>
      </c>
      <c r="I80" s="1508">
        <f t="shared" si="14"/>
        <v>0</v>
      </c>
      <c r="J80" s="1508">
        <f t="shared" si="14"/>
        <v>0</v>
      </c>
      <c r="K80" s="1508">
        <f>J80</f>
        <v>0</v>
      </c>
    </row>
    <row r="81" spans="4:12" s="476" customFormat="1" ht="13.15" customHeight="1" x14ac:dyDescent="0.2">
      <c r="D81" s="679" t="s">
        <v>226</v>
      </c>
      <c r="E81" s="625"/>
      <c r="F81" s="1508">
        <f>5/12*F38+7/12*G38</f>
        <v>0</v>
      </c>
      <c r="G81" s="1508">
        <f t="shared" ref="G81:J81" si="15">5/12*G38+7/12*H38</f>
        <v>0</v>
      </c>
      <c r="H81" s="1508">
        <f t="shared" si="15"/>
        <v>0</v>
      </c>
      <c r="I81" s="1508">
        <f t="shared" si="15"/>
        <v>0</v>
      </c>
      <c r="J81" s="1508">
        <f t="shared" si="15"/>
        <v>0</v>
      </c>
      <c r="K81" s="1508">
        <f>J81</f>
        <v>0</v>
      </c>
    </row>
    <row r="82" spans="4:12" s="476" customFormat="1" ht="13.15" customHeight="1" x14ac:dyDescent="0.2">
      <c r="D82" s="679"/>
      <c r="E82" s="625"/>
      <c r="F82" s="1497"/>
      <c r="G82" s="1497"/>
      <c r="H82" s="1497"/>
      <c r="I82" s="1497"/>
      <c r="J82" s="1497"/>
      <c r="K82" s="1497"/>
    </row>
    <row r="83" spans="4:12" s="540" customFormat="1" ht="13.15" customHeight="1" x14ac:dyDescent="0.2">
      <c r="D83" s="905" t="s">
        <v>657</v>
      </c>
      <c r="F83" s="1498">
        <f t="shared" ref="F83:K83" si="16">F80-F81</f>
        <v>0</v>
      </c>
      <c r="G83" s="1498">
        <f t="shared" si="16"/>
        <v>0</v>
      </c>
      <c r="H83" s="1498">
        <f t="shared" si="16"/>
        <v>0</v>
      </c>
      <c r="I83" s="1498">
        <f t="shared" si="16"/>
        <v>0</v>
      </c>
      <c r="J83" s="1498">
        <f t="shared" si="16"/>
        <v>0</v>
      </c>
      <c r="K83" s="1498">
        <f t="shared" si="16"/>
        <v>0</v>
      </c>
    </row>
    <row r="84" spans="4:12" s="476" customFormat="1" ht="13.15" customHeight="1" x14ac:dyDescent="0.2">
      <c r="D84" s="679"/>
      <c r="E84" s="625"/>
      <c r="F84" s="1497"/>
      <c r="G84" s="1497"/>
      <c r="H84" s="1497"/>
      <c r="I84" s="1497"/>
      <c r="J84" s="1497"/>
      <c r="K84" s="1497"/>
    </row>
    <row r="85" spans="4:12" s="476" customFormat="1" ht="13.15" customHeight="1" x14ac:dyDescent="0.2">
      <c r="D85" s="906"/>
      <c r="E85" s="625"/>
      <c r="F85" s="1497"/>
      <c r="G85" s="1497"/>
      <c r="H85" s="1497"/>
      <c r="I85" s="1497"/>
      <c r="J85" s="1497"/>
      <c r="K85" s="1497"/>
    </row>
    <row r="86" spans="4:12" s="476" customFormat="1" ht="13.15" customHeight="1" x14ac:dyDescent="0.2">
      <c r="D86" s="679"/>
      <c r="E86" s="625"/>
      <c r="F86" s="1497"/>
      <c r="G86" s="1497"/>
      <c r="H86" s="1497"/>
      <c r="I86" s="1497"/>
      <c r="J86" s="1497"/>
      <c r="K86" s="1497"/>
    </row>
    <row r="87" spans="4:12" s="540" customFormat="1" ht="13.15" customHeight="1" x14ac:dyDescent="0.2">
      <c r="D87" s="1507" t="s">
        <v>345</v>
      </c>
      <c r="F87" s="1498">
        <f t="shared" ref="F87:K87" si="17">F74+F83</f>
        <v>-77086.080000000016</v>
      </c>
      <c r="G87" s="1498">
        <f t="shared" si="17"/>
        <v>-81317.52</v>
      </c>
      <c r="H87" s="1498">
        <f t="shared" si="17"/>
        <v>-84408.480000000025</v>
      </c>
      <c r="I87" s="1498">
        <f t="shared" si="17"/>
        <v>-86780.160000000003</v>
      </c>
      <c r="J87" s="1498">
        <f t="shared" si="17"/>
        <v>-86780.160000000003</v>
      </c>
      <c r="K87" s="1498">
        <f t="shared" si="17"/>
        <v>-86780.160000000003</v>
      </c>
    </row>
    <row r="88" spans="4:12" s="476" customFormat="1" ht="13.15" customHeight="1" x14ac:dyDescent="0.2">
      <c r="D88" s="1509"/>
      <c r="E88" s="625"/>
      <c r="F88" s="1497"/>
      <c r="G88" s="1497"/>
      <c r="H88" s="1497"/>
      <c r="I88" s="1497"/>
      <c r="J88" s="1497"/>
      <c r="K88" s="1497"/>
    </row>
    <row r="89" spans="4:12" s="476" customFormat="1" ht="13.15" customHeight="1" x14ac:dyDescent="0.2">
      <c r="D89" s="907"/>
      <c r="F89" s="1498"/>
      <c r="G89" s="1498"/>
      <c r="H89" s="1498"/>
      <c r="I89" s="1498"/>
      <c r="J89" s="1498"/>
      <c r="K89" s="1498"/>
    </row>
    <row r="90" spans="4:12" s="476" customFormat="1" ht="13.15" customHeight="1" x14ac:dyDescent="0.25">
      <c r="D90" s="907"/>
      <c r="F90" s="904"/>
      <c r="G90" s="904"/>
      <c r="H90" s="904"/>
      <c r="I90" s="904"/>
      <c r="J90" s="904"/>
      <c r="K90" s="904"/>
      <c r="L90" s="685" t="s">
        <v>464</v>
      </c>
    </row>
    <row r="91" spans="4:12" s="476" customFormat="1" ht="13.15" customHeight="1" x14ac:dyDescent="0.2">
      <c r="G91" s="932"/>
    </row>
    <row r="92" spans="4:12" s="476" customFormat="1" ht="13.15" customHeight="1" x14ac:dyDescent="0.2">
      <c r="G92" s="932"/>
    </row>
    <row r="93" spans="4:12" s="476" customFormat="1" ht="13.15" customHeight="1" x14ac:dyDescent="0.2">
      <c r="G93" s="932"/>
    </row>
    <row r="94" spans="4:12" s="476" customFormat="1" ht="13.15" customHeight="1" x14ac:dyDescent="0.2">
      <c r="G94" s="932"/>
    </row>
    <row r="95" spans="4:12" s="476" customFormat="1" ht="13.15" customHeight="1" x14ac:dyDescent="0.2">
      <c r="G95" s="932"/>
    </row>
    <row r="96" spans="4:12" s="476" customFormat="1" ht="13.15" customHeight="1" x14ac:dyDescent="0.2">
      <c r="G96" s="932"/>
    </row>
    <row r="97" spans="7:7" s="476" customFormat="1" ht="13.15" customHeight="1" x14ac:dyDescent="0.2">
      <c r="G97" s="932"/>
    </row>
    <row r="98" spans="7:7" s="476" customFormat="1" ht="13.15" customHeight="1" x14ac:dyDescent="0.2">
      <c r="G98" s="932"/>
    </row>
    <row r="99" spans="7:7" s="476" customFormat="1" ht="13.15" customHeight="1" x14ac:dyDescent="0.2">
      <c r="G99" s="932"/>
    </row>
    <row r="100" spans="7:7" s="476" customFormat="1" ht="13.15" customHeight="1" x14ac:dyDescent="0.2">
      <c r="G100" s="932"/>
    </row>
    <row r="101" spans="7:7" s="476" customFormat="1" ht="13.15" customHeight="1" x14ac:dyDescent="0.2">
      <c r="G101" s="932"/>
    </row>
    <row r="102" spans="7:7" s="476" customFormat="1" ht="13.15" customHeight="1" x14ac:dyDescent="0.2">
      <c r="G102" s="932"/>
    </row>
    <row r="103" spans="7:7" s="476" customFormat="1" ht="13.15" customHeight="1" x14ac:dyDescent="0.2">
      <c r="G103" s="932"/>
    </row>
    <row r="104" spans="7:7" s="476" customFormat="1" ht="13.15" customHeight="1" x14ac:dyDescent="0.2">
      <c r="G104" s="932"/>
    </row>
    <row r="105" spans="7:7" s="476" customFormat="1" ht="13.15" customHeight="1" x14ac:dyDescent="0.2">
      <c r="G105" s="932"/>
    </row>
    <row r="106" spans="7:7" s="476" customFormat="1" ht="13.15" customHeight="1" x14ac:dyDescent="0.2">
      <c r="G106" s="932"/>
    </row>
    <row r="107" spans="7:7" s="476" customFormat="1" ht="13.15" customHeight="1" x14ac:dyDescent="0.2">
      <c r="G107" s="932"/>
    </row>
    <row r="108" spans="7:7" s="476" customFormat="1" ht="13.15" customHeight="1" x14ac:dyDescent="0.2">
      <c r="G108" s="932"/>
    </row>
    <row r="109" spans="7:7" s="476" customFormat="1" ht="13.15" customHeight="1" x14ac:dyDescent="0.2">
      <c r="G109" s="932"/>
    </row>
    <row r="110" spans="7:7" s="476" customFormat="1" ht="13.15" customHeight="1" x14ac:dyDescent="0.2">
      <c r="G110" s="932"/>
    </row>
    <row r="111" spans="7:7" s="476" customFormat="1" ht="13.15" customHeight="1" x14ac:dyDescent="0.2">
      <c r="G111" s="932"/>
    </row>
    <row r="112" spans="7:7" s="476" customFormat="1" ht="13.15" customHeight="1" x14ac:dyDescent="0.2">
      <c r="G112" s="932"/>
    </row>
    <row r="113" spans="7:7" s="476" customFormat="1" ht="13.15" customHeight="1" x14ac:dyDescent="0.2">
      <c r="G113" s="932"/>
    </row>
    <row r="114" spans="7:7" s="476" customFormat="1" ht="13.15" customHeight="1" x14ac:dyDescent="0.2">
      <c r="G114" s="932"/>
    </row>
    <row r="115" spans="7:7" s="476" customFormat="1" ht="13.15" customHeight="1" x14ac:dyDescent="0.2">
      <c r="G115" s="932"/>
    </row>
    <row r="116" spans="7:7" s="476" customFormat="1" ht="13.15" customHeight="1" x14ac:dyDescent="0.2">
      <c r="G116" s="932"/>
    </row>
    <row r="117" spans="7:7" s="476" customFormat="1" ht="13.15" customHeight="1" x14ac:dyDescent="0.2">
      <c r="G117" s="932"/>
    </row>
    <row r="118" spans="7:7" s="476" customFormat="1" ht="13.15" customHeight="1" x14ac:dyDescent="0.2"/>
    <row r="119" spans="7:7" s="476" customFormat="1" ht="13.15" customHeight="1" x14ac:dyDescent="0.2"/>
    <row r="120" spans="7:7" s="476" customFormat="1" ht="13.15" customHeight="1" x14ac:dyDescent="0.2"/>
    <row r="121" spans="7:7" s="476" customFormat="1" ht="13.15" customHeight="1" x14ac:dyDescent="0.2"/>
    <row r="122" spans="7:7" s="476" customFormat="1" ht="13.15" customHeight="1" x14ac:dyDescent="0.2"/>
    <row r="123" spans="7:7" s="476" customFormat="1" ht="13.15" customHeight="1" x14ac:dyDescent="0.2"/>
    <row r="124" spans="7:7" s="476" customFormat="1" ht="13.15" customHeight="1" x14ac:dyDescent="0.2"/>
    <row r="125" spans="7:7" s="476" customFormat="1" ht="13.15" customHeight="1" x14ac:dyDescent="0.2"/>
    <row r="126" spans="7:7" s="476" customFormat="1" ht="13.15" customHeight="1" x14ac:dyDescent="0.2"/>
    <row r="127" spans="7:7" s="476" customFormat="1" ht="13.15" customHeight="1" x14ac:dyDescent="0.2"/>
    <row r="128" spans="7:7" s="476" customFormat="1" ht="13.15" customHeight="1" x14ac:dyDescent="0.2"/>
    <row r="129" s="476" customFormat="1" ht="13.15" customHeight="1" x14ac:dyDescent="0.2"/>
    <row r="130" s="476" customFormat="1" ht="13.15" customHeight="1" x14ac:dyDescent="0.2"/>
    <row r="131" s="476" customFormat="1" ht="13.15" customHeight="1" x14ac:dyDescent="0.2"/>
    <row r="132" s="476" customFormat="1" ht="13.15" customHeight="1" x14ac:dyDescent="0.2"/>
    <row r="133" s="476" customFormat="1" ht="13.15" customHeight="1" x14ac:dyDescent="0.2"/>
    <row r="134" s="476" customFormat="1" ht="13.15" customHeight="1" x14ac:dyDescent="0.2"/>
    <row r="135" s="476" customFormat="1" ht="13.15" customHeight="1" x14ac:dyDescent="0.2"/>
    <row r="136" s="476" customFormat="1" ht="13.15" customHeight="1" x14ac:dyDescent="0.2"/>
    <row r="137" s="476" customFormat="1" ht="13.15" customHeight="1" x14ac:dyDescent="0.2"/>
    <row r="138" s="476" customFormat="1" ht="13.15" customHeight="1" x14ac:dyDescent="0.2"/>
    <row r="139" s="476" customFormat="1" ht="13.15" customHeight="1" x14ac:dyDescent="0.2"/>
    <row r="140" s="476" customFormat="1" ht="13.15" customHeight="1" x14ac:dyDescent="0.2"/>
    <row r="141" s="476" customFormat="1" ht="13.15" customHeight="1" x14ac:dyDescent="0.2"/>
    <row r="142" s="476" customFormat="1" ht="13.15" customHeight="1" x14ac:dyDescent="0.2"/>
    <row r="143" s="476" customFormat="1" ht="13.15" customHeight="1" x14ac:dyDescent="0.2"/>
    <row r="144" s="476" customFormat="1" ht="13.15" customHeight="1" x14ac:dyDescent="0.2"/>
    <row r="145" s="476" customFormat="1" ht="13.15" customHeight="1" x14ac:dyDescent="0.2"/>
    <row r="146" s="476" customFormat="1" ht="13.15" customHeight="1" x14ac:dyDescent="0.2"/>
    <row r="147" s="476" customFormat="1" ht="13.15" customHeight="1" x14ac:dyDescent="0.2"/>
    <row r="148" s="476" customFormat="1" ht="13.15" customHeight="1" x14ac:dyDescent="0.2"/>
    <row r="149" s="476" customFormat="1" ht="13.15" customHeight="1" x14ac:dyDescent="0.2"/>
    <row r="150" s="476" customFormat="1" ht="13.15" customHeight="1" x14ac:dyDescent="0.2"/>
    <row r="151" s="476" customFormat="1" ht="13.15" customHeight="1" x14ac:dyDescent="0.2"/>
    <row r="152" s="476" customFormat="1" ht="13.15" customHeight="1" x14ac:dyDescent="0.2"/>
    <row r="153" s="476" customFormat="1" ht="13.15" customHeight="1" x14ac:dyDescent="0.2"/>
    <row r="154" s="476" customFormat="1" ht="13.15" customHeight="1" x14ac:dyDescent="0.2"/>
    <row r="155" s="476" customFormat="1" ht="13.15" customHeight="1" x14ac:dyDescent="0.2"/>
    <row r="156" s="476" customFormat="1" ht="13.15" customHeight="1" x14ac:dyDescent="0.2"/>
    <row r="157" s="476" customFormat="1" ht="13.15" customHeight="1" x14ac:dyDescent="0.2"/>
    <row r="158" s="476" customFormat="1" ht="13.15" customHeight="1" x14ac:dyDescent="0.2"/>
    <row r="159" s="476" customFormat="1" ht="13.15" customHeight="1" x14ac:dyDescent="0.2"/>
    <row r="160" s="476" customFormat="1" ht="13.15" customHeight="1" x14ac:dyDescent="0.2"/>
    <row r="161" s="476" customFormat="1" ht="13.15" customHeight="1" x14ac:dyDescent="0.2"/>
    <row r="162" s="476" customFormat="1" ht="13.15" customHeight="1" x14ac:dyDescent="0.2"/>
    <row r="163" s="476" customFormat="1" ht="13.15" customHeight="1" x14ac:dyDescent="0.2"/>
    <row r="164" s="476" customFormat="1" ht="13.15" customHeight="1" x14ac:dyDescent="0.2"/>
    <row r="165" s="476" customFormat="1" ht="13.15" customHeight="1" x14ac:dyDescent="0.2"/>
    <row r="166" s="476" customFormat="1" ht="13.15" customHeight="1" x14ac:dyDescent="0.2"/>
    <row r="167" s="476" customFormat="1" ht="13.15" customHeight="1" x14ac:dyDescent="0.2"/>
    <row r="168" s="476" customFormat="1" ht="13.15" customHeight="1" x14ac:dyDescent="0.2"/>
    <row r="169" s="476" customFormat="1" ht="13.15" customHeight="1" x14ac:dyDescent="0.2"/>
    <row r="170" s="476" customFormat="1" ht="13.15" customHeight="1" x14ac:dyDescent="0.2"/>
    <row r="171" s="476" customFormat="1" ht="13.15" customHeight="1" x14ac:dyDescent="0.2"/>
    <row r="172" s="476" customFormat="1" ht="13.15" customHeight="1" x14ac:dyDescent="0.2"/>
    <row r="173" s="476" customFormat="1" ht="13.15" customHeight="1" x14ac:dyDescent="0.2"/>
    <row r="174" s="476" customFormat="1" ht="13.15" customHeight="1" x14ac:dyDescent="0.2"/>
    <row r="175" s="476" customFormat="1" ht="13.15" customHeight="1" x14ac:dyDescent="0.2"/>
    <row r="176" s="476" customFormat="1" ht="13.15" customHeight="1" x14ac:dyDescent="0.2"/>
    <row r="177" s="476" customFormat="1" ht="13.15" customHeight="1" x14ac:dyDescent="0.2"/>
    <row r="178" s="476" customFormat="1" ht="13.15" customHeight="1" x14ac:dyDescent="0.2"/>
    <row r="179" s="476" customFormat="1" ht="13.15" customHeight="1" x14ac:dyDescent="0.2"/>
    <row r="180" s="476" customFormat="1" ht="13.15" customHeight="1" x14ac:dyDescent="0.2"/>
    <row r="181" s="476" customFormat="1" ht="13.15" customHeight="1" x14ac:dyDescent="0.2"/>
    <row r="182" s="476" customFormat="1" ht="13.15" customHeight="1" x14ac:dyDescent="0.2"/>
    <row r="183" s="476" customFormat="1" ht="13.15" customHeight="1" x14ac:dyDescent="0.2"/>
    <row r="184" s="476" customFormat="1" ht="13.15" customHeight="1" x14ac:dyDescent="0.2"/>
    <row r="185" s="476" customFormat="1" ht="13.15" customHeight="1" x14ac:dyDescent="0.2"/>
    <row r="186" s="476" customFormat="1" ht="13.15" customHeight="1" x14ac:dyDescent="0.2"/>
    <row r="187" s="476" customFormat="1" ht="13.15" customHeight="1" x14ac:dyDescent="0.2"/>
    <row r="188" s="476" customFormat="1" ht="13.15" customHeight="1" x14ac:dyDescent="0.2"/>
    <row r="189" s="476" customFormat="1" ht="13.15" customHeight="1" x14ac:dyDescent="0.2"/>
    <row r="190" s="476" customFormat="1" ht="13.15" customHeight="1" x14ac:dyDescent="0.2"/>
    <row r="191" s="476" customFormat="1" ht="13.15" customHeight="1" x14ac:dyDescent="0.2"/>
    <row r="192" s="476" customFormat="1" ht="13.15" customHeight="1" x14ac:dyDescent="0.2"/>
    <row r="193" s="476" customFormat="1" ht="13.15" customHeight="1" x14ac:dyDescent="0.2"/>
    <row r="194" s="476" customFormat="1" ht="13.15" customHeight="1" x14ac:dyDescent="0.2"/>
    <row r="195" s="476" customFormat="1" ht="13.15" customHeight="1" x14ac:dyDescent="0.2"/>
    <row r="196" s="476" customFormat="1" ht="13.15" customHeight="1" x14ac:dyDescent="0.2"/>
    <row r="197" s="476" customFormat="1" ht="13.15" customHeight="1" x14ac:dyDescent="0.2"/>
    <row r="198" s="476" customFormat="1" ht="13.15" customHeight="1" x14ac:dyDescent="0.2"/>
    <row r="199" s="476" customFormat="1" ht="13.15" customHeight="1" x14ac:dyDescent="0.2"/>
    <row r="200" s="476" customFormat="1" ht="13.15" customHeight="1" x14ac:dyDescent="0.2"/>
    <row r="201" s="476" customFormat="1" ht="13.15" customHeight="1" x14ac:dyDescent="0.2"/>
    <row r="202" s="476" customFormat="1" ht="13.15" customHeight="1" x14ac:dyDescent="0.2"/>
    <row r="203" s="476" customFormat="1" ht="13.15" customHeight="1" x14ac:dyDescent="0.2"/>
    <row r="204" s="476" customFormat="1" ht="13.15" customHeight="1" x14ac:dyDescent="0.2"/>
    <row r="205" s="476" customFormat="1" ht="13.15" customHeight="1" x14ac:dyDescent="0.2"/>
    <row r="206" s="476" customFormat="1" ht="13.15" customHeight="1" x14ac:dyDescent="0.2"/>
    <row r="207" s="476" customFormat="1" ht="13.15" customHeight="1" x14ac:dyDescent="0.2"/>
    <row r="208" s="476" customFormat="1" ht="13.15" customHeight="1" x14ac:dyDescent="0.2"/>
    <row r="209" s="476" customFormat="1" ht="13.15" customHeight="1" x14ac:dyDescent="0.2"/>
    <row r="210" s="476" customFormat="1" ht="13.15" customHeight="1" x14ac:dyDescent="0.2"/>
    <row r="211" s="476" customFormat="1" ht="13.15" customHeight="1" x14ac:dyDescent="0.2"/>
    <row r="212" s="476" customFormat="1" ht="13.15" customHeight="1" x14ac:dyDescent="0.2"/>
    <row r="213" s="476" customFormat="1" ht="13.15" customHeight="1" x14ac:dyDescent="0.2"/>
    <row r="214" s="476" customFormat="1" ht="13.15" customHeight="1" x14ac:dyDescent="0.2"/>
    <row r="215" s="476" customFormat="1" ht="13.15" customHeight="1" x14ac:dyDescent="0.2"/>
    <row r="216" s="476" customFormat="1" ht="13.15" customHeight="1" x14ac:dyDescent="0.2"/>
    <row r="217" s="476" customFormat="1" ht="13.15" customHeight="1" x14ac:dyDescent="0.2"/>
    <row r="218" s="476" customFormat="1" ht="13.15" customHeight="1" x14ac:dyDescent="0.2"/>
    <row r="219" s="476" customFormat="1" ht="13.15" customHeight="1" x14ac:dyDescent="0.2"/>
    <row r="220" s="476" customFormat="1" ht="13.15" customHeight="1" x14ac:dyDescent="0.2"/>
    <row r="221" s="476" customFormat="1" ht="13.15" customHeight="1" x14ac:dyDescent="0.2"/>
    <row r="222" s="476" customFormat="1" ht="13.15" customHeight="1" x14ac:dyDescent="0.2"/>
    <row r="223" s="476" customFormat="1" ht="13.15" customHeight="1" x14ac:dyDescent="0.2"/>
    <row r="224" s="476" customFormat="1" ht="13.15" customHeight="1" x14ac:dyDescent="0.2"/>
    <row r="225" s="476" customFormat="1" ht="13.15" customHeight="1" x14ac:dyDescent="0.2"/>
    <row r="226" s="476" customFormat="1" ht="13.15" customHeight="1" x14ac:dyDescent="0.2"/>
    <row r="227" s="476" customFormat="1" ht="13.15" customHeight="1" x14ac:dyDescent="0.2"/>
    <row r="228" s="476" customFormat="1" ht="13.15" customHeight="1" x14ac:dyDescent="0.2"/>
    <row r="229" s="476" customFormat="1" ht="13.15" customHeight="1" x14ac:dyDescent="0.2"/>
    <row r="230" s="476" customFormat="1" ht="13.15" customHeight="1" x14ac:dyDescent="0.2"/>
    <row r="231" s="476" customFormat="1" ht="13.15" customHeight="1" x14ac:dyDescent="0.2"/>
    <row r="232" s="476" customFormat="1" ht="13.15" customHeight="1" x14ac:dyDescent="0.2"/>
    <row r="233" s="476" customFormat="1" ht="13.15" customHeight="1" x14ac:dyDescent="0.2"/>
    <row r="234" s="476" customFormat="1" ht="13.15" customHeight="1" x14ac:dyDescent="0.2"/>
    <row r="235" s="476" customFormat="1" ht="13.15" customHeight="1" x14ac:dyDescent="0.2"/>
    <row r="236" s="476" customFormat="1" ht="13.15" customHeight="1" x14ac:dyDescent="0.2"/>
    <row r="237" s="476" customFormat="1" ht="13.15" customHeight="1" x14ac:dyDescent="0.2"/>
    <row r="238" s="476" customFormat="1" ht="13.15" customHeight="1" x14ac:dyDescent="0.2"/>
    <row r="239" s="476" customFormat="1" ht="13.15" customHeight="1" x14ac:dyDescent="0.2"/>
    <row r="240" s="476" customFormat="1" ht="13.15" customHeight="1" x14ac:dyDescent="0.2"/>
    <row r="241" s="476" customFormat="1" ht="13.15" customHeight="1" x14ac:dyDescent="0.2"/>
    <row r="242" s="476" customFormat="1" ht="13.15" customHeight="1" x14ac:dyDescent="0.2"/>
    <row r="243" s="476" customFormat="1" ht="13.15" customHeight="1" x14ac:dyDescent="0.2"/>
    <row r="244" s="476" customFormat="1" ht="13.15" customHeight="1" x14ac:dyDescent="0.2"/>
    <row r="245" s="476" customFormat="1" ht="13.15" customHeight="1" x14ac:dyDescent="0.2"/>
    <row r="246" s="476" customFormat="1" ht="13.15" customHeight="1" x14ac:dyDescent="0.2"/>
    <row r="247" s="476" customFormat="1" ht="13.15" customHeight="1" x14ac:dyDescent="0.2"/>
    <row r="248" s="476" customFormat="1" ht="13.15" customHeight="1" x14ac:dyDescent="0.2"/>
    <row r="249" s="476" customFormat="1" ht="13.15" customHeight="1" x14ac:dyDescent="0.2"/>
    <row r="250" s="476" customFormat="1" ht="13.15" customHeight="1" x14ac:dyDescent="0.2"/>
    <row r="251" s="476" customFormat="1" ht="13.15" customHeight="1" x14ac:dyDescent="0.2"/>
    <row r="252" s="476" customFormat="1" ht="13.15" customHeight="1" x14ac:dyDescent="0.2"/>
    <row r="253" s="476" customFormat="1" ht="13.15" customHeight="1" x14ac:dyDescent="0.2"/>
    <row r="254" s="476" customFormat="1" ht="13.15" customHeight="1" x14ac:dyDescent="0.2"/>
    <row r="255" s="476" customFormat="1" ht="13.15" customHeight="1" x14ac:dyDescent="0.2"/>
    <row r="256" s="476" customFormat="1" ht="13.15" customHeight="1" x14ac:dyDescent="0.2"/>
    <row r="257" s="476" customFormat="1" ht="13.15" customHeight="1" x14ac:dyDescent="0.2"/>
    <row r="258" s="476" customFormat="1" ht="13.15" customHeight="1" x14ac:dyDescent="0.2"/>
    <row r="259" s="476" customFormat="1" ht="13.15" customHeight="1" x14ac:dyDescent="0.2"/>
    <row r="260" s="476" customFormat="1" ht="13.15" customHeight="1" x14ac:dyDescent="0.2"/>
    <row r="261" s="476" customFormat="1" ht="13.15" customHeight="1" x14ac:dyDescent="0.2"/>
    <row r="262" s="476" customFormat="1" ht="13.15" customHeight="1" x14ac:dyDescent="0.2"/>
    <row r="263" s="476" customFormat="1" ht="13.15" customHeight="1" x14ac:dyDescent="0.2"/>
    <row r="264" s="476" customFormat="1" ht="13.15" customHeight="1" x14ac:dyDescent="0.2"/>
    <row r="265" s="476" customFormat="1" ht="13.15" customHeight="1" x14ac:dyDescent="0.2"/>
    <row r="266" s="476" customFormat="1" ht="13.15" customHeight="1" x14ac:dyDescent="0.2"/>
    <row r="267" s="476" customFormat="1" ht="13.15" customHeight="1" x14ac:dyDescent="0.2"/>
    <row r="268" s="476" customFormat="1" ht="13.15" customHeight="1" x14ac:dyDescent="0.2"/>
    <row r="269" s="476" customFormat="1" ht="13.15" customHeight="1" x14ac:dyDescent="0.2"/>
    <row r="270" s="476" customFormat="1" ht="13.15" customHeight="1" x14ac:dyDescent="0.2"/>
    <row r="271" s="476" customFormat="1" ht="13.15" customHeight="1" x14ac:dyDescent="0.2"/>
    <row r="272" s="476" customFormat="1" ht="13.15" customHeight="1" x14ac:dyDescent="0.2"/>
    <row r="273" s="476" customFormat="1" ht="13.15" customHeight="1" x14ac:dyDescent="0.2"/>
    <row r="274" s="476" customFormat="1" ht="13.15" customHeight="1" x14ac:dyDescent="0.2"/>
    <row r="275" s="476" customFormat="1" ht="13.15" customHeight="1" x14ac:dyDescent="0.2"/>
    <row r="276" s="476" customFormat="1" ht="13.15" customHeight="1" x14ac:dyDescent="0.2"/>
    <row r="277" s="476" customFormat="1" ht="13.15" customHeight="1" x14ac:dyDescent="0.2"/>
    <row r="278" s="476" customFormat="1" ht="13.15" customHeight="1" x14ac:dyDescent="0.2"/>
    <row r="279" s="476" customFormat="1" ht="13.15" customHeight="1" x14ac:dyDescent="0.2"/>
    <row r="280" s="476" customFormat="1" ht="13.15" customHeight="1" x14ac:dyDescent="0.2"/>
    <row r="281" s="476" customFormat="1" ht="13.15" customHeight="1" x14ac:dyDescent="0.2"/>
    <row r="282" s="476" customFormat="1" ht="13.15" customHeight="1" x14ac:dyDescent="0.2"/>
    <row r="283" s="476" customFormat="1" ht="13.15" customHeight="1" x14ac:dyDescent="0.2"/>
    <row r="284" s="476" customFormat="1" ht="13.15" customHeight="1" x14ac:dyDescent="0.2"/>
    <row r="285" s="476" customFormat="1" ht="13.15" customHeight="1" x14ac:dyDescent="0.2"/>
    <row r="286" s="476" customFormat="1" ht="13.15" customHeight="1" x14ac:dyDescent="0.2"/>
    <row r="287" s="476" customFormat="1" ht="13.15" customHeight="1" x14ac:dyDescent="0.2"/>
    <row r="288" s="476" customFormat="1" ht="13.15" customHeight="1" x14ac:dyDescent="0.2"/>
    <row r="289" s="476" customFormat="1" ht="13.15" customHeight="1" x14ac:dyDescent="0.2"/>
    <row r="290" s="476" customFormat="1" ht="13.15" customHeight="1" x14ac:dyDescent="0.2"/>
    <row r="291" s="476" customFormat="1" ht="13.15" customHeight="1" x14ac:dyDescent="0.2"/>
    <row r="292" s="476" customFormat="1" ht="13.15" customHeight="1" x14ac:dyDescent="0.2"/>
    <row r="293" s="476" customFormat="1" ht="13.15" customHeight="1" x14ac:dyDescent="0.2"/>
    <row r="294" s="476" customFormat="1" ht="13.15" customHeight="1" x14ac:dyDescent="0.2"/>
    <row r="295" s="476" customFormat="1" ht="13.15" customHeight="1" x14ac:dyDescent="0.2"/>
    <row r="296" s="476" customFormat="1" ht="13.15" customHeight="1" x14ac:dyDescent="0.2"/>
    <row r="297" s="476" customFormat="1" ht="13.15" customHeight="1" x14ac:dyDescent="0.2"/>
    <row r="298" s="476" customFormat="1" ht="13.15" customHeight="1" x14ac:dyDescent="0.2"/>
    <row r="299" s="476" customFormat="1" ht="13.15" customHeight="1" x14ac:dyDescent="0.2"/>
    <row r="300" s="476" customFormat="1" ht="13.15" customHeight="1" x14ac:dyDescent="0.2"/>
    <row r="301" s="476" customFormat="1" ht="13.15" customHeight="1" x14ac:dyDescent="0.2"/>
    <row r="302" s="476" customFormat="1" ht="13.15" customHeight="1" x14ac:dyDescent="0.2"/>
    <row r="303" s="476" customFormat="1" ht="13.15" customHeight="1" x14ac:dyDescent="0.2"/>
    <row r="304" s="476" customFormat="1" ht="13.15" customHeight="1" x14ac:dyDescent="0.2"/>
    <row r="305" s="476" customFormat="1" ht="13.15" customHeight="1" x14ac:dyDescent="0.2"/>
    <row r="306" s="476" customFormat="1" ht="13.15" customHeight="1" x14ac:dyDescent="0.2"/>
    <row r="307" s="476" customFormat="1" ht="13.15" customHeight="1" x14ac:dyDescent="0.2"/>
    <row r="308" s="476" customFormat="1" ht="13.15" customHeight="1" x14ac:dyDescent="0.2"/>
    <row r="309" s="476" customFormat="1" ht="13.15" customHeight="1" x14ac:dyDescent="0.2"/>
    <row r="310" s="476" customFormat="1" ht="13.15" customHeight="1" x14ac:dyDescent="0.2"/>
    <row r="311" s="476" customFormat="1" ht="13.15" customHeight="1" x14ac:dyDescent="0.2"/>
    <row r="312" s="476" customFormat="1" ht="13.15" customHeight="1" x14ac:dyDescent="0.2"/>
    <row r="313" s="476" customFormat="1" ht="13.15" customHeight="1" x14ac:dyDescent="0.2"/>
    <row r="314" s="476" customFormat="1" ht="13.15" customHeight="1" x14ac:dyDescent="0.2"/>
    <row r="315" s="476" customFormat="1" ht="13.15" customHeight="1" x14ac:dyDescent="0.2"/>
    <row r="316" s="476" customFormat="1" ht="13.15" customHeight="1" x14ac:dyDescent="0.2"/>
    <row r="317" s="476" customFormat="1" ht="13.15" customHeight="1" x14ac:dyDescent="0.2"/>
    <row r="318" s="476" customFormat="1" ht="13.15" customHeight="1" x14ac:dyDescent="0.2"/>
    <row r="319" s="476" customFormat="1" ht="13.15" customHeight="1" x14ac:dyDescent="0.2"/>
    <row r="320" s="476" customFormat="1" ht="13.15" customHeight="1" x14ac:dyDescent="0.2"/>
    <row r="321" s="476" customFormat="1" ht="13.15" customHeight="1" x14ac:dyDescent="0.2"/>
    <row r="322" s="476" customFormat="1" ht="13.15" customHeight="1" x14ac:dyDescent="0.2"/>
    <row r="323" s="476" customFormat="1" ht="13.15" customHeight="1" x14ac:dyDescent="0.2"/>
    <row r="324" s="476" customFormat="1" ht="13.15" customHeight="1" x14ac:dyDescent="0.2"/>
    <row r="325" s="476" customFormat="1" ht="13.15" customHeight="1" x14ac:dyDescent="0.2"/>
    <row r="326" s="476" customFormat="1" ht="13.15" customHeight="1" x14ac:dyDescent="0.2"/>
    <row r="327" s="476" customFormat="1" ht="13.15" customHeight="1" x14ac:dyDescent="0.2"/>
    <row r="328" s="476" customFormat="1" ht="13.15" customHeight="1" x14ac:dyDescent="0.2"/>
    <row r="329" s="476" customFormat="1" ht="13.15" customHeight="1" x14ac:dyDescent="0.2"/>
    <row r="330" s="476" customFormat="1" ht="13.15" customHeight="1" x14ac:dyDescent="0.2"/>
    <row r="331" s="476" customFormat="1" ht="13.15" customHeight="1" x14ac:dyDescent="0.2"/>
    <row r="332" s="476" customFormat="1" ht="13.15" customHeight="1" x14ac:dyDescent="0.2"/>
    <row r="333" s="476" customFormat="1" ht="13.15" customHeight="1" x14ac:dyDescent="0.2"/>
    <row r="334" s="476" customFormat="1" ht="13.15" customHeight="1" x14ac:dyDescent="0.2"/>
    <row r="335" s="476" customFormat="1" ht="13.15" customHeight="1" x14ac:dyDescent="0.2"/>
    <row r="336" s="476" customFormat="1" ht="13.15" customHeight="1" x14ac:dyDescent="0.2"/>
    <row r="337" s="476" customFormat="1" ht="13.15" customHeight="1" x14ac:dyDescent="0.2"/>
    <row r="338" s="476" customFormat="1" ht="13.15" customHeight="1" x14ac:dyDescent="0.2"/>
    <row r="339" s="476" customFormat="1" ht="13.15" customHeight="1" x14ac:dyDescent="0.2"/>
    <row r="340" s="476" customFormat="1" ht="13.15" customHeight="1" x14ac:dyDescent="0.2"/>
    <row r="341" s="476" customFormat="1" ht="13.15" customHeight="1" x14ac:dyDescent="0.2"/>
    <row r="342" s="476" customFormat="1" ht="13.15" customHeight="1" x14ac:dyDescent="0.2"/>
    <row r="343" s="476" customFormat="1" ht="13.15" customHeight="1" x14ac:dyDescent="0.2"/>
    <row r="344" s="476" customFormat="1" ht="13.15" customHeight="1" x14ac:dyDescent="0.2"/>
    <row r="345" s="476" customFormat="1" ht="13.15" customHeight="1" x14ac:dyDescent="0.2"/>
    <row r="346" s="476" customFormat="1" ht="13.15" customHeight="1" x14ac:dyDescent="0.2"/>
    <row r="347" s="476" customFormat="1" ht="13.15" customHeight="1" x14ac:dyDescent="0.2"/>
    <row r="348" s="476" customFormat="1" ht="13.15" customHeight="1" x14ac:dyDescent="0.2"/>
    <row r="349" s="476" customFormat="1" ht="13.15" customHeight="1" x14ac:dyDescent="0.2"/>
    <row r="350" s="476" customFormat="1" ht="13.15" customHeight="1" x14ac:dyDescent="0.2"/>
    <row r="351" s="476" customFormat="1" ht="13.15" customHeight="1" x14ac:dyDescent="0.2"/>
    <row r="352" s="476" customFormat="1" ht="13.15" customHeight="1" x14ac:dyDescent="0.2"/>
    <row r="353" s="476" customFormat="1" ht="13.15" customHeight="1" x14ac:dyDescent="0.2"/>
    <row r="354" s="476" customFormat="1" ht="13.15" customHeight="1" x14ac:dyDescent="0.2"/>
    <row r="355" s="476" customFormat="1" ht="13.15" customHeight="1" x14ac:dyDescent="0.2"/>
    <row r="356" s="476" customFormat="1" ht="13.15" customHeight="1" x14ac:dyDescent="0.2"/>
    <row r="357" s="476" customFormat="1" ht="13.15" customHeight="1" x14ac:dyDescent="0.2"/>
    <row r="358" s="476" customFormat="1" ht="13.15" customHeight="1" x14ac:dyDescent="0.2"/>
    <row r="359" s="476" customFormat="1" ht="13.15" customHeight="1" x14ac:dyDescent="0.2"/>
    <row r="360" s="476" customFormat="1" ht="13.15" customHeight="1" x14ac:dyDescent="0.2"/>
    <row r="361" s="476" customFormat="1" ht="13.15" customHeight="1" x14ac:dyDescent="0.2"/>
    <row r="362" s="476" customFormat="1" ht="13.15" customHeight="1" x14ac:dyDescent="0.2"/>
    <row r="363" s="476" customFormat="1" ht="13.15" customHeight="1" x14ac:dyDescent="0.2"/>
    <row r="364" s="476" customFormat="1" ht="13.15" customHeight="1" x14ac:dyDescent="0.2"/>
    <row r="365" s="476" customFormat="1" ht="13.15" customHeight="1" x14ac:dyDescent="0.2"/>
    <row r="366" s="476" customFormat="1" ht="13.15" customHeight="1" x14ac:dyDescent="0.2"/>
    <row r="367" s="476" customFormat="1" ht="13.15" customHeight="1" x14ac:dyDescent="0.2"/>
    <row r="368" s="476" customFormat="1" ht="13.15" customHeight="1" x14ac:dyDescent="0.2"/>
    <row r="369" s="476" customFormat="1" ht="13.15" customHeight="1" x14ac:dyDescent="0.2"/>
    <row r="370" s="476" customFormat="1" ht="13.15" customHeight="1" x14ac:dyDescent="0.2"/>
    <row r="371" s="476" customFormat="1" ht="13.15" customHeight="1" x14ac:dyDescent="0.2"/>
    <row r="372" s="476" customFormat="1" ht="13.15" customHeight="1" x14ac:dyDescent="0.2"/>
    <row r="373" s="476" customFormat="1" ht="13.15" customHeight="1" x14ac:dyDescent="0.2"/>
    <row r="374" s="476" customFormat="1" ht="13.15" customHeight="1" x14ac:dyDescent="0.2"/>
    <row r="375" s="476" customFormat="1" ht="13.15" customHeight="1" x14ac:dyDescent="0.2"/>
    <row r="376" s="476" customFormat="1" ht="13.15" customHeight="1" x14ac:dyDescent="0.2"/>
    <row r="377" s="476" customFormat="1" ht="13.15" customHeight="1" x14ac:dyDescent="0.2"/>
    <row r="378" s="476" customFormat="1" ht="13.15" customHeight="1" x14ac:dyDescent="0.2"/>
    <row r="379" s="476" customFormat="1" ht="13.15" customHeight="1" x14ac:dyDescent="0.2"/>
    <row r="380" s="476" customFormat="1" ht="13.15" customHeight="1" x14ac:dyDescent="0.2"/>
    <row r="381" s="476" customFormat="1" ht="13.15" customHeight="1" x14ac:dyDescent="0.2"/>
    <row r="382" s="476" customFormat="1" ht="13.15" customHeight="1" x14ac:dyDescent="0.2"/>
    <row r="383" s="476" customFormat="1" ht="13.15" customHeight="1" x14ac:dyDescent="0.2"/>
    <row r="384" s="476" customFormat="1" ht="13.15" customHeight="1" x14ac:dyDescent="0.2"/>
    <row r="385" s="476" customFormat="1" ht="13.15" customHeight="1" x14ac:dyDescent="0.2"/>
    <row r="386" s="476" customFormat="1" ht="13.15" customHeight="1" x14ac:dyDescent="0.2"/>
    <row r="387" s="476" customFormat="1" ht="13.15" customHeight="1" x14ac:dyDescent="0.2"/>
    <row r="388" s="476" customFormat="1" ht="13.15" customHeight="1" x14ac:dyDescent="0.2"/>
    <row r="389" s="476" customFormat="1" ht="13.15" customHeight="1" x14ac:dyDescent="0.2"/>
    <row r="390" s="476" customFormat="1" ht="13.15" customHeight="1" x14ac:dyDescent="0.2"/>
    <row r="391" s="476" customFormat="1" ht="13.15" customHeight="1" x14ac:dyDescent="0.2"/>
    <row r="392" s="476" customFormat="1" ht="13.15" customHeight="1" x14ac:dyDescent="0.2"/>
    <row r="393" s="476" customFormat="1" ht="13.15" customHeight="1" x14ac:dyDescent="0.2"/>
    <row r="394" s="476" customFormat="1" ht="13.15" customHeight="1" x14ac:dyDescent="0.2"/>
    <row r="395" s="476" customFormat="1" ht="13.15" customHeight="1" x14ac:dyDescent="0.2"/>
    <row r="396" s="476" customFormat="1" ht="13.15" customHeight="1" x14ac:dyDescent="0.2"/>
    <row r="397" s="476" customFormat="1" ht="13.15" customHeight="1" x14ac:dyDescent="0.2"/>
    <row r="398" s="476" customFormat="1" ht="13.15" customHeight="1" x14ac:dyDescent="0.2"/>
    <row r="399" s="476" customFormat="1" ht="13.15" customHeight="1" x14ac:dyDescent="0.2"/>
    <row r="400" s="476" customFormat="1" ht="13.15" customHeight="1" x14ac:dyDescent="0.2"/>
    <row r="401" s="476" customFormat="1" ht="13.15" customHeight="1" x14ac:dyDescent="0.2"/>
    <row r="402" s="476" customFormat="1" ht="13.15" customHeight="1" x14ac:dyDescent="0.2"/>
    <row r="403" s="476" customFormat="1" ht="13.15" customHeight="1" x14ac:dyDescent="0.2"/>
    <row r="404" s="476" customFormat="1" ht="13.15" customHeight="1" x14ac:dyDescent="0.2"/>
    <row r="405" s="476" customFormat="1" ht="13.15" customHeight="1" x14ac:dyDescent="0.2"/>
    <row r="406" s="476" customFormat="1" ht="13.15" customHeight="1" x14ac:dyDescent="0.2"/>
    <row r="407" s="476" customFormat="1" ht="13.15" customHeight="1" x14ac:dyDescent="0.2"/>
    <row r="408" s="476" customFormat="1" ht="13.15" customHeight="1" x14ac:dyDescent="0.2"/>
    <row r="409" s="476" customFormat="1" ht="13.15" customHeight="1" x14ac:dyDescent="0.2"/>
    <row r="410" s="476" customFormat="1" ht="13.15" customHeight="1" x14ac:dyDescent="0.2"/>
    <row r="411" s="476" customFormat="1" ht="13.15" customHeight="1" x14ac:dyDescent="0.2"/>
    <row r="412" s="476" customFormat="1" ht="13.15" customHeight="1" x14ac:dyDescent="0.2"/>
    <row r="413" s="476" customFormat="1" ht="13.15" customHeight="1" x14ac:dyDescent="0.2"/>
    <row r="414" s="476" customFormat="1" ht="13.15" customHeight="1" x14ac:dyDescent="0.2"/>
    <row r="415" s="476" customFormat="1" ht="13.15" customHeight="1" x14ac:dyDescent="0.2"/>
    <row r="416" s="476" customFormat="1" ht="13.15" customHeight="1" x14ac:dyDescent="0.2"/>
    <row r="417" s="476" customFormat="1" ht="13.15" customHeight="1" x14ac:dyDescent="0.2"/>
    <row r="418" s="476" customFormat="1" ht="13.15" customHeight="1" x14ac:dyDescent="0.2"/>
    <row r="419" s="476" customFormat="1" ht="13.15" customHeight="1" x14ac:dyDescent="0.2"/>
    <row r="420" s="476" customFormat="1" ht="13.15" customHeight="1" x14ac:dyDescent="0.2"/>
    <row r="421" s="476" customFormat="1" ht="13.15" customHeight="1" x14ac:dyDescent="0.2"/>
    <row r="422" s="476" customFormat="1" ht="13.15" customHeight="1" x14ac:dyDescent="0.2"/>
    <row r="423" s="476" customFormat="1" ht="13.15" customHeight="1" x14ac:dyDescent="0.2"/>
    <row r="424" s="476" customFormat="1" ht="13.15" customHeight="1" x14ac:dyDescent="0.2"/>
    <row r="425" s="476" customFormat="1" ht="13.15" customHeight="1" x14ac:dyDescent="0.2"/>
    <row r="426" s="476" customFormat="1" ht="13.15" customHeight="1" x14ac:dyDescent="0.2"/>
    <row r="427" s="476" customFormat="1" ht="13.15" customHeight="1" x14ac:dyDescent="0.2"/>
    <row r="428" s="476" customFormat="1" ht="13.15" customHeight="1" x14ac:dyDescent="0.2"/>
    <row r="429" s="476" customFormat="1" ht="13.15" customHeight="1" x14ac:dyDescent="0.2"/>
    <row r="430" s="476" customFormat="1" ht="13.15" customHeight="1" x14ac:dyDescent="0.2"/>
    <row r="431" s="476" customFormat="1" ht="13.15" customHeight="1" x14ac:dyDescent="0.2"/>
    <row r="432" s="476" customFormat="1" ht="13.15" customHeight="1" x14ac:dyDescent="0.2"/>
    <row r="433" s="476" customFormat="1" ht="13.15" customHeight="1" x14ac:dyDescent="0.2"/>
    <row r="434" s="476" customFormat="1" ht="13.15" customHeight="1" x14ac:dyDescent="0.2"/>
    <row r="435" s="476" customFormat="1" ht="13.15" customHeight="1" x14ac:dyDescent="0.2"/>
    <row r="436" s="476" customFormat="1" ht="13.15" customHeight="1" x14ac:dyDescent="0.2"/>
    <row r="437" s="476" customFormat="1" ht="13.15" customHeight="1" x14ac:dyDescent="0.2"/>
    <row r="438" s="476" customFormat="1" ht="13.15" customHeight="1" x14ac:dyDescent="0.2"/>
    <row r="439" s="476" customFormat="1" ht="13.15" customHeight="1" x14ac:dyDescent="0.2"/>
    <row r="440" s="476" customFormat="1" ht="13.15" customHeight="1" x14ac:dyDescent="0.2"/>
    <row r="441" s="476" customFormat="1" ht="13.15" customHeight="1" x14ac:dyDescent="0.2"/>
    <row r="442" s="476" customFormat="1" ht="13.15" customHeight="1" x14ac:dyDescent="0.2"/>
    <row r="443" s="476" customFormat="1" ht="13.15" customHeight="1" x14ac:dyDescent="0.2"/>
    <row r="444" s="476" customFormat="1" ht="13.15" customHeight="1" x14ac:dyDescent="0.2"/>
    <row r="445" s="476" customFormat="1" ht="13.15" customHeight="1" x14ac:dyDescent="0.2"/>
    <row r="446" s="476" customFormat="1" ht="13.15" customHeight="1" x14ac:dyDescent="0.2"/>
    <row r="447" s="476" customFormat="1" ht="13.15" customHeight="1" x14ac:dyDescent="0.2"/>
    <row r="448" s="476" customFormat="1" ht="13.15" customHeight="1" x14ac:dyDescent="0.2"/>
    <row r="449" s="476" customFormat="1" ht="13.15" customHeight="1" x14ac:dyDescent="0.2"/>
    <row r="450" s="476" customFormat="1" ht="13.15" customHeight="1" x14ac:dyDescent="0.2"/>
    <row r="451" s="476" customFormat="1" ht="13.15" customHeight="1" x14ac:dyDescent="0.2"/>
    <row r="452" s="476" customFormat="1" ht="13.15" customHeight="1" x14ac:dyDescent="0.2"/>
    <row r="453" s="476" customFormat="1" ht="13.15" customHeight="1" x14ac:dyDescent="0.2"/>
    <row r="454" s="476" customFormat="1" ht="13.15" customHeight="1" x14ac:dyDescent="0.2"/>
    <row r="455" s="476" customFormat="1" ht="13.15" customHeight="1" x14ac:dyDescent="0.2"/>
    <row r="456" s="476" customFormat="1" ht="13.15" customHeight="1" x14ac:dyDescent="0.2"/>
    <row r="457" s="476" customFormat="1" ht="13.15" customHeight="1" x14ac:dyDescent="0.2"/>
    <row r="458" s="476" customFormat="1" ht="13.15" customHeight="1" x14ac:dyDescent="0.2"/>
    <row r="459" s="476" customFormat="1" ht="13.15" customHeight="1" x14ac:dyDescent="0.2"/>
    <row r="460" s="476" customFormat="1" ht="13.15" customHeight="1" x14ac:dyDescent="0.2"/>
    <row r="461" s="476" customFormat="1" ht="13.15" customHeight="1" x14ac:dyDescent="0.2"/>
    <row r="462" s="476" customFormat="1" ht="13.15" customHeight="1" x14ac:dyDescent="0.2"/>
    <row r="463" s="476" customFormat="1" ht="13.15" customHeight="1" x14ac:dyDescent="0.2"/>
    <row r="464" s="476" customFormat="1" ht="13.15" customHeight="1" x14ac:dyDescent="0.2"/>
    <row r="465" s="476" customFormat="1" ht="13.15" customHeight="1" x14ac:dyDescent="0.2"/>
    <row r="466" s="476" customFormat="1" ht="13.15" customHeight="1" x14ac:dyDescent="0.2"/>
    <row r="467" s="476" customFormat="1" ht="13.15" customHeight="1" x14ac:dyDescent="0.2"/>
    <row r="468" s="476" customFormat="1" ht="13.15" customHeight="1" x14ac:dyDescent="0.2"/>
    <row r="469" s="476" customFormat="1" ht="13.15" customHeight="1" x14ac:dyDescent="0.2"/>
    <row r="470" s="476" customFormat="1" ht="13.15" customHeight="1" x14ac:dyDescent="0.2"/>
    <row r="471" s="476" customFormat="1" ht="13.15" customHeight="1" x14ac:dyDescent="0.2"/>
    <row r="472" s="476" customFormat="1" ht="13.15" customHeight="1" x14ac:dyDescent="0.2"/>
    <row r="473" s="476" customFormat="1" ht="13.15" customHeight="1" x14ac:dyDescent="0.2"/>
    <row r="474" s="476" customFormat="1" ht="13.15" customHeight="1" x14ac:dyDescent="0.2"/>
    <row r="475" s="476" customFormat="1" ht="13.15" customHeight="1" x14ac:dyDescent="0.2"/>
    <row r="476" s="476" customFormat="1" ht="13.15" customHeight="1" x14ac:dyDescent="0.2"/>
    <row r="477" s="476" customFormat="1" ht="13.15" customHeight="1" x14ac:dyDescent="0.2"/>
    <row r="478" s="476" customFormat="1" ht="13.15" customHeight="1" x14ac:dyDescent="0.2"/>
    <row r="479" s="476" customFormat="1" ht="13.15" customHeight="1" x14ac:dyDescent="0.2"/>
    <row r="480" s="476" customFormat="1" ht="13.15" customHeight="1" x14ac:dyDescent="0.2"/>
    <row r="481" s="476" customFormat="1" ht="13.15" customHeight="1" x14ac:dyDescent="0.2"/>
    <row r="482" s="476" customFormat="1" ht="13.15" customHeight="1" x14ac:dyDescent="0.2"/>
    <row r="483" s="476" customFormat="1" ht="13.15" customHeight="1" x14ac:dyDescent="0.2"/>
    <row r="484" s="476" customFormat="1" ht="13.15" customHeight="1" x14ac:dyDescent="0.2"/>
    <row r="485" s="476" customFormat="1" ht="13.15" customHeight="1" x14ac:dyDescent="0.2"/>
    <row r="486" s="476" customFormat="1" ht="13.15" customHeight="1" x14ac:dyDescent="0.2"/>
    <row r="487" s="476" customFormat="1" ht="13.15" customHeight="1" x14ac:dyDescent="0.2"/>
    <row r="488" s="476" customFormat="1" ht="13.15" customHeight="1" x14ac:dyDescent="0.2"/>
    <row r="489" s="476" customFormat="1" ht="13.15" customHeight="1" x14ac:dyDescent="0.2"/>
    <row r="490" s="476" customFormat="1" ht="13.15" customHeight="1" x14ac:dyDescent="0.2"/>
    <row r="491" s="476" customFormat="1" ht="13.15" customHeight="1" x14ac:dyDescent="0.2"/>
    <row r="492" s="476" customFormat="1" ht="13.15" customHeight="1" x14ac:dyDescent="0.2"/>
    <row r="493" s="476" customFormat="1" ht="13.15" customHeight="1" x14ac:dyDescent="0.2"/>
  </sheetData>
  <sheetProtection algorithmName="SHA-512" hashValue="ASCUrZhHJdAr/lKMpTJ57MxSMC2BMEES20RRY4uukiCVWqQ/GsorRO6QORYoxmsMD9mPYOMDiaenmd0LZNwh+w==" saltValue="7Wy9XBPrROlHqDXpxuzWKw==" spinCount="100000" sheet="1" objects="1" scenarios="1"/>
  <phoneticPr fontId="0" type="noConversion"/>
  <pageMargins left="0.74803149606299213" right="0.74803149606299213" top="0.98425196850393704" bottom="0.98425196850393704" header="0.51181102362204722" footer="0.51181102362204722"/>
  <pageSetup paperSize="9" scale="58" orientation="portrait" r:id="rId1"/>
  <headerFooter alignWithMargins="0">
    <oddHeader>&amp;L&amp;F&amp;R&amp;"Arial,Vet"&amp;A</oddHeader>
    <oddFooter>&amp;L&amp;"Arial,Vet"keizer / goedhart&amp;C&amp;"Arial,Vet"pagina &amp;P&amp;R&amp;"Arial,Vet"&amp;D</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29"/>
  <sheetViews>
    <sheetView zoomScale="85" zoomScaleNormal="85" workbookViewId="0">
      <selection activeCell="B2" sqref="B2"/>
    </sheetView>
  </sheetViews>
  <sheetFormatPr defaultColWidth="9.140625" defaultRowHeight="13.15" customHeight="1" x14ac:dyDescent="0.2"/>
  <cols>
    <col min="1" max="1" width="3.7109375" style="476" customWidth="1"/>
    <col min="2" max="3" width="2.7109375" style="131" customWidth="1"/>
    <col min="4" max="4" width="35.5703125" style="131" customWidth="1"/>
    <col min="5" max="5" width="10.7109375" style="131" customWidth="1"/>
    <col min="6" max="6" width="2.7109375" style="131" customWidth="1"/>
    <col min="7" max="7" width="16.7109375" style="131" customWidth="1"/>
    <col min="8" max="12" width="16.5703125" style="134" customWidth="1"/>
    <col min="13" max="13" width="2.7109375" style="134" customWidth="1"/>
    <col min="14" max="14" width="2.7109375" style="131" customWidth="1"/>
    <col min="15" max="15" width="11.42578125" style="935" customWidth="1"/>
    <col min="16" max="16" width="33.7109375" style="476" customWidth="1"/>
    <col min="17" max="17" width="2.5703125" style="476" customWidth="1"/>
    <col min="18" max="22" width="10.7109375" style="476" customWidth="1"/>
    <col min="23" max="23" width="2.7109375" style="476" customWidth="1"/>
    <col min="24" max="40" width="9.140625" style="476"/>
    <col min="41" max="16384" width="9.140625" style="131"/>
  </cols>
  <sheetData>
    <row r="1" spans="1:40" s="476" customFormat="1" ht="13.15" customHeight="1" x14ac:dyDescent="0.2">
      <c r="H1" s="614"/>
      <c r="I1" s="614"/>
      <c r="J1" s="614"/>
      <c r="K1" s="614"/>
      <c r="L1" s="614"/>
      <c r="M1" s="614"/>
      <c r="O1" s="935"/>
    </row>
    <row r="2" spans="1:40" ht="13.15" customHeight="1" x14ac:dyDescent="0.2">
      <c r="B2" s="82"/>
      <c r="C2" s="83"/>
      <c r="D2" s="83"/>
      <c r="E2" s="83"/>
      <c r="F2" s="83"/>
      <c r="G2" s="83"/>
      <c r="H2" s="84"/>
      <c r="I2" s="84"/>
      <c r="J2" s="84"/>
      <c r="K2" s="84"/>
      <c r="L2" s="600"/>
      <c r="M2" s="460"/>
      <c r="N2" s="85"/>
      <c r="P2" s="614"/>
    </row>
    <row r="3" spans="1:40" ht="13.15" customHeight="1" x14ac:dyDescent="0.2">
      <c r="B3" s="86"/>
      <c r="C3" s="87"/>
      <c r="D3" s="87"/>
      <c r="E3" s="87"/>
      <c r="F3" s="87"/>
      <c r="G3" s="87"/>
      <c r="H3" s="80"/>
      <c r="I3" s="80"/>
      <c r="J3" s="80"/>
      <c r="K3" s="80"/>
      <c r="L3" s="80"/>
      <c r="M3" s="80"/>
      <c r="N3" s="88"/>
    </row>
    <row r="4" spans="1:40" s="334" customFormat="1" ht="18" customHeight="1" x14ac:dyDescent="0.3">
      <c r="A4" s="929"/>
      <c r="B4" s="768"/>
      <c r="C4" s="204" t="s">
        <v>116</v>
      </c>
      <c r="D4" s="53"/>
      <c r="E4" s="53"/>
      <c r="F4" s="53"/>
      <c r="G4" s="53"/>
      <c r="H4" s="62"/>
      <c r="I4" s="62"/>
      <c r="J4" s="62"/>
      <c r="K4" s="62"/>
      <c r="L4" s="62"/>
      <c r="M4" s="62"/>
      <c r="N4" s="333"/>
      <c r="O4" s="936"/>
      <c r="P4" s="929"/>
      <c r="Q4" s="929"/>
      <c r="R4" s="929"/>
      <c r="S4" s="929"/>
      <c r="T4" s="929"/>
      <c r="U4" s="929"/>
      <c r="V4" s="929"/>
      <c r="W4" s="929"/>
      <c r="X4" s="929"/>
      <c r="Y4" s="929"/>
      <c r="Z4" s="929"/>
      <c r="AA4" s="929"/>
      <c r="AB4" s="929"/>
      <c r="AC4" s="929"/>
      <c r="AD4" s="929"/>
      <c r="AE4" s="929"/>
      <c r="AF4" s="929"/>
      <c r="AG4" s="929"/>
      <c r="AH4" s="929"/>
      <c r="AI4" s="929"/>
      <c r="AJ4" s="929"/>
      <c r="AK4" s="929"/>
      <c r="AL4" s="929"/>
      <c r="AM4" s="929"/>
      <c r="AN4" s="929"/>
    </row>
    <row r="5" spans="1:40" s="239" customFormat="1" ht="15.6" customHeight="1" x14ac:dyDescent="0.25">
      <c r="A5" s="705"/>
      <c r="B5" s="771"/>
      <c r="C5" s="741" t="str">
        <f>'geg LO'!G8</f>
        <v>SWV PO Passend Onderwijs</v>
      </c>
      <c r="D5" s="259"/>
      <c r="E5" s="259"/>
      <c r="F5" s="259"/>
      <c r="G5" s="259"/>
      <c r="H5" s="742"/>
      <c r="I5" s="742"/>
      <c r="J5" s="742"/>
      <c r="K5" s="763"/>
      <c r="L5" s="763"/>
      <c r="M5" s="742"/>
      <c r="N5" s="269"/>
      <c r="O5" s="714"/>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N5" s="705"/>
    </row>
    <row r="6" spans="1:40" ht="13.15" customHeight="1" x14ac:dyDescent="0.2">
      <c r="B6" s="34"/>
      <c r="C6" s="312"/>
      <c r="D6" s="87"/>
      <c r="E6" s="87"/>
      <c r="F6" s="87"/>
      <c r="G6" s="87"/>
      <c r="H6" s="80"/>
      <c r="I6" s="80"/>
      <c r="J6" s="80"/>
      <c r="K6" s="80"/>
      <c r="L6" s="80"/>
      <c r="M6" s="80"/>
      <c r="N6" s="88"/>
    </row>
    <row r="7" spans="1:40" ht="13.15" customHeight="1" x14ac:dyDescent="0.2">
      <c r="B7" s="34"/>
      <c r="C7" s="312"/>
      <c r="D7" s="87"/>
      <c r="E7" s="87"/>
      <c r="F7" s="87"/>
      <c r="G7" s="87"/>
      <c r="H7" s="80"/>
      <c r="I7" s="313"/>
      <c r="J7" s="80"/>
      <c r="K7" s="80"/>
      <c r="L7" s="80"/>
      <c r="M7" s="80"/>
      <c r="N7" s="88"/>
    </row>
    <row r="8" spans="1:40" s="224" customFormat="1" ht="13.15" customHeight="1" x14ac:dyDescent="0.2">
      <c r="A8" s="703"/>
      <c r="B8" s="314"/>
      <c r="C8" s="315"/>
      <c r="D8" s="316"/>
      <c r="E8" s="316"/>
      <c r="F8" s="227"/>
      <c r="G8" s="806">
        <v>2014</v>
      </c>
      <c r="H8" s="806">
        <f>tab!C4</f>
        <v>2015</v>
      </c>
      <c r="I8" s="806">
        <f>tab!D4</f>
        <v>2016</v>
      </c>
      <c r="J8" s="806">
        <f>tab!E4</f>
        <v>2017</v>
      </c>
      <c r="K8" s="806">
        <f>tab!F4</f>
        <v>2018</v>
      </c>
      <c r="L8" s="806">
        <f>tab!G4</f>
        <v>2019</v>
      </c>
      <c r="M8" s="317"/>
      <c r="N8" s="228"/>
      <c r="O8" s="937"/>
      <c r="P8" s="703"/>
      <c r="Q8" s="703"/>
      <c r="R8" s="703"/>
      <c r="S8" s="703"/>
      <c r="T8" s="703"/>
      <c r="U8" s="703"/>
      <c r="V8" s="703"/>
      <c r="W8" s="703"/>
      <c r="X8" s="703"/>
      <c r="Y8" s="703"/>
      <c r="Z8" s="703"/>
      <c r="AA8" s="703"/>
      <c r="AB8" s="703"/>
      <c r="AC8" s="703"/>
      <c r="AD8" s="703"/>
      <c r="AE8" s="703"/>
      <c r="AF8" s="703"/>
      <c r="AG8" s="703"/>
      <c r="AH8" s="703"/>
      <c r="AI8" s="703"/>
      <c r="AJ8" s="703"/>
      <c r="AK8" s="703"/>
      <c r="AL8" s="703"/>
      <c r="AM8" s="703"/>
      <c r="AN8" s="703"/>
    </row>
    <row r="9" spans="1:40" ht="13.15" customHeight="1" x14ac:dyDescent="0.2">
      <c r="B9" s="90"/>
      <c r="C9" s="67"/>
      <c r="D9" s="66"/>
      <c r="E9" s="66"/>
      <c r="F9" s="87"/>
      <c r="G9" s="87"/>
      <c r="H9" s="64"/>
      <c r="I9" s="64"/>
      <c r="J9" s="64"/>
      <c r="K9" s="64"/>
      <c r="L9" s="64"/>
      <c r="M9" s="64"/>
      <c r="N9" s="88"/>
    </row>
    <row r="10" spans="1:40" ht="13.15" customHeight="1" x14ac:dyDescent="0.2">
      <c r="B10" s="90"/>
      <c r="C10" s="1075"/>
      <c r="D10" s="1056"/>
      <c r="E10" s="1056"/>
      <c r="F10" s="1000"/>
      <c r="G10" s="1000"/>
      <c r="H10" s="1054"/>
      <c r="I10" s="1054"/>
      <c r="J10" s="1054"/>
      <c r="K10" s="1054"/>
      <c r="L10" s="1054"/>
      <c r="M10" s="1054"/>
      <c r="N10" s="88"/>
    </row>
    <row r="11" spans="1:40" ht="13.15" customHeight="1" x14ac:dyDescent="0.2">
      <c r="B11" s="86"/>
      <c r="C11" s="1000"/>
      <c r="D11" s="1049" t="s">
        <v>305</v>
      </c>
      <c r="E11" s="1148"/>
      <c r="F11" s="1000"/>
      <c r="G11" s="1000"/>
      <c r="H11" s="1054"/>
      <c r="I11" s="1054"/>
      <c r="J11" s="1054"/>
      <c r="K11" s="1054"/>
      <c r="L11" s="1054"/>
      <c r="M11" s="1054"/>
      <c r="N11" s="88"/>
    </row>
    <row r="12" spans="1:40" ht="13.15" customHeight="1" x14ac:dyDescent="0.2">
      <c r="B12" s="86"/>
      <c r="C12" s="1000"/>
      <c r="D12" s="1000"/>
      <c r="E12" s="1000"/>
      <c r="F12" s="1000"/>
      <c r="G12" s="1000"/>
      <c r="H12" s="1000"/>
      <c r="I12" s="1000"/>
      <c r="J12" s="1000"/>
      <c r="K12" s="1000"/>
      <c r="L12" s="1000"/>
      <c r="M12" s="1000"/>
      <c r="N12" s="154"/>
      <c r="O12" s="938"/>
      <c r="P12" s="614"/>
      <c r="Q12" s="614"/>
      <c r="R12" s="614"/>
    </row>
    <row r="13" spans="1:40" ht="13.15" customHeight="1" x14ac:dyDescent="0.2">
      <c r="B13" s="86"/>
      <c r="C13" s="1000"/>
      <c r="D13" s="1049" t="s">
        <v>227</v>
      </c>
      <c r="E13" s="1148"/>
      <c r="F13" s="1000"/>
      <c r="G13" s="1000"/>
      <c r="H13" s="1000"/>
      <c r="I13" s="1000"/>
      <c r="J13" s="1000"/>
      <c r="K13" s="1000"/>
      <c r="L13" s="1000"/>
      <c r="M13" s="1000"/>
      <c r="N13" s="88"/>
    </row>
    <row r="14" spans="1:40" ht="13.15" customHeight="1" x14ac:dyDescent="0.2">
      <c r="B14" s="86"/>
      <c r="C14" s="1000"/>
      <c r="D14" s="1000" t="s">
        <v>470</v>
      </c>
      <c r="E14" s="1000"/>
      <c r="F14" s="1000"/>
      <c r="G14" s="1262">
        <v>0</v>
      </c>
      <c r="H14" s="1262">
        <v>0</v>
      </c>
      <c r="I14" s="1262">
        <v>0</v>
      </c>
      <c r="J14" s="1262">
        <v>0</v>
      </c>
      <c r="K14" s="1262">
        <v>0</v>
      </c>
      <c r="L14" s="1262">
        <v>0</v>
      </c>
      <c r="M14" s="1076"/>
      <c r="N14" s="88"/>
    </row>
    <row r="15" spans="1:40" ht="13.15" customHeight="1" x14ac:dyDescent="0.2">
      <c r="B15" s="86"/>
      <c r="C15" s="1000"/>
      <c r="D15" s="1000" t="s">
        <v>471</v>
      </c>
      <c r="E15" s="1000"/>
      <c r="F15" s="1000"/>
      <c r="G15" s="1295">
        <f>+act!F43</f>
        <v>0</v>
      </c>
      <c r="H15" s="1295">
        <f>+act!G43</f>
        <v>0</v>
      </c>
      <c r="I15" s="1295">
        <f>+act!H43</f>
        <v>0</v>
      </c>
      <c r="J15" s="1295">
        <f>+act!I43</f>
        <v>0</v>
      </c>
      <c r="K15" s="1295">
        <f>+act!J43</f>
        <v>0</v>
      </c>
      <c r="L15" s="1295">
        <f>+act!K43</f>
        <v>0</v>
      </c>
      <c r="M15" s="1245"/>
      <c r="N15" s="88"/>
    </row>
    <row r="16" spans="1:40" ht="13.15" customHeight="1" x14ac:dyDescent="0.2">
      <c r="B16" s="86"/>
      <c r="C16" s="1000"/>
      <c r="D16" s="1000" t="s">
        <v>472</v>
      </c>
      <c r="E16" s="1000"/>
      <c r="F16" s="1000"/>
      <c r="G16" s="1262">
        <v>0</v>
      </c>
      <c r="H16" s="1262">
        <f t="shared" ref="H16:L16" si="0">G16</f>
        <v>0</v>
      </c>
      <c r="I16" s="1262">
        <f t="shared" si="0"/>
        <v>0</v>
      </c>
      <c r="J16" s="1262">
        <f t="shared" si="0"/>
        <v>0</v>
      </c>
      <c r="K16" s="1262">
        <f t="shared" si="0"/>
        <v>0</v>
      </c>
      <c r="L16" s="1262">
        <f t="shared" si="0"/>
        <v>0</v>
      </c>
      <c r="M16" s="1245"/>
      <c r="N16" s="88"/>
    </row>
    <row r="17" spans="2:22" ht="13.15" customHeight="1" x14ac:dyDescent="0.2">
      <c r="B17" s="86"/>
      <c r="C17" s="1000"/>
      <c r="D17" s="1088"/>
      <c r="E17" s="1088"/>
      <c r="F17" s="1000"/>
      <c r="G17" s="1316">
        <f t="shared" ref="G17:K17" si="1">SUM(G14:G16)</f>
        <v>0</v>
      </c>
      <c r="H17" s="1316">
        <f t="shared" si="1"/>
        <v>0</v>
      </c>
      <c r="I17" s="1316">
        <f t="shared" si="1"/>
        <v>0</v>
      </c>
      <c r="J17" s="1316">
        <f t="shared" si="1"/>
        <v>0</v>
      </c>
      <c r="K17" s="1316">
        <f t="shared" si="1"/>
        <v>0</v>
      </c>
      <c r="L17" s="1316">
        <f t="shared" ref="L17" si="2">SUM(L14:L16)</f>
        <v>0</v>
      </c>
      <c r="M17" s="1247"/>
      <c r="N17" s="88"/>
    </row>
    <row r="18" spans="2:22" ht="13.15" customHeight="1" x14ac:dyDescent="0.2">
      <c r="B18" s="86"/>
      <c r="C18" s="1000"/>
      <c r="D18" s="1049" t="s">
        <v>236</v>
      </c>
      <c r="E18" s="1148"/>
      <c r="F18" s="1000"/>
      <c r="G18" s="1000"/>
      <c r="H18" s="1245"/>
      <c r="I18" s="1245"/>
      <c r="J18" s="1245"/>
      <c r="K18" s="1245"/>
      <c r="L18" s="1245"/>
      <c r="M18" s="1245"/>
      <c r="N18" s="88"/>
    </row>
    <row r="19" spans="2:22" ht="13.15" customHeight="1" x14ac:dyDescent="0.2">
      <c r="B19" s="86"/>
      <c r="C19" s="1000"/>
      <c r="D19" s="1000" t="s">
        <v>473</v>
      </c>
      <c r="E19" s="1000"/>
      <c r="F19" s="1000"/>
      <c r="G19" s="1262">
        <v>0</v>
      </c>
      <c r="H19" s="1262">
        <f t="shared" ref="H19:L21" si="3">G19</f>
        <v>0</v>
      </c>
      <c r="I19" s="1262">
        <f t="shared" si="3"/>
        <v>0</v>
      </c>
      <c r="J19" s="1262">
        <f t="shared" si="3"/>
        <v>0</v>
      </c>
      <c r="K19" s="1262">
        <f t="shared" si="3"/>
        <v>0</v>
      </c>
      <c r="L19" s="1262">
        <f t="shared" si="3"/>
        <v>0</v>
      </c>
      <c r="M19" s="1245"/>
      <c r="N19" s="88"/>
    </row>
    <row r="20" spans="2:22" ht="13.15" customHeight="1" x14ac:dyDescent="0.2">
      <c r="B20" s="86"/>
      <c r="C20" s="1000"/>
      <c r="D20" s="1000" t="s">
        <v>474</v>
      </c>
      <c r="E20" s="1000"/>
      <c r="F20" s="1000"/>
      <c r="G20" s="1262">
        <v>0</v>
      </c>
      <c r="H20" s="1262">
        <f t="shared" si="3"/>
        <v>0</v>
      </c>
      <c r="I20" s="1262">
        <f t="shared" si="3"/>
        <v>0</v>
      </c>
      <c r="J20" s="1262">
        <f t="shared" si="3"/>
        <v>0</v>
      </c>
      <c r="K20" s="1262">
        <f t="shared" si="3"/>
        <v>0</v>
      </c>
      <c r="L20" s="1262">
        <f t="shared" si="3"/>
        <v>0</v>
      </c>
      <c r="M20" s="1245"/>
      <c r="N20" s="88"/>
    </row>
    <row r="21" spans="2:22" ht="13.15" customHeight="1" x14ac:dyDescent="0.2">
      <c r="B21" s="86"/>
      <c r="C21" s="1000"/>
      <c r="D21" s="1000" t="s">
        <v>475</v>
      </c>
      <c r="E21" s="1000"/>
      <c r="F21" s="1000"/>
      <c r="G21" s="1262">
        <v>0</v>
      </c>
      <c r="H21" s="1262">
        <f t="shared" si="3"/>
        <v>0</v>
      </c>
      <c r="I21" s="1262">
        <f t="shared" si="3"/>
        <v>0</v>
      </c>
      <c r="J21" s="1262">
        <f t="shared" si="3"/>
        <v>0</v>
      </c>
      <c r="K21" s="1262">
        <f t="shared" si="3"/>
        <v>0</v>
      </c>
      <c r="L21" s="1262">
        <f t="shared" si="3"/>
        <v>0</v>
      </c>
      <c r="M21" s="1245"/>
      <c r="N21" s="88"/>
    </row>
    <row r="22" spans="2:22" ht="13.15" customHeight="1" x14ac:dyDescent="0.2">
      <c r="B22" s="86"/>
      <c r="C22" s="1000"/>
      <c r="D22" s="1000" t="s">
        <v>476</v>
      </c>
      <c r="E22" s="1000"/>
      <c r="F22" s="1000"/>
      <c r="G22" s="1270">
        <v>0</v>
      </c>
      <c r="H22" s="1249">
        <f>H57-(H17+(SUM(H19:H21)))</f>
        <v>0</v>
      </c>
      <c r="I22" s="1249">
        <f>I57-(I17+(SUM(I19:I21)))</f>
        <v>-78849.180000000022</v>
      </c>
      <c r="J22" s="1249">
        <f>J57-(J17+(SUM(J19:J21)))</f>
        <v>-161454.60000000003</v>
      </c>
      <c r="K22" s="1249">
        <f>K57-(K17+(SUM(K19:K21)))</f>
        <v>-246851.28000000006</v>
      </c>
      <c r="L22" s="1249">
        <f t="shared" ref="L22" si="4">L57-(L17+(SUM(L19:L21)))</f>
        <v>-333631.44000000006</v>
      </c>
      <c r="M22" s="1245"/>
      <c r="N22" s="88"/>
    </row>
    <row r="23" spans="2:22" ht="13.15" customHeight="1" x14ac:dyDescent="0.2">
      <c r="B23" s="86"/>
      <c r="C23" s="1000"/>
      <c r="D23" s="1088"/>
      <c r="E23" s="1088"/>
      <c r="F23" s="1000"/>
      <c r="G23" s="1317">
        <f>SUM(G20:G22)</f>
        <v>0</v>
      </c>
      <c r="H23" s="1317">
        <f t="shared" ref="H23:K23" si="5">SUM(H19:H22)</f>
        <v>0</v>
      </c>
      <c r="I23" s="1317">
        <f t="shared" si="5"/>
        <v>-78849.180000000022</v>
      </c>
      <c r="J23" s="1317">
        <f t="shared" si="5"/>
        <v>-161454.60000000003</v>
      </c>
      <c r="K23" s="1317">
        <f t="shared" si="5"/>
        <v>-246851.28000000006</v>
      </c>
      <c r="L23" s="1317">
        <f t="shared" ref="L23" si="6">SUM(L19:L22)</f>
        <v>-333631.44000000006</v>
      </c>
      <c r="M23" s="1247"/>
      <c r="N23" s="88"/>
    </row>
    <row r="24" spans="2:22" ht="13.15" customHeight="1" x14ac:dyDescent="0.2">
      <c r="B24" s="86"/>
      <c r="C24" s="1000"/>
      <c r="D24" s="1000"/>
      <c r="E24" s="1000"/>
      <c r="F24" s="1000"/>
      <c r="G24" s="1000"/>
      <c r="H24" s="1000"/>
      <c r="I24" s="1000"/>
      <c r="J24" s="1000"/>
      <c r="K24" s="1000"/>
      <c r="L24" s="1000"/>
      <c r="M24" s="1000"/>
      <c r="N24" s="88"/>
    </row>
    <row r="25" spans="2:22" ht="13.15" customHeight="1" x14ac:dyDescent="0.2">
      <c r="B25" s="86"/>
      <c r="C25" s="1000"/>
      <c r="D25" s="1088" t="s">
        <v>378</v>
      </c>
      <c r="E25" s="1088"/>
      <c r="F25" s="1085"/>
      <c r="G25" s="1255">
        <f t="shared" ref="G25:K25" si="7">G17+G23</f>
        <v>0</v>
      </c>
      <c r="H25" s="1255">
        <f t="shared" si="7"/>
        <v>0</v>
      </c>
      <c r="I25" s="1255">
        <f t="shared" si="7"/>
        <v>-78849.180000000022</v>
      </c>
      <c r="J25" s="1255">
        <f t="shared" si="7"/>
        <v>-161454.60000000003</v>
      </c>
      <c r="K25" s="1255">
        <f t="shared" si="7"/>
        <v>-246851.28000000006</v>
      </c>
      <c r="L25" s="1255">
        <f t="shared" ref="L25" si="8">L17+L23</f>
        <v>-333631.44000000006</v>
      </c>
      <c r="M25" s="1247"/>
      <c r="N25" s="88"/>
    </row>
    <row r="26" spans="2:22" ht="13.15" customHeight="1" x14ac:dyDescent="0.2">
      <c r="B26" s="86"/>
      <c r="C26" s="1000"/>
      <c r="D26" s="1000"/>
      <c r="E26" s="1000"/>
      <c r="F26" s="1085"/>
      <c r="G26" s="1085"/>
      <c r="H26" s="1076"/>
      <c r="I26" s="1076"/>
      <c r="J26" s="1076"/>
      <c r="K26" s="1076"/>
      <c r="L26" s="1076"/>
      <c r="M26" s="1076"/>
      <c r="N26" s="88"/>
      <c r="P26" s="907"/>
      <c r="R26" s="939"/>
      <c r="S26" s="939"/>
      <c r="T26" s="939"/>
      <c r="U26" s="939"/>
      <c r="V26" s="939"/>
    </row>
    <row r="27" spans="2:22" ht="13.15" customHeight="1" x14ac:dyDescent="0.2">
      <c r="B27" s="86"/>
      <c r="C27" s="87"/>
      <c r="D27" s="87"/>
      <c r="E27" s="87"/>
      <c r="F27" s="318"/>
      <c r="G27" s="318"/>
      <c r="H27" s="80"/>
      <c r="I27" s="80"/>
      <c r="J27" s="80"/>
      <c r="K27" s="80"/>
      <c r="L27" s="80"/>
      <c r="M27" s="80"/>
      <c r="N27" s="88"/>
      <c r="P27" s="907"/>
      <c r="R27" s="939"/>
      <c r="S27" s="939"/>
      <c r="T27" s="939"/>
      <c r="U27" s="939"/>
      <c r="V27" s="939"/>
    </row>
    <row r="28" spans="2:22" ht="13.15" customHeight="1" x14ac:dyDescent="0.2">
      <c r="B28" s="86"/>
      <c r="C28" s="1000"/>
      <c r="D28" s="1000"/>
      <c r="E28" s="1000"/>
      <c r="F28" s="1085"/>
      <c r="G28" s="1085"/>
      <c r="H28" s="1085"/>
      <c r="I28" s="1085"/>
      <c r="J28" s="1085"/>
      <c r="K28" s="1085"/>
      <c r="L28" s="1085"/>
      <c r="M28" s="1085"/>
      <c r="N28" s="88"/>
      <c r="P28" s="907"/>
      <c r="R28" s="939"/>
      <c r="S28" s="939"/>
      <c r="T28" s="939"/>
      <c r="U28" s="939"/>
      <c r="V28" s="939"/>
    </row>
    <row r="29" spans="2:22" ht="13.15" customHeight="1" x14ac:dyDescent="0.2">
      <c r="B29" s="86"/>
      <c r="C29" s="1000"/>
      <c r="D29" s="1049" t="s">
        <v>377</v>
      </c>
      <c r="E29" s="1148"/>
      <c r="F29" s="1000"/>
      <c r="G29" s="1085"/>
      <c r="H29" s="1076"/>
      <c r="I29" s="1076"/>
      <c r="J29" s="1076"/>
      <c r="K29" s="1076"/>
      <c r="L29" s="1076"/>
      <c r="M29" s="1076"/>
      <c r="N29" s="88"/>
      <c r="P29" s="907"/>
      <c r="R29" s="939"/>
      <c r="S29" s="939"/>
      <c r="T29" s="939"/>
      <c r="U29" s="939"/>
      <c r="V29" s="939"/>
    </row>
    <row r="30" spans="2:22" ht="13.15" customHeight="1" x14ac:dyDescent="0.2">
      <c r="B30" s="86"/>
      <c r="C30" s="1053"/>
      <c r="D30" s="1180"/>
      <c r="E30" s="1000"/>
      <c r="F30" s="1085"/>
      <c r="G30" s="1085"/>
      <c r="H30" s="1076"/>
      <c r="I30" s="1076"/>
      <c r="J30" s="1076"/>
      <c r="K30" s="1076"/>
      <c r="L30" s="1076"/>
      <c r="M30" s="1076"/>
      <c r="N30" s="88"/>
      <c r="P30" s="907"/>
      <c r="R30" s="939"/>
      <c r="S30" s="939"/>
      <c r="T30" s="939"/>
      <c r="U30" s="939"/>
      <c r="V30" s="939"/>
    </row>
    <row r="31" spans="2:22" ht="13.15" customHeight="1" x14ac:dyDescent="0.2">
      <c r="B31" s="86"/>
      <c r="C31" s="1000"/>
      <c r="D31" s="1049" t="s">
        <v>477</v>
      </c>
      <c r="E31" s="1148"/>
      <c r="F31" s="1000"/>
      <c r="G31" s="1085"/>
      <c r="H31" s="1245"/>
      <c r="I31" s="1076"/>
      <c r="J31" s="1076"/>
      <c r="K31" s="1076"/>
      <c r="L31" s="1076"/>
      <c r="M31" s="1247"/>
      <c r="N31" s="88"/>
      <c r="P31" s="907"/>
      <c r="R31" s="939"/>
      <c r="S31" s="939"/>
      <c r="T31" s="939"/>
      <c r="U31" s="939"/>
      <c r="V31" s="939"/>
    </row>
    <row r="32" spans="2:22" ht="13.15" customHeight="1" x14ac:dyDescent="0.2">
      <c r="B32" s="86"/>
      <c r="C32" s="1000"/>
      <c r="D32" s="1000" t="s">
        <v>379</v>
      </c>
      <c r="E32" s="1000"/>
      <c r="F32" s="1000"/>
      <c r="G32" s="1318">
        <f>G25-(G33+G34+G35+G42+G46+G55)</f>
        <v>0</v>
      </c>
      <c r="H32" s="1318">
        <f>G36+begr!F44-SUM(bal!H33:H35)</f>
        <v>0</v>
      </c>
      <c r="I32" s="1249">
        <f>H36+begr!G44-SUM(I33:I35)</f>
        <v>-78849.180000000022</v>
      </c>
      <c r="J32" s="1249">
        <f>I36+begr!H44-SUM(J33:J35)</f>
        <v>-161454.60000000003</v>
      </c>
      <c r="K32" s="1249">
        <f>J36+begr!I44-SUM(K33:K35)</f>
        <v>-246851.28000000006</v>
      </c>
      <c r="L32" s="1249">
        <f>K36+begr!J44-SUM(L33:L35)</f>
        <v>-333631.44000000006</v>
      </c>
      <c r="M32" s="1000"/>
      <c r="N32" s="88"/>
      <c r="P32" s="907"/>
      <c r="R32" s="939"/>
      <c r="S32" s="939"/>
      <c r="T32" s="939"/>
      <c r="U32" s="939"/>
      <c r="V32" s="939"/>
    </row>
    <row r="33" spans="2:22" ht="13.15" customHeight="1" x14ac:dyDescent="0.2">
      <c r="B33" s="86"/>
      <c r="C33" s="1000"/>
      <c r="D33" s="1000" t="s">
        <v>380</v>
      </c>
      <c r="E33" s="1000"/>
      <c r="F33" s="1000"/>
      <c r="G33" s="1262">
        <v>0</v>
      </c>
      <c r="H33" s="1262">
        <f t="shared" ref="H33:L35" si="9">G33</f>
        <v>0</v>
      </c>
      <c r="I33" s="1262">
        <f t="shared" si="9"/>
        <v>0</v>
      </c>
      <c r="J33" s="1262">
        <f t="shared" si="9"/>
        <v>0</v>
      </c>
      <c r="K33" s="1262">
        <f t="shared" si="9"/>
        <v>0</v>
      </c>
      <c r="L33" s="1262">
        <f t="shared" si="9"/>
        <v>0</v>
      </c>
      <c r="M33" s="1000"/>
      <c r="N33" s="88"/>
      <c r="P33" s="907"/>
      <c r="R33" s="939"/>
      <c r="S33" s="939"/>
      <c r="T33" s="939"/>
      <c r="U33" s="939"/>
      <c r="V33" s="939"/>
    </row>
    <row r="34" spans="2:22" ht="13.15" customHeight="1" x14ac:dyDescent="0.2">
      <c r="B34" s="86"/>
      <c r="C34" s="1000"/>
      <c r="D34" s="1000" t="s">
        <v>381</v>
      </c>
      <c r="E34" s="1000"/>
      <c r="F34" s="1000"/>
      <c r="G34" s="1262">
        <v>0</v>
      </c>
      <c r="H34" s="1262">
        <f t="shared" si="9"/>
        <v>0</v>
      </c>
      <c r="I34" s="1262">
        <f t="shared" si="9"/>
        <v>0</v>
      </c>
      <c r="J34" s="1262">
        <f t="shared" si="9"/>
        <v>0</v>
      </c>
      <c r="K34" s="1262">
        <f t="shared" si="9"/>
        <v>0</v>
      </c>
      <c r="L34" s="1262">
        <f t="shared" si="9"/>
        <v>0</v>
      </c>
      <c r="M34" s="1000"/>
      <c r="N34" s="88"/>
      <c r="P34" s="907"/>
      <c r="R34" s="939"/>
      <c r="S34" s="939"/>
      <c r="T34" s="939"/>
      <c r="U34" s="939"/>
      <c r="V34" s="939"/>
    </row>
    <row r="35" spans="2:22" ht="13.15" customHeight="1" x14ac:dyDescent="0.2">
      <c r="B35" s="86"/>
      <c r="C35" s="1000"/>
      <c r="D35" s="1000" t="s">
        <v>382</v>
      </c>
      <c r="E35" s="1000"/>
      <c r="F35" s="1000"/>
      <c r="G35" s="1262">
        <v>0</v>
      </c>
      <c r="H35" s="1262">
        <f t="shared" si="9"/>
        <v>0</v>
      </c>
      <c r="I35" s="1262">
        <f t="shared" si="9"/>
        <v>0</v>
      </c>
      <c r="J35" s="1262">
        <f t="shared" si="9"/>
        <v>0</v>
      </c>
      <c r="K35" s="1262">
        <f t="shared" si="9"/>
        <v>0</v>
      </c>
      <c r="L35" s="1262">
        <f t="shared" si="9"/>
        <v>0</v>
      </c>
      <c r="M35" s="1000"/>
      <c r="N35" s="88"/>
      <c r="P35" s="907"/>
      <c r="R35" s="939"/>
      <c r="S35" s="939"/>
      <c r="T35" s="939"/>
      <c r="U35" s="939"/>
      <c r="V35" s="939"/>
    </row>
    <row r="36" spans="2:22" ht="13.15" customHeight="1" x14ac:dyDescent="0.2">
      <c r="B36" s="86"/>
      <c r="C36" s="1000"/>
      <c r="D36" s="1075"/>
      <c r="E36" s="1075"/>
      <c r="F36" s="1000"/>
      <c r="G36" s="1317">
        <f t="shared" ref="G36:K36" si="10">SUM(G32:G35)</f>
        <v>0</v>
      </c>
      <c r="H36" s="1317">
        <f t="shared" si="10"/>
        <v>0</v>
      </c>
      <c r="I36" s="1317">
        <f t="shared" si="10"/>
        <v>-78849.180000000022</v>
      </c>
      <c r="J36" s="1317">
        <f t="shared" si="10"/>
        <v>-161454.60000000003</v>
      </c>
      <c r="K36" s="1317">
        <f t="shared" si="10"/>
        <v>-246851.28000000006</v>
      </c>
      <c r="L36" s="1317">
        <f t="shared" ref="L36" si="11">SUM(L32:L35)</f>
        <v>-333631.44000000006</v>
      </c>
      <c r="M36" s="1000"/>
      <c r="N36" s="88"/>
      <c r="P36" s="907"/>
      <c r="R36" s="939"/>
      <c r="S36" s="939"/>
      <c r="T36" s="939"/>
      <c r="U36" s="939"/>
      <c r="V36" s="939"/>
    </row>
    <row r="37" spans="2:22" ht="13.15" customHeight="1" x14ac:dyDescent="0.2">
      <c r="B37" s="86"/>
      <c r="C37" s="1000"/>
      <c r="D37" s="1049" t="s">
        <v>478</v>
      </c>
      <c r="E37" s="1148"/>
      <c r="F37" s="1000"/>
      <c r="G37" s="1000"/>
      <c r="H37" s="1000"/>
      <c r="I37" s="1000"/>
      <c r="J37" s="1000"/>
      <c r="K37" s="1000"/>
      <c r="L37" s="1000"/>
      <c r="M37" s="1000"/>
      <c r="N37" s="88"/>
      <c r="P37" s="907"/>
      <c r="R37" s="939"/>
      <c r="S37" s="939"/>
      <c r="T37" s="939"/>
      <c r="U37" s="939"/>
      <c r="V37" s="939"/>
    </row>
    <row r="38" spans="2:22" ht="13.15" customHeight="1" x14ac:dyDescent="0.2">
      <c r="B38" s="86"/>
      <c r="C38" s="1000"/>
      <c r="D38" s="1000" t="s">
        <v>410</v>
      </c>
      <c r="E38" s="1000"/>
      <c r="F38" s="1000"/>
      <c r="G38" s="1262">
        <v>0</v>
      </c>
      <c r="H38" s="1262">
        <f>+G38</f>
        <v>0</v>
      </c>
      <c r="I38" s="1262">
        <f>+H38</f>
        <v>0</v>
      </c>
      <c r="J38" s="1262">
        <v>0</v>
      </c>
      <c r="K38" s="1262">
        <v>0</v>
      </c>
      <c r="L38" s="1262">
        <v>0</v>
      </c>
      <c r="M38" s="1000"/>
      <c r="N38" s="88"/>
      <c r="P38" s="907"/>
      <c r="R38" s="939"/>
      <c r="S38" s="939"/>
      <c r="T38" s="939"/>
      <c r="U38" s="939"/>
      <c r="V38" s="939"/>
    </row>
    <row r="39" spans="2:22" ht="13.15" customHeight="1" x14ac:dyDescent="0.2">
      <c r="B39" s="86"/>
      <c r="C39" s="1000"/>
      <c r="D39" s="1000" t="s">
        <v>393</v>
      </c>
      <c r="E39" s="1000"/>
      <c r="F39" s="1000"/>
      <c r="G39" s="1262">
        <v>0</v>
      </c>
      <c r="H39" s="1262">
        <v>0</v>
      </c>
      <c r="I39" s="1262">
        <v>0</v>
      </c>
      <c r="J39" s="1262">
        <v>0</v>
      </c>
      <c r="K39" s="1262">
        <v>0</v>
      </c>
      <c r="L39" s="1262">
        <v>0</v>
      </c>
      <c r="M39" s="1245"/>
      <c r="N39" s="88"/>
      <c r="P39" s="907"/>
      <c r="R39" s="939"/>
      <c r="S39" s="939"/>
      <c r="T39" s="939"/>
      <c r="U39" s="939"/>
      <c r="V39" s="939"/>
    </row>
    <row r="40" spans="2:22" ht="13.15" customHeight="1" x14ac:dyDescent="0.2">
      <c r="B40" s="86"/>
      <c r="C40" s="1000"/>
      <c r="D40" s="985" t="s">
        <v>948</v>
      </c>
      <c r="E40" s="1000"/>
      <c r="F40" s="1000"/>
      <c r="G40" s="1262">
        <v>0</v>
      </c>
      <c r="H40" s="1262">
        <v>0</v>
      </c>
      <c r="I40" s="1262">
        <v>0</v>
      </c>
      <c r="J40" s="1262">
        <v>0</v>
      </c>
      <c r="K40" s="1262">
        <v>0</v>
      </c>
      <c r="L40" s="1262">
        <v>0</v>
      </c>
      <c r="M40" s="1245"/>
      <c r="N40" s="517"/>
      <c r="P40" s="907"/>
      <c r="R40" s="939"/>
      <c r="S40" s="939"/>
      <c r="T40" s="939"/>
      <c r="U40" s="939"/>
      <c r="V40" s="939"/>
    </row>
    <row r="41" spans="2:22" ht="13.15" customHeight="1" x14ac:dyDescent="0.2">
      <c r="B41" s="86"/>
      <c r="C41" s="1000"/>
      <c r="D41" s="1000" t="s">
        <v>479</v>
      </c>
      <c r="E41" s="1000"/>
      <c r="F41" s="1000"/>
      <c r="G41" s="1262">
        <v>0</v>
      </c>
      <c r="H41" s="1262">
        <f t="shared" ref="H41:L41" si="12">G41</f>
        <v>0</v>
      </c>
      <c r="I41" s="1262">
        <f t="shared" si="12"/>
        <v>0</v>
      </c>
      <c r="J41" s="1262">
        <f t="shared" si="12"/>
        <v>0</v>
      </c>
      <c r="K41" s="1262">
        <f t="shared" si="12"/>
        <v>0</v>
      </c>
      <c r="L41" s="1262">
        <f t="shared" si="12"/>
        <v>0</v>
      </c>
      <c r="M41" s="1245"/>
      <c r="N41" s="88"/>
      <c r="P41" s="907"/>
      <c r="R41" s="939"/>
      <c r="S41" s="939"/>
      <c r="T41" s="939"/>
      <c r="U41" s="939"/>
      <c r="V41" s="939"/>
    </row>
    <row r="42" spans="2:22" ht="13.15" customHeight="1" x14ac:dyDescent="0.2">
      <c r="B42" s="86"/>
      <c r="C42" s="1000"/>
      <c r="D42" s="1075"/>
      <c r="E42" s="1075"/>
      <c r="F42" s="1000"/>
      <c r="G42" s="1317">
        <f t="shared" ref="G42:K42" si="13">SUM(G38:G41)</f>
        <v>0</v>
      </c>
      <c r="H42" s="1317">
        <f t="shared" si="13"/>
        <v>0</v>
      </c>
      <c r="I42" s="1317">
        <f t="shared" si="13"/>
        <v>0</v>
      </c>
      <c r="J42" s="1317">
        <f t="shared" si="13"/>
        <v>0</v>
      </c>
      <c r="K42" s="1317">
        <f t="shared" si="13"/>
        <v>0</v>
      </c>
      <c r="L42" s="1317">
        <f t="shared" ref="L42" si="14">SUM(L38:L41)</f>
        <v>0</v>
      </c>
      <c r="M42" s="1247"/>
      <c r="N42" s="88"/>
      <c r="P42" s="907"/>
      <c r="R42" s="939"/>
      <c r="S42" s="939"/>
      <c r="T42" s="939"/>
      <c r="U42" s="939"/>
      <c r="V42" s="939"/>
    </row>
    <row r="43" spans="2:22" ht="13.15" customHeight="1" x14ac:dyDescent="0.2">
      <c r="B43" s="86"/>
      <c r="C43" s="1000"/>
      <c r="D43" s="1049" t="s">
        <v>480</v>
      </c>
      <c r="E43" s="1148"/>
      <c r="F43" s="1000"/>
      <c r="G43" s="1000"/>
      <c r="H43" s="1245"/>
      <c r="I43" s="1245"/>
      <c r="J43" s="1245"/>
      <c r="K43" s="1245"/>
      <c r="L43" s="1245"/>
      <c r="M43" s="1245"/>
      <c r="N43" s="88"/>
      <c r="P43" s="907"/>
      <c r="R43" s="939"/>
      <c r="S43" s="939"/>
      <c r="T43" s="939"/>
      <c r="U43" s="939"/>
      <c r="V43" s="939"/>
    </row>
    <row r="44" spans="2:22" ht="13.15" customHeight="1" x14ac:dyDescent="0.2">
      <c r="B44" s="86"/>
      <c r="C44" s="1000"/>
      <c r="D44" s="1000" t="s">
        <v>354</v>
      </c>
      <c r="E44" s="1000"/>
      <c r="F44" s="1000"/>
      <c r="G44" s="1262">
        <v>0</v>
      </c>
      <c r="H44" s="1262">
        <f t="shared" ref="H44:L45" si="15">G44</f>
        <v>0</v>
      </c>
      <c r="I44" s="1262">
        <f t="shared" si="15"/>
        <v>0</v>
      </c>
      <c r="J44" s="1262">
        <f t="shared" si="15"/>
        <v>0</v>
      </c>
      <c r="K44" s="1262">
        <f t="shared" si="15"/>
        <v>0</v>
      </c>
      <c r="L44" s="1262">
        <f t="shared" si="15"/>
        <v>0</v>
      </c>
      <c r="M44" s="1245"/>
      <c r="N44" s="88"/>
      <c r="P44" s="907"/>
      <c r="R44" s="939"/>
      <c r="S44" s="939"/>
      <c r="T44" s="939"/>
      <c r="U44" s="939"/>
      <c r="V44" s="939"/>
    </row>
    <row r="45" spans="2:22" ht="13.15" customHeight="1" x14ac:dyDescent="0.2">
      <c r="B45" s="86"/>
      <c r="C45" s="1000"/>
      <c r="D45" s="1000" t="s">
        <v>355</v>
      </c>
      <c r="E45" s="1000"/>
      <c r="F45" s="1000"/>
      <c r="G45" s="1262">
        <v>0</v>
      </c>
      <c r="H45" s="1262">
        <f t="shared" si="15"/>
        <v>0</v>
      </c>
      <c r="I45" s="1262">
        <f t="shared" si="15"/>
        <v>0</v>
      </c>
      <c r="J45" s="1262">
        <f t="shared" si="15"/>
        <v>0</v>
      </c>
      <c r="K45" s="1262">
        <f t="shared" si="15"/>
        <v>0</v>
      </c>
      <c r="L45" s="1262">
        <f t="shared" si="15"/>
        <v>0</v>
      </c>
      <c r="M45" s="1245"/>
      <c r="N45" s="88"/>
      <c r="P45" s="907"/>
      <c r="R45" s="939"/>
      <c r="S45" s="939"/>
      <c r="T45" s="939"/>
      <c r="U45" s="939"/>
      <c r="V45" s="939"/>
    </row>
    <row r="46" spans="2:22" ht="13.15" customHeight="1" x14ac:dyDescent="0.2">
      <c r="B46" s="86"/>
      <c r="C46" s="1000"/>
      <c r="D46" s="1088"/>
      <c r="E46" s="1088"/>
      <c r="F46" s="1000"/>
      <c r="G46" s="1317">
        <f t="shared" ref="G46:K46" si="16">SUM(G44:G45)</f>
        <v>0</v>
      </c>
      <c r="H46" s="1317">
        <f t="shared" si="16"/>
        <v>0</v>
      </c>
      <c r="I46" s="1317">
        <f t="shared" si="16"/>
        <v>0</v>
      </c>
      <c r="J46" s="1317">
        <f t="shared" si="16"/>
        <v>0</v>
      </c>
      <c r="K46" s="1317">
        <f t="shared" si="16"/>
        <v>0</v>
      </c>
      <c r="L46" s="1317">
        <f t="shared" ref="L46" si="17">SUM(L44:L45)</f>
        <v>0</v>
      </c>
      <c r="M46" s="1247"/>
      <c r="N46" s="88"/>
      <c r="P46" s="907"/>
      <c r="R46" s="939"/>
      <c r="S46" s="939"/>
      <c r="T46" s="939"/>
      <c r="U46" s="939"/>
      <c r="V46" s="939"/>
    </row>
    <row r="47" spans="2:22" ht="13.15" customHeight="1" x14ac:dyDescent="0.2">
      <c r="B47" s="86"/>
      <c r="C47" s="1000"/>
      <c r="D47" s="1049" t="s">
        <v>481</v>
      </c>
      <c r="E47" s="1148"/>
      <c r="F47" s="1000"/>
      <c r="G47" s="1000"/>
      <c r="H47" s="1000"/>
      <c r="I47" s="1000"/>
      <c r="J47" s="1000"/>
      <c r="K47" s="1000"/>
      <c r="L47" s="1000"/>
      <c r="M47" s="1245"/>
      <c r="N47" s="88"/>
      <c r="P47" s="907"/>
      <c r="R47" s="939"/>
      <c r="S47" s="939"/>
      <c r="T47" s="939"/>
      <c r="U47" s="939"/>
      <c r="V47" s="939"/>
    </row>
    <row r="48" spans="2:22" ht="13.15" customHeight="1" x14ac:dyDescent="0.2">
      <c r="B48" s="86"/>
      <c r="C48" s="1000"/>
      <c r="D48" s="1000" t="s">
        <v>354</v>
      </c>
      <c r="E48" s="1000"/>
      <c r="F48" s="1000"/>
      <c r="G48" s="1262">
        <v>0</v>
      </c>
      <c r="H48" s="1262">
        <f t="shared" ref="H48:L54" si="18">G48</f>
        <v>0</v>
      </c>
      <c r="I48" s="1262">
        <f t="shared" si="18"/>
        <v>0</v>
      </c>
      <c r="J48" s="1262">
        <f t="shared" si="18"/>
        <v>0</v>
      </c>
      <c r="K48" s="1262">
        <f t="shared" si="18"/>
        <v>0</v>
      </c>
      <c r="L48" s="1262">
        <f t="shared" si="18"/>
        <v>0</v>
      </c>
      <c r="M48" s="1245"/>
      <c r="N48" s="88"/>
      <c r="P48" s="907"/>
      <c r="R48" s="939"/>
      <c r="S48" s="939"/>
      <c r="T48" s="939"/>
      <c r="U48" s="939"/>
      <c r="V48" s="939"/>
    </row>
    <row r="49" spans="2:22" ht="13.15" customHeight="1" x14ac:dyDescent="0.2">
      <c r="B49" s="86"/>
      <c r="C49" s="1000"/>
      <c r="D49" s="1000" t="s">
        <v>356</v>
      </c>
      <c r="E49" s="1000"/>
      <c r="F49" s="1000"/>
      <c r="G49" s="1262">
        <v>0</v>
      </c>
      <c r="H49" s="1262">
        <f t="shared" si="18"/>
        <v>0</v>
      </c>
      <c r="I49" s="1262">
        <f t="shared" si="18"/>
        <v>0</v>
      </c>
      <c r="J49" s="1262">
        <f t="shared" si="18"/>
        <v>0</v>
      </c>
      <c r="K49" s="1262">
        <f t="shared" si="18"/>
        <v>0</v>
      </c>
      <c r="L49" s="1262">
        <f t="shared" si="18"/>
        <v>0</v>
      </c>
      <c r="M49" s="1245"/>
      <c r="N49" s="88"/>
      <c r="P49" s="907"/>
      <c r="R49" s="939"/>
      <c r="S49" s="939"/>
      <c r="T49" s="939"/>
      <c r="U49" s="939"/>
      <c r="V49" s="939"/>
    </row>
    <row r="50" spans="2:22" ht="13.15" customHeight="1" x14ac:dyDescent="0.2">
      <c r="B50" s="86"/>
      <c r="C50" s="1000"/>
      <c r="D50" s="1000" t="s">
        <v>357</v>
      </c>
      <c r="E50" s="1000"/>
      <c r="F50" s="1000"/>
      <c r="G50" s="1262">
        <v>0</v>
      </c>
      <c r="H50" s="1262">
        <f t="shared" si="18"/>
        <v>0</v>
      </c>
      <c r="I50" s="1262">
        <f t="shared" si="18"/>
        <v>0</v>
      </c>
      <c r="J50" s="1262">
        <f t="shared" si="18"/>
        <v>0</v>
      </c>
      <c r="K50" s="1262">
        <f t="shared" si="18"/>
        <v>0</v>
      </c>
      <c r="L50" s="1262">
        <f t="shared" si="18"/>
        <v>0</v>
      </c>
      <c r="M50" s="1245"/>
      <c r="N50" s="88"/>
      <c r="P50" s="907"/>
      <c r="R50" s="939"/>
      <c r="S50" s="939"/>
      <c r="T50" s="939"/>
      <c r="U50" s="939"/>
      <c r="V50" s="939"/>
    </row>
    <row r="51" spans="2:22" ht="13.15" customHeight="1" x14ac:dyDescent="0.2">
      <c r="B51" s="86"/>
      <c r="C51" s="1000"/>
      <c r="D51" s="1000" t="s">
        <v>358</v>
      </c>
      <c r="E51" s="1000"/>
      <c r="F51" s="1000"/>
      <c r="G51" s="1262">
        <v>0</v>
      </c>
      <c r="H51" s="1262">
        <f>G51</f>
        <v>0</v>
      </c>
      <c r="I51" s="1262">
        <f t="shared" si="18"/>
        <v>0</v>
      </c>
      <c r="J51" s="1262">
        <f t="shared" si="18"/>
        <v>0</v>
      </c>
      <c r="K51" s="1262">
        <f t="shared" si="18"/>
        <v>0</v>
      </c>
      <c r="L51" s="1262">
        <f t="shared" si="18"/>
        <v>0</v>
      </c>
      <c r="M51" s="1245"/>
      <c r="N51" s="88"/>
      <c r="P51" s="907"/>
      <c r="R51" s="939"/>
      <c r="S51" s="939"/>
      <c r="T51" s="939"/>
      <c r="U51" s="939"/>
      <c r="V51" s="939"/>
    </row>
    <row r="52" spans="2:22" ht="13.15" customHeight="1" x14ac:dyDescent="0.2">
      <c r="B52" s="86"/>
      <c r="C52" s="1000"/>
      <c r="D52" s="1000" t="s">
        <v>359</v>
      </c>
      <c r="E52" s="1000"/>
      <c r="F52" s="1000"/>
      <c r="G52" s="1262">
        <v>0</v>
      </c>
      <c r="H52" s="1262">
        <f t="shared" si="18"/>
        <v>0</v>
      </c>
      <c r="I52" s="1262">
        <f t="shared" si="18"/>
        <v>0</v>
      </c>
      <c r="J52" s="1262">
        <f t="shared" si="18"/>
        <v>0</v>
      </c>
      <c r="K52" s="1262">
        <f t="shared" si="18"/>
        <v>0</v>
      </c>
      <c r="L52" s="1262">
        <f t="shared" si="18"/>
        <v>0</v>
      </c>
      <c r="M52" s="1245"/>
      <c r="N52" s="88"/>
      <c r="P52" s="907"/>
      <c r="R52" s="939"/>
      <c r="S52" s="939"/>
      <c r="T52" s="939"/>
      <c r="U52" s="939"/>
      <c r="V52" s="939"/>
    </row>
    <row r="53" spans="2:22" ht="13.15" customHeight="1" x14ac:dyDescent="0.2">
      <c r="B53" s="86"/>
      <c r="C53" s="1000"/>
      <c r="D53" s="1000" t="s">
        <v>360</v>
      </c>
      <c r="E53" s="1000"/>
      <c r="F53" s="1000"/>
      <c r="G53" s="1262">
        <v>0</v>
      </c>
      <c r="H53" s="1262">
        <f t="shared" si="18"/>
        <v>0</v>
      </c>
      <c r="I53" s="1262">
        <f t="shared" si="18"/>
        <v>0</v>
      </c>
      <c r="J53" s="1262">
        <f t="shared" si="18"/>
        <v>0</v>
      </c>
      <c r="K53" s="1262">
        <f t="shared" si="18"/>
        <v>0</v>
      </c>
      <c r="L53" s="1262">
        <f t="shared" si="18"/>
        <v>0</v>
      </c>
      <c r="M53" s="1245"/>
      <c r="N53" s="88"/>
      <c r="P53" s="907"/>
      <c r="R53" s="939"/>
      <c r="S53" s="939"/>
      <c r="T53" s="939"/>
      <c r="U53" s="939"/>
      <c r="V53" s="939"/>
    </row>
    <row r="54" spans="2:22" ht="13.15" customHeight="1" x14ac:dyDescent="0.2">
      <c r="B54" s="86"/>
      <c r="C54" s="1000"/>
      <c r="D54" s="1000" t="s">
        <v>361</v>
      </c>
      <c r="E54" s="1000"/>
      <c r="F54" s="1000"/>
      <c r="G54" s="1262">
        <v>0</v>
      </c>
      <c r="H54" s="1262">
        <f t="shared" si="18"/>
        <v>0</v>
      </c>
      <c r="I54" s="1262">
        <f t="shared" si="18"/>
        <v>0</v>
      </c>
      <c r="J54" s="1262">
        <f t="shared" si="18"/>
        <v>0</v>
      </c>
      <c r="K54" s="1262">
        <f t="shared" si="18"/>
        <v>0</v>
      </c>
      <c r="L54" s="1262">
        <f t="shared" si="18"/>
        <v>0</v>
      </c>
      <c r="M54" s="1245"/>
      <c r="N54" s="88"/>
      <c r="P54" s="907"/>
      <c r="R54" s="939"/>
      <c r="S54" s="939"/>
      <c r="T54" s="939"/>
      <c r="U54" s="939"/>
      <c r="V54" s="939"/>
    </row>
    <row r="55" spans="2:22" ht="13.15" customHeight="1" x14ac:dyDescent="0.2">
      <c r="B55" s="86"/>
      <c r="C55" s="1000"/>
      <c r="D55" s="1088"/>
      <c r="E55" s="1088"/>
      <c r="F55" s="1000"/>
      <c r="G55" s="1317">
        <f t="shared" ref="G55:K55" si="19">SUM(G48:G54)</f>
        <v>0</v>
      </c>
      <c r="H55" s="1317">
        <f t="shared" si="19"/>
        <v>0</v>
      </c>
      <c r="I55" s="1317">
        <f t="shared" si="19"/>
        <v>0</v>
      </c>
      <c r="J55" s="1317">
        <f t="shared" si="19"/>
        <v>0</v>
      </c>
      <c r="K55" s="1317">
        <f t="shared" si="19"/>
        <v>0</v>
      </c>
      <c r="L55" s="1317">
        <f t="shared" ref="L55" si="20">SUM(L48:L54)</f>
        <v>0</v>
      </c>
      <c r="M55" s="1247"/>
      <c r="N55" s="88"/>
      <c r="P55" s="907"/>
      <c r="R55" s="939"/>
      <c r="S55" s="939"/>
      <c r="T55" s="939"/>
      <c r="U55" s="939"/>
      <c r="V55" s="939"/>
    </row>
    <row r="56" spans="2:22" ht="13.15" customHeight="1" x14ac:dyDescent="0.2">
      <c r="B56" s="86"/>
      <c r="C56" s="1000"/>
      <c r="D56" s="1000"/>
      <c r="E56" s="1000"/>
      <c r="F56" s="1000"/>
      <c r="G56" s="1000"/>
      <c r="H56" s="1000"/>
      <c r="I56" s="1000"/>
      <c r="J56" s="1000"/>
      <c r="K56" s="1000"/>
      <c r="L56" s="1000"/>
      <c r="M56" s="1000"/>
      <c r="N56" s="88"/>
      <c r="P56" s="907"/>
      <c r="R56" s="939"/>
      <c r="S56" s="939"/>
      <c r="T56" s="939"/>
      <c r="U56" s="939"/>
      <c r="V56" s="939"/>
    </row>
    <row r="57" spans="2:22" ht="13.15" customHeight="1" x14ac:dyDescent="0.2">
      <c r="B57" s="86"/>
      <c r="C57" s="1000"/>
      <c r="D57" s="1194" t="s">
        <v>383</v>
      </c>
      <c r="E57" s="1319"/>
      <c r="F57" s="1000"/>
      <c r="G57" s="1255">
        <f t="shared" ref="G57:K57" si="21">G36+G42+G46+G55</f>
        <v>0</v>
      </c>
      <c r="H57" s="1255">
        <f t="shared" si="21"/>
        <v>0</v>
      </c>
      <c r="I57" s="1255">
        <f t="shared" si="21"/>
        <v>-78849.180000000022</v>
      </c>
      <c r="J57" s="1255">
        <f t="shared" si="21"/>
        <v>-161454.60000000003</v>
      </c>
      <c r="K57" s="1255">
        <f t="shared" si="21"/>
        <v>-246851.28000000006</v>
      </c>
      <c r="L57" s="1255">
        <f t="shared" ref="L57" si="22">L36+L42+L46+L55</f>
        <v>-333631.44000000006</v>
      </c>
      <c r="M57" s="1247"/>
      <c r="N57" s="88"/>
      <c r="P57" s="907"/>
      <c r="R57" s="939"/>
      <c r="S57" s="939"/>
      <c r="T57" s="939"/>
      <c r="U57" s="939"/>
      <c r="V57" s="939"/>
    </row>
    <row r="58" spans="2:22" ht="13.15" customHeight="1" x14ac:dyDescent="0.2">
      <c r="B58" s="86"/>
      <c r="C58" s="1000"/>
      <c r="D58" s="1088"/>
      <c r="E58" s="1088"/>
      <c r="F58" s="1000"/>
      <c r="G58" s="1247"/>
      <c r="H58" s="1247"/>
      <c r="I58" s="1247"/>
      <c r="J58" s="1247"/>
      <c r="K58" s="1247"/>
      <c r="L58" s="1247"/>
      <c r="M58" s="1247"/>
      <c r="N58" s="88"/>
      <c r="P58" s="907"/>
      <c r="R58" s="939"/>
      <c r="S58" s="939"/>
      <c r="T58" s="939"/>
      <c r="U58" s="939"/>
      <c r="V58" s="939"/>
    </row>
    <row r="59" spans="2:22" ht="13.15" customHeight="1" x14ac:dyDescent="0.2">
      <c r="B59" s="86"/>
      <c r="C59" s="87"/>
      <c r="D59" s="145"/>
      <c r="E59" s="145"/>
      <c r="F59" s="87"/>
      <c r="G59" s="319"/>
      <c r="H59" s="319"/>
      <c r="I59" s="319"/>
      <c r="J59" s="319"/>
      <c r="K59" s="319"/>
      <c r="L59" s="319"/>
      <c r="M59" s="319"/>
      <c r="N59" s="88"/>
      <c r="P59" s="907"/>
      <c r="R59" s="939"/>
      <c r="S59" s="939"/>
      <c r="T59" s="939"/>
      <c r="U59" s="939"/>
      <c r="V59" s="939"/>
    </row>
    <row r="60" spans="2:22" ht="13.15" customHeight="1" x14ac:dyDescent="0.25">
      <c r="B60" s="96"/>
      <c r="C60" s="93"/>
      <c r="D60" s="320"/>
      <c r="E60" s="320"/>
      <c r="F60" s="93"/>
      <c r="G60" s="93"/>
      <c r="H60" s="321"/>
      <c r="I60" s="321"/>
      <c r="J60" s="321"/>
      <c r="K60" s="321"/>
      <c r="L60" s="321"/>
      <c r="M60" s="36" t="s">
        <v>464</v>
      </c>
      <c r="N60" s="95"/>
    </row>
    <row r="61" spans="2:22" s="476" customFormat="1" ht="13.15" customHeight="1" x14ac:dyDescent="0.2">
      <c r="B61" s="601"/>
      <c r="C61" s="601"/>
      <c r="D61" s="601"/>
      <c r="E61" s="601"/>
      <c r="F61" s="601"/>
      <c r="G61" s="601"/>
      <c r="H61" s="601"/>
      <c r="I61" s="601"/>
      <c r="J61" s="601"/>
      <c r="K61" s="601"/>
      <c r="L61" s="601"/>
      <c r="M61" s="601"/>
      <c r="N61" s="601"/>
      <c r="O61" s="935"/>
    </row>
    <row r="62" spans="2:22" s="476" customFormat="1" ht="13.15" customHeight="1" x14ac:dyDescent="0.2">
      <c r="B62" s="601"/>
      <c r="C62" s="601"/>
      <c r="D62" s="601"/>
      <c r="E62" s="601"/>
      <c r="F62" s="601"/>
      <c r="G62" s="601"/>
      <c r="H62" s="601"/>
      <c r="I62" s="601"/>
      <c r="J62" s="601"/>
      <c r="K62" s="601"/>
      <c r="L62" s="601"/>
      <c r="M62" s="601"/>
      <c r="N62" s="601"/>
      <c r="O62" s="935"/>
    </row>
    <row r="63" spans="2:22" s="934" customFormat="1" ht="13.15" customHeight="1" x14ac:dyDescent="0.3">
      <c r="B63" s="601"/>
      <c r="C63" s="601"/>
      <c r="D63" s="601"/>
      <c r="E63" s="601"/>
      <c r="F63" s="601"/>
      <c r="G63" s="601"/>
      <c r="H63" s="601"/>
      <c r="I63" s="601"/>
      <c r="J63" s="601"/>
      <c r="K63" s="601"/>
      <c r="L63" s="601"/>
      <c r="M63" s="601"/>
      <c r="N63" s="601"/>
      <c r="O63" s="940"/>
    </row>
    <row r="64" spans="2:22" s="476" customFormat="1" ht="13.15" customHeight="1" x14ac:dyDescent="0.2">
      <c r="B64" s="601"/>
      <c r="C64" s="601"/>
      <c r="D64" s="601"/>
      <c r="E64" s="601"/>
      <c r="F64" s="601"/>
      <c r="G64" s="601"/>
      <c r="H64" s="601"/>
      <c r="I64" s="601"/>
      <c r="J64" s="601"/>
      <c r="K64" s="601"/>
      <c r="L64" s="601"/>
      <c r="M64" s="601"/>
      <c r="N64" s="601"/>
      <c r="O64" s="935"/>
    </row>
    <row r="65" spans="2:15" s="476" customFormat="1" ht="13.15" customHeight="1" x14ac:dyDescent="0.2">
      <c r="B65" s="601"/>
      <c r="C65" s="601"/>
      <c r="D65" s="601"/>
      <c r="E65" s="601"/>
      <c r="F65" s="601"/>
      <c r="G65" s="601"/>
      <c r="H65" s="601"/>
      <c r="I65" s="601"/>
      <c r="J65" s="601"/>
      <c r="K65" s="601"/>
      <c r="L65" s="601"/>
      <c r="M65" s="601"/>
      <c r="N65" s="601"/>
      <c r="O65" s="935"/>
    </row>
    <row r="66" spans="2:15" s="476" customFormat="1" ht="13.15" customHeight="1" x14ac:dyDescent="0.2">
      <c r="B66" s="601"/>
      <c r="C66" s="601"/>
      <c r="D66" s="601"/>
      <c r="E66" s="601"/>
      <c r="F66" s="601"/>
      <c r="G66" s="601"/>
      <c r="H66" s="601"/>
      <c r="I66" s="601"/>
      <c r="J66" s="601"/>
      <c r="K66" s="601"/>
      <c r="L66" s="601"/>
      <c r="M66" s="601"/>
      <c r="N66" s="601"/>
      <c r="O66" s="935"/>
    </row>
    <row r="67" spans="2:15" s="476" customFormat="1" ht="13.15" customHeight="1" x14ac:dyDescent="0.2">
      <c r="B67" s="601"/>
      <c r="C67" s="601"/>
      <c r="D67" s="601"/>
      <c r="E67" s="601"/>
      <c r="F67" s="601"/>
      <c r="G67" s="601"/>
      <c r="H67" s="601"/>
      <c r="I67" s="601"/>
      <c r="J67" s="601"/>
      <c r="K67" s="601"/>
      <c r="L67" s="601"/>
      <c r="M67" s="601"/>
      <c r="N67" s="601"/>
      <c r="O67" s="935"/>
    </row>
    <row r="68" spans="2:15" s="540" customFormat="1" ht="13.15" customHeight="1" x14ac:dyDescent="0.2">
      <c r="B68" s="532"/>
      <c r="C68" s="532"/>
      <c r="D68" s="532"/>
      <c r="E68" s="532"/>
      <c r="F68" s="532"/>
      <c r="G68" s="532"/>
      <c r="H68" s="532"/>
      <c r="I68" s="532"/>
      <c r="J68" s="532"/>
      <c r="K68" s="532"/>
      <c r="L68" s="532"/>
      <c r="M68" s="532"/>
      <c r="N68" s="532"/>
      <c r="O68" s="941"/>
    </row>
    <row r="69" spans="2:15" s="476" customFormat="1" ht="13.15" customHeight="1" x14ac:dyDescent="0.2">
      <c r="B69" s="601"/>
      <c r="C69" s="601"/>
      <c r="D69" s="601"/>
      <c r="E69" s="601"/>
      <c r="F69" s="601"/>
      <c r="G69" s="601"/>
      <c r="H69" s="601"/>
      <c r="I69" s="601"/>
      <c r="J69" s="601"/>
      <c r="K69" s="601"/>
      <c r="L69" s="601"/>
      <c r="M69" s="601"/>
      <c r="N69" s="601"/>
      <c r="O69" s="935"/>
    </row>
    <row r="70" spans="2:15" s="476" customFormat="1" ht="13.15" customHeight="1" x14ac:dyDescent="0.2">
      <c r="B70" s="601"/>
      <c r="C70" s="601"/>
      <c r="D70" s="601"/>
      <c r="E70" s="601"/>
      <c r="F70" s="601"/>
      <c r="G70" s="601"/>
      <c r="H70" s="601"/>
      <c r="I70" s="601"/>
      <c r="J70" s="601"/>
      <c r="K70" s="601"/>
      <c r="L70" s="601"/>
      <c r="M70" s="601"/>
      <c r="N70" s="601"/>
      <c r="O70" s="935"/>
    </row>
    <row r="71" spans="2:15" s="476" customFormat="1" ht="13.15" customHeight="1" x14ac:dyDescent="0.2">
      <c r="B71" s="601"/>
      <c r="C71" s="601"/>
      <c r="D71" s="601"/>
      <c r="E71" s="601"/>
      <c r="F71" s="601"/>
      <c r="G71" s="601"/>
      <c r="H71" s="601"/>
      <c r="I71" s="601"/>
      <c r="J71" s="601"/>
      <c r="K71" s="601"/>
      <c r="L71" s="601"/>
      <c r="M71" s="601"/>
      <c r="N71" s="601"/>
      <c r="O71" s="935"/>
    </row>
    <row r="72" spans="2:15" s="476" customFormat="1" ht="13.15" customHeight="1" x14ac:dyDescent="0.2">
      <c r="B72" s="601"/>
      <c r="C72" s="601"/>
      <c r="D72" s="601"/>
      <c r="E72" s="601"/>
      <c r="F72" s="601"/>
      <c r="G72" s="601"/>
      <c r="H72" s="601"/>
      <c r="I72" s="601"/>
      <c r="J72" s="601"/>
      <c r="K72" s="601"/>
      <c r="L72" s="601"/>
      <c r="M72" s="601"/>
      <c r="N72" s="601"/>
      <c r="O72" s="935"/>
    </row>
    <row r="73" spans="2:15" s="540" customFormat="1" ht="13.15" customHeight="1" x14ac:dyDescent="0.2">
      <c r="B73" s="532"/>
      <c r="C73" s="532"/>
      <c r="D73" s="532"/>
      <c r="E73" s="532"/>
      <c r="F73" s="532"/>
      <c r="G73" s="532"/>
      <c r="H73" s="532"/>
      <c r="I73" s="532"/>
      <c r="J73" s="532"/>
      <c r="K73" s="532"/>
      <c r="L73" s="532"/>
      <c r="M73" s="532"/>
      <c r="N73" s="532"/>
      <c r="O73" s="941"/>
    </row>
    <row r="74" spans="2:15" s="476" customFormat="1" ht="13.15" customHeight="1" x14ac:dyDescent="0.2">
      <c r="B74" s="601"/>
      <c r="C74" s="601"/>
      <c r="D74" s="601"/>
      <c r="E74" s="601"/>
      <c r="F74" s="601"/>
      <c r="G74" s="601"/>
      <c r="H74" s="601"/>
      <c r="I74" s="601"/>
      <c r="J74" s="601"/>
      <c r="K74" s="601"/>
      <c r="L74" s="601"/>
      <c r="M74" s="601"/>
      <c r="N74" s="601"/>
      <c r="O74" s="935"/>
    </row>
    <row r="75" spans="2:15" s="476" customFormat="1" ht="13.15" customHeight="1" x14ac:dyDescent="0.2">
      <c r="B75" s="601"/>
      <c r="C75" s="601"/>
      <c r="D75" s="601"/>
      <c r="E75" s="601"/>
      <c r="F75" s="601"/>
      <c r="G75" s="601"/>
      <c r="H75" s="601"/>
      <c r="I75" s="601"/>
      <c r="J75" s="601"/>
      <c r="K75" s="601"/>
      <c r="L75" s="601"/>
      <c r="M75" s="601"/>
      <c r="N75" s="601"/>
      <c r="O75" s="935"/>
    </row>
    <row r="76" spans="2:15" s="476" customFormat="1" ht="13.15" customHeight="1" x14ac:dyDescent="0.2">
      <c r="B76" s="601"/>
      <c r="C76" s="601"/>
      <c r="D76" s="601"/>
      <c r="E76" s="601"/>
      <c r="F76" s="601"/>
      <c r="G76" s="601"/>
      <c r="H76" s="601"/>
      <c r="I76" s="601"/>
      <c r="J76" s="601"/>
      <c r="K76" s="601"/>
      <c r="L76" s="601"/>
      <c r="M76" s="601"/>
      <c r="N76" s="601"/>
      <c r="O76" s="935"/>
    </row>
    <row r="77" spans="2:15" s="476" customFormat="1" ht="13.15" customHeight="1" x14ac:dyDescent="0.2">
      <c r="B77" s="601"/>
      <c r="C77" s="601"/>
      <c r="D77" s="601"/>
      <c r="E77" s="601"/>
      <c r="F77" s="601"/>
      <c r="G77" s="601"/>
      <c r="H77" s="601"/>
      <c r="I77" s="601"/>
      <c r="J77" s="601"/>
      <c r="K77" s="601"/>
      <c r="L77" s="601"/>
      <c r="M77" s="601"/>
      <c r="N77" s="601"/>
      <c r="O77" s="935"/>
    </row>
    <row r="78" spans="2:15" s="540" customFormat="1" ht="13.15" customHeight="1" x14ac:dyDescent="0.2">
      <c r="B78" s="532"/>
      <c r="C78" s="532"/>
      <c r="D78" s="532"/>
      <c r="E78" s="532"/>
      <c r="F78" s="532"/>
      <c r="G78" s="532"/>
      <c r="H78" s="532"/>
      <c r="I78" s="532"/>
      <c r="J78" s="532"/>
      <c r="K78" s="532"/>
      <c r="L78" s="532"/>
      <c r="M78" s="532"/>
      <c r="N78" s="532"/>
      <c r="O78" s="941"/>
    </row>
    <row r="79" spans="2:15" s="476" customFormat="1" ht="13.15" customHeight="1" x14ac:dyDescent="0.2">
      <c r="B79" s="601"/>
      <c r="C79" s="601"/>
      <c r="D79" s="601"/>
      <c r="E79" s="601"/>
      <c r="F79" s="601"/>
      <c r="G79" s="601"/>
      <c r="H79" s="601"/>
      <c r="I79" s="601"/>
      <c r="J79" s="601"/>
      <c r="K79" s="601"/>
      <c r="L79" s="601"/>
      <c r="M79" s="601"/>
      <c r="N79" s="601"/>
      <c r="O79" s="935"/>
    </row>
    <row r="80" spans="2:15" s="476" customFormat="1" ht="13.15" customHeight="1" x14ac:dyDescent="0.2">
      <c r="B80" s="601"/>
      <c r="C80" s="601"/>
      <c r="D80" s="601"/>
      <c r="E80" s="601"/>
      <c r="F80" s="601"/>
      <c r="G80" s="601"/>
      <c r="H80" s="601"/>
      <c r="I80" s="601"/>
      <c r="J80" s="601"/>
      <c r="K80" s="601"/>
      <c r="L80" s="601"/>
      <c r="M80" s="601"/>
      <c r="N80" s="601"/>
      <c r="O80" s="935"/>
    </row>
    <row r="81" spans="2:15" s="476" customFormat="1" ht="13.15" customHeight="1" x14ac:dyDescent="0.2">
      <c r="B81" s="601"/>
      <c r="C81" s="601"/>
      <c r="D81" s="601"/>
      <c r="E81" s="601"/>
      <c r="F81" s="601"/>
      <c r="G81" s="601"/>
      <c r="H81" s="601"/>
      <c r="I81" s="601"/>
      <c r="J81" s="601"/>
      <c r="K81" s="601"/>
      <c r="L81" s="601"/>
      <c r="M81" s="601"/>
      <c r="N81" s="601"/>
      <c r="O81" s="935"/>
    </row>
    <row r="82" spans="2:15" s="476" customFormat="1" ht="13.15" customHeight="1" x14ac:dyDescent="0.2">
      <c r="B82" s="601"/>
      <c r="C82" s="601"/>
      <c r="D82" s="601"/>
      <c r="E82" s="601"/>
      <c r="F82" s="601"/>
      <c r="G82" s="601"/>
      <c r="H82" s="601"/>
      <c r="I82" s="601"/>
      <c r="J82" s="601"/>
      <c r="K82" s="601"/>
      <c r="L82" s="601"/>
      <c r="M82" s="601"/>
      <c r="N82" s="601"/>
      <c r="O82" s="935"/>
    </row>
    <row r="83" spans="2:15" s="540" customFormat="1" ht="13.15" customHeight="1" x14ac:dyDescent="0.2">
      <c r="B83" s="532"/>
      <c r="C83" s="532"/>
      <c r="D83" s="532"/>
      <c r="E83" s="532"/>
      <c r="F83" s="532"/>
      <c r="G83" s="532"/>
      <c r="H83" s="532"/>
      <c r="I83" s="532"/>
      <c r="J83" s="532"/>
      <c r="K83" s="532"/>
      <c r="L83" s="532"/>
      <c r="M83" s="532"/>
      <c r="N83" s="532"/>
      <c r="O83" s="941"/>
    </row>
    <row r="84" spans="2:15" s="476" customFormat="1" ht="13.15" customHeight="1" x14ac:dyDescent="0.2">
      <c r="B84" s="601"/>
      <c r="C84" s="601"/>
      <c r="D84" s="601"/>
      <c r="E84" s="601"/>
      <c r="F84" s="601"/>
      <c r="G84" s="601"/>
      <c r="H84" s="601"/>
      <c r="I84" s="601"/>
      <c r="J84" s="601"/>
      <c r="K84" s="601"/>
      <c r="L84" s="601"/>
      <c r="M84" s="601"/>
      <c r="N84" s="601"/>
      <c r="O84" s="935"/>
    </row>
    <row r="85" spans="2:15" s="476" customFormat="1" ht="13.15" customHeight="1" x14ac:dyDescent="0.2">
      <c r="B85" s="601"/>
      <c r="C85" s="601"/>
      <c r="D85" s="601"/>
      <c r="E85" s="601"/>
      <c r="F85" s="601"/>
      <c r="G85" s="601"/>
      <c r="H85" s="601"/>
      <c r="I85" s="601"/>
      <c r="J85" s="601"/>
      <c r="K85" s="601"/>
      <c r="L85" s="601"/>
      <c r="M85" s="601"/>
      <c r="N85" s="601"/>
      <c r="O85" s="935"/>
    </row>
    <row r="86" spans="2:15" s="476" customFormat="1" ht="13.15" customHeight="1" x14ac:dyDescent="0.2">
      <c r="B86" s="601"/>
      <c r="C86" s="601"/>
      <c r="D86" s="601"/>
      <c r="E86" s="601"/>
      <c r="F86" s="601"/>
      <c r="G86" s="601"/>
      <c r="H86" s="601"/>
      <c r="I86" s="601"/>
      <c r="J86" s="601"/>
      <c r="K86" s="601"/>
      <c r="L86" s="601"/>
      <c r="M86" s="601"/>
      <c r="N86" s="601"/>
      <c r="O86" s="935"/>
    </row>
    <row r="87" spans="2:15" s="476" customFormat="1" ht="13.15" customHeight="1" x14ac:dyDescent="0.2">
      <c r="B87" s="601"/>
      <c r="C87" s="601"/>
      <c r="D87" s="601"/>
      <c r="E87" s="601"/>
      <c r="F87" s="601"/>
      <c r="G87" s="601"/>
      <c r="H87" s="601"/>
      <c r="I87" s="601"/>
      <c r="J87" s="601"/>
      <c r="K87" s="601"/>
      <c r="L87" s="601"/>
      <c r="M87" s="601"/>
      <c r="N87" s="601"/>
      <c r="O87" s="935"/>
    </row>
    <row r="88" spans="2:15" s="540" customFormat="1" ht="13.15" customHeight="1" x14ac:dyDescent="0.2">
      <c r="B88" s="532"/>
      <c r="C88" s="532"/>
      <c r="D88" s="532"/>
      <c r="E88" s="532"/>
      <c r="F88" s="532"/>
      <c r="G88" s="532"/>
      <c r="H88" s="532"/>
      <c r="I88" s="532"/>
      <c r="J88" s="532"/>
      <c r="K88" s="532"/>
      <c r="L88" s="532"/>
      <c r="M88" s="532"/>
      <c r="N88" s="532"/>
      <c r="O88" s="941"/>
    </row>
    <row r="89" spans="2:15" s="476" customFormat="1" ht="13.15" customHeight="1" x14ac:dyDescent="0.2">
      <c r="B89" s="601"/>
      <c r="C89" s="601"/>
      <c r="D89" s="601"/>
      <c r="E89" s="601"/>
      <c r="F89" s="601"/>
      <c r="G89" s="601"/>
      <c r="H89" s="601"/>
      <c r="I89" s="601"/>
      <c r="J89" s="601"/>
      <c r="K89" s="601"/>
      <c r="L89" s="601"/>
      <c r="M89" s="601"/>
      <c r="N89" s="601"/>
      <c r="O89" s="935"/>
    </row>
    <row r="90" spans="2:15" s="476" customFormat="1" ht="13.15" customHeight="1" x14ac:dyDescent="0.2">
      <c r="B90" s="601"/>
      <c r="C90" s="601"/>
      <c r="D90" s="601"/>
      <c r="E90" s="601"/>
      <c r="F90" s="601"/>
      <c r="G90" s="601"/>
      <c r="H90" s="601"/>
      <c r="I90" s="601"/>
      <c r="J90" s="601"/>
      <c r="K90" s="601"/>
      <c r="L90" s="601"/>
      <c r="M90" s="601"/>
      <c r="N90" s="601"/>
      <c r="O90" s="935"/>
    </row>
    <row r="91" spans="2:15" s="476" customFormat="1" ht="13.15" customHeight="1" x14ac:dyDescent="0.2">
      <c r="B91" s="601"/>
      <c r="C91" s="601"/>
      <c r="D91" s="601"/>
      <c r="E91" s="601"/>
      <c r="F91" s="601"/>
      <c r="G91" s="601"/>
      <c r="H91" s="601"/>
      <c r="I91" s="601"/>
      <c r="J91" s="601"/>
      <c r="K91" s="601"/>
      <c r="L91" s="601"/>
      <c r="M91" s="601"/>
      <c r="N91" s="601"/>
      <c r="O91" s="935"/>
    </row>
    <row r="92" spans="2:15" s="476" customFormat="1" ht="13.15" customHeight="1" x14ac:dyDescent="0.2">
      <c r="B92" s="601"/>
      <c r="C92" s="601"/>
      <c r="D92" s="601"/>
      <c r="E92" s="601"/>
      <c r="F92" s="601"/>
      <c r="G92" s="601"/>
      <c r="H92" s="601"/>
      <c r="I92" s="601"/>
      <c r="J92" s="601"/>
      <c r="K92" s="601"/>
      <c r="L92" s="601"/>
      <c r="M92" s="601"/>
      <c r="N92" s="601"/>
      <c r="O92" s="935"/>
    </row>
    <row r="93" spans="2:15" s="540" customFormat="1" ht="13.15" customHeight="1" x14ac:dyDescent="0.2">
      <c r="B93" s="532"/>
      <c r="C93" s="532"/>
      <c r="D93" s="532"/>
      <c r="E93" s="532"/>
      <c r="F93" s="532"/>
      <c r="G93" s="532"/>
      <c r="H93" s="532"/>
      <c r="I93" s="532"/>
      <c r="J93" s="532"/>
      <c r="K93" s="532"/>
      <c r="L93" s="532"/>
      <c r="M93" s="532"/>
      <c r="N93" s="532"/>
      <c r="O93" s="941"/>
    </row>
    <row r="94" spans="2:15" s="476" customFormat="1" ht="13.15" customHeight="1" x14ac:dyDescent="0.2">
      <c r="B94" s="601"/>
      <c r="C94" s="601"/>
      <c r="D94" s="601"/>
      <c r="E94" s="601"/>
      <c r="F94" s="601"/>
      <c r="G94" s="601"/>
      <c r="H94" s="601"/>
      <c r="I94" s="601"/>
      <c r="J94" s="601"/>
      <c r="K94" s="601"/>
      <c r="L94" s="601"/>
      <c r="M94" s="601"/>
      <c r="N94" s="601"/>
      <c r="O94" s="935"/>
    </row>
    <row r="95" spans="2:15" s="476" customFormat="1" ht="13.15" customHeight="1" x14ac:dyDescent="0.2">
      <c r="B95" s="601"/>
      <c r="C95" s="601"/>
      <c r="D95" s="601"/>
      <c r="E95" s="601"/>
      <c r="F95" s="601"/>
      <c r="G95" s="601"/>
      <c r="H95" s="601"/>
      <c r="I95" s="601"/>
      <c r="J95" s="601"/>
      <c r="K95" s="601"/>
      <c r="L95" s="601"/>
      <c r="M95" s="601"/>
      <c r="N95" s="601"/>
      <c r="O95" s="935"/>
    </row>
    <row r="96" spans="2:15" s="476" customFormat="1" ht="13.15" customHeight="1" x14ac:dyDescent="0.2">
      <c r="B96" s="601"/>
      <c r="C96" s="601"/>
      <c r="D96" s="601"/>
      <c r="E96" s="601"/>
      <c r="F96" s="601"/>
      <c r="G96" s="601"/>
      <c r="H96" s="601"/>
      <c r="I96" s="601"/>
      <c r="J96" s="601"/>
      <c r="K96" s="601"/>
      <c r="L96" s="601"/>
      <c r="M96" s="601"/>
      <c r="N96" s="601"/>
      <c r="O96" s="935"/>
    </row>
    <row r="97" spans="2:15" s="476" customFormat="1" ht="13.15" customHeight="1" x14ac:dyDescent="0.2">
      <c r="B97" s="601"/>
      <c r="C97" s="601"/>
      <c r="D97" s="601"/>
      <c r="E97" s="601"/>
      <c r="F97" s="601"/>
      <c r="G97" s="601"/>
      <c r="H97" s="601"/>
      <c r="I97" s="601"/>
      <c r="J97" s="601"/>
      <c r="K97" s="601"/>
      <c r="L97" s="601"/>
      <c r="M97" s="601"/>
      <c r="N97" s="601"/>
      <c r="O97" s="935"/>
    </row>
    <row r="98" spans="2:15" s="476" customFormat="1" ht="13.15" customHeight="1" x14ac:dyDescent="0.2">
      <c r="B98" s="601"/>
      <c r="C98" s="601"/>
      <c r="D98" s="601"/>
      <c r="E98" s="601"/>
      <c r="F98" s="601"/>
      <c r="G98" s="601"/>
      <c r="H98" s="601"/>
      <c r="I98" s="601"/>
      <c r="J98" s="601"/>
      <c r="K98" s="601"/>
      <c r="L98" s="601"/>
      <c r="M98" s="601"/>
      <c r="N98" s="601"/>
      <c r="O98" s="935"/>
    </row>
    <row r="99" spans="2:15" s="476" customFormat="1" ht="13.15" customHeight="1" x14ac:dyDescent="0.2">
      <c r="B99" s="601"/>
      <c r="C99" s="601"/>
      <c r="D99" s="601"/>
      <c r="E99" s="601"/>
      <c r="F99" s="601"/>
      <c r="G99" s="601"/>
      <c r="H99" s="601"/>
      <c r="I99" s="601"/>
      <c r="J99" s="601"/>
      <c r="K99" s="601"/>
      <c r="L99" s="601"/>
      <c r="M99" s="601"/>
      <c r="N99" s="601"/>
      <c r="O99" s="935"/>
    </row>
    <row r="100" spans="2:15" s="476" customFormat="1" ht="13.15" customHeight="1" x14ac:dyDescent="0.2">
      <c r="B100" s="601"/>
      <c r="C100" s="601"/>
      <c r="D100" s="601"/>
      <c r="E100" s="601"/>
      <c r="F100" s="601"/>
      <c r="G100" s="601"/>
      <c r="H100" s="601"/>
      <c r="I100" s="601"/>
      <c r="J100" s="601"/>
      <c r="K100" s="601"/>
      <c r="L100" s="601"/>
      <c r="M100" s="601"/>
      <c r="N100" s="601"/>
      <c r="O100" s="935"/>
    </row>
    <row r="101" spans="2:15" s="476" customFormat="1" ht="13.15" customHeight="1" x14ac:dyDescent="0.2">
      <c r="B101" s="601"/>
      <c r="C101" s="601"/>
      <c r="D101" s="601"/>
      <c r="E101" s="601"/>
      <c r="F101" s="601"/>
      <c r="G101" s="601"/>
      <c r="H101" s="601"/>
      <c r="I101" s="601"/>
      <c r="J101" s="601"/>
      <c r="K101" s="601"/>
      <c r="L101" s="601"/>
      <c r="M101" s="601"/>
      <c r="N101" s="601"/>
      <c r="O101" s="935"/>
    </row>
    <row r="102" spans="2:15" s="476" customFormat="1" ht="13.15" customHeight="1" x14ac:dyDescent="0.2">
      <c r="B102" s="601"/>
      <c r="C102" s="601"/>
      <c r="D102" s="601"/>
      <c r="E102" s="601"/>
      <c r="F102" s="601"/>
      <c r="G102" s="601"/>
      <c r="H102" s="601"/>
      <c r="I102" s="601"/>
      <c r="J102" s="601"/>
      <c r="K102" s="601"/>
      <c r="L102" s="601"/>
      <c r="M102" s="601"/>
      <c r="N102" s="601"/>
      <c r="O102" s="935"/>
    </row>
    <row r="103" spans="2:15" s="476" customFormat="1" ht="13.15" customHeight="1" x14ac:dyDescent="0.2">
      <c r="H103" s="614"/>
      <c r="I103" s="614"/>
      <c r="J103" s="614"/>
      <c r="K103" s="614"/>
      <c r="L103" s="614"/>
      <c r="M103" s="614"/>
      <c r="O103" s="935"/>
    </row>
    <row r="104" spans="2:15" s="540" customFormat="1" ht="13.15" customHeight="1" x14ac:dyDescent="0.2">
      <c r="H104" s="686"/>
      <c r="I104" s="686"/>
      <c r="J104" s="686"/>
      <c r="K104" s="686"/>
      <c r="L104" s="686"/>
      <c r="M104" s="686"/>
      <c r="O104" s="941"/>
    </row>
    <row r="105" spans="2:15" s="476" customFormat="1" ht="13.15" customHeight="1" x14ac:dyDescent="0.2">
      <c r="H105" s="614"/>
      <c r="I105" s="614"/>
      <c r="J105" s="614"/>
      <c r="K105" s="614"/>
      <c r="L105" s="614"/>
      <c r="M105" s="614"/>
      <c r="O105" s="935"/>
    </row>
    <row r="106" spans="2:15" s="476" customFormat="1" ht="13.15" customHeight="1" x14ac:dyDescent="0.2">
      <c r="H106" s="614"/>
      <c r="I106" s="614"/>
      <c r="J106" s="614"/>
      <c r="K106" s="614"/>
      <c r="L106" s="614"/>
      <c r="M106" s="614"/>
      <c r="O106" s="935"/>
    </row>
    <row r="107" spans="2:15" s="476" customFormat="1" ht="13.15" customHeight="1" x14ac:dyDescent="0.2">
      <c r="H107" s="614"/>
      <c r="I107" s="614"/>
      <c r="J107" s="614"/>
      <c r="K107" s="614"/>
      <c r="L107" s="614"/>
      <c r="M107" s="614"/>
      <c r="O107" s="935"/>
    </row>
    <row r="108" spans="2:15" s="476" customFormat="1" ht="13.15" customHeight="1" x14ac:dyDescent="0.2">
      <c r="H108" s="614"/>
      <c r="I108" s="614"/>
      <c r="J108" s="614"/>
      <c r="K108" s="614"/>
      <c r="L108" s="614"/>
      <c r="M108" s="614"/>
      <c r="O108" s="935"/>
    </row>
    <row r="109" spans="2:15" s="540" customFormat="1" ht="13.15" customHeight="1" x14ac:dyDescent="0.2">
      <c r="H109" s="686"/>
      <c r="I109" s="686"/>
      <c r="J109" s="686"/>
      <c r="K109" s="686"/>
      <c r="L109" s="686"/>
      <c r="M109" s="686"/>
      <c r="O109" s="941"/>
    </row>
    <row r="110" spans="2:15" s="476" customFormat="1" ht="13.15" customHeight="1" x14ac:dyDescent="0.2">
      <c r="H110" s="614"/>
      <c r="I110" s="614"/>
      <c r="J110" s="614"/>
      <c r="K110" s="614"/>
      <c r="L110" s="614"/>
      <c r="M110" s="614"/>
      <c r="O110" s="935"/>
    </row>
    <row r="111" spans="2:15" s="476" customFormat="1" ht="13.15" customHeight="1" x14ac:dyDescent="0.2">
      <c r="H111" s="614"/>
      <c r="I111" s="614"/>
      <c r="J111" s="614"/>
      <c r="K111" s="614"/>
      <c r="L111" s="614"/>
      <c r="M111" s="614"/>
      <c r="O111" s="935"/>
    </row>
    <row r="112" spans="2:15" s="476" customFormat="1" ht="13.15" customHeight="1" x14ac:dyDescent="0.2">
      <c r="H112" s="614"/>
      <c r="I112" s="614"/>
      <c r="J112" s="614"/>
      <c r="K112" s="614"/>
      <c r="L112" s="614"/>
      <c r="M112" s="614"/>
      <c r="O112" s="935"/>
    </row>
    <row r="113" spans="4:15" s="476" customFormat="1" ht="13.15" customHeight="1" x14ac:dyDescent="0.2">
      <c r="H113" s="614"/>
      <c r="I113" s="614"/>
      <c r="J113" s="614"/>
      <c r="K113" s="614"/>
      <c r="L113" s="614"/>
      <c r="M113" s="614"/>
      <c r="O113" s="935"/>
    </row>
    <row r="114" spans="4:15" s="540" customFormat="1" ht="13.15" customHeight="1" x14ac:dyDescent="0.2">
      <c r="H114" s="686"/>
      <c r="I114" s="686"/>
      <c r="J114" s="686"/>
      <c r="K114" s="686"/>
      <c r="L114" s="686"/>
      <c r="M114" s="686"/>
      <c r="O114" s="941"/>
    </row>
    <row r="115" spans="4:15" s="476" customFormat="1" ht="13.15" customHeight="1" x14ac:dyDescent="0.2">
      <c r="H115" s="614"/>
      <c r="I115" s="614"/>
      <c r="J115" s="614"/>
      <c r="K115" s="614"/>
      <c r="L115" s="614"/>
      <c r="M115" s="614"/>
      <c r="O115" s="935"/>
    </row>
    <row r="116" spans="4:15" s="476" customFormat="1" ht="13.15" customHeight="1" x14ac:dyDescent="0.2">
      <c r="H116" s="614"/>
      <c r="I116" s="614"/>
      <c r="J116" s="614"/>
      <c r="K116" s="614"/>
      <c r="L116" s="614"/>
      <c r="M116" s="614"/>
      <c r="O116" s="935"/>
    </row>
    <row r="117" spans="4:15" s="476" customFormat="1" ht="13.15" customHeight="1" x14ac:dyDescent="0.2">
      <c r="H117" s="614"/>
      <c r="I117" s="614"/>
      <c r="J117" s="614"/>
      <c r="K117" s="614"/>
      <c r="L117" s="614"/>
      <c r="M117" s="614"/>
      <c r="O117" s="935"/>
    </row>
    <row r="118" spans="4:15" s="476" customFormat="1" ht="13.15" customHeight="1" x14ac:dyDescent="0.2">
      <c r="H118" s="614"/>
      <c r="I118" s="614"/>
      <c r="J118" s="614"/>
      <c r="K118" s="614"/>
      <c r="L118" s="614"/>
      <c r="M118" s="614"/>
      <c r="O118" s="935"/>
    </row>
    <row r="119" spans="4:15" s="540" customFormat="1" ht="13.15" customHeight="1" x14ac:dyDescent="0.2">
      <c r="H119" s="686"/>
      <c r="I119" s="686"/>
      <c r="J119" s="686"/>
      <c r="K119" s="686"/>
      <c r="L119" s="686"/>
      <c r="M119" s="686"/>
      <c r="O119" s="941"/>
    </row>
    <row r="120" spans="4:15" s="476" customFormat="1" ht="13.15" customHeight="1" x14ac:dyDescent="0.2">
      <c r="H120" s="614"/>
      <c r="I120" s="614"/>
      <c r="J120" s="614"/>
      <c r="K120" s="614"/>
      <c r="L120" s="614"/>
      <c r="M120" s="614"/>
      <c r="O120" s="935"/>
    </row>
    <row r="121" spans="4:15" s="476" customFormat="1" ht="13.15" customHeight="1" x14ac:dyDescent="0.2">
      <c r="H121" s="614"/>
      <c r="I121" s="614"/>
      <c r="J121" s="614"/>
      <c r="K121" s="614"/>
      <c r="L121" s="614"/>
      <c r="M121" s="614"/>
      <c r="O121" s="935"/>
    </row>
    <row r="122" spans="4:15" s="476" customFormat="1" ht="13.15" customHeight="1" x14ac:dyDescent="0.2">
      <c r="H122" s="614"/>
      <c r="I122" s="614"/>
      <c r="J122" s="614"/>
      <c r="K122" s="614"/>
      <c r="L122" s="614"/>
      <c r="M122" s="614"/>
      <c r="O122" s="935"/>
    </row>
    <row r="123" spans="4:15" s="476" customFormat="1" ht="13.15" customHeight="1" x14ac:dyDescent="0.2">
      <c r="H123" s="614"/>
      <c r="I123" s="614"/>
      <c r="J123" s="614"/>
      <c r="K123" s="614"/>
      <c r="L123" s="614"/>
      <c r="M123" s="614"/>
      <c r="O123" s="935"/>
    </row>
    <row r="124" spans="4:15" s="540" customFormat="1" ht="13.15" customHeight="1" x14ac:dyDescent="0.2">
      <c r="H124" s="686"/>
      <c r="I124" s="686"/>
      <c r="J124" s="686"/>
      <c r="K124" s="686"/>
      <c r="L124" s="686"/>
      <c r="M124" s="686"/>
      <c r="O124" s="941"/>
    </row>
    <row r="125" spans="4:15" s="476" customFormat="1" ht="13.15" customHeight="1" x14ac:dyDescent="0.2">
      <c r="H125" s="614"/>
      <c r="I125" s="614"/>
      <c r="J125" s="614"/>
      <c r="K125" s="614"/>
      <c r="L125" s="614"/>
      <c r="M125" s="614"/>
      <c r="O125" s="935"/>
    </row>
    <row r="126" spans="4:15" s="476" customFormat="1" ht="13.15" customHeight="1" x14ac:dyDescent="0.2">
      <c r="H126" s="614"/>
      <c r="I126" s="614"/>
      <c r="J126" s="614"/>
      <c r="K126" s="614"/>
      <c r="L126" s="614"/>
      <c r="M126" s="614"/>
      <c r="O126" s="935"/>
    </row>
    <row r="127" spans="4:15" s="476" customFormat="1" ht="13.15" customHeight="1" x14ac:dyDescent="0.2">
      <c r="D127" s="540"/>
      <c r="E127" s="540"/>
      <c r="F127" s="540"/>
      <c r="G127" s="540"/>
      <c r="H127" s="686"/>
      <c r="I127" s="686"/>
      <c r="J127" s="686"/>
      <c r="K127" s="614"/>
      <c r="L127" s="614"/>
      <c r="M127" s="614"/>
      <c r="O127" s="935"/>
    </row>
    <row r="128" spans="4:15" ht="13.15" customHeight="1" x14ac:dyDescent="0.2">
      <c r="D128" s="135"/>
      <c r="E128" s="135"/>
      <c r="F128" s="135"/>
      <c r="G128" s="135"/>
      <c r="H128" s="138"/>
      <c r="I128" s="138"/>
      <c r="J128" s="138"/>
    </row>
    <row r="129" spans="1:40" s="135" customFormat="1" ht="13.15" customHeight="1" x14ac:dyDescent="0.2">
      <c r="A129" s="540"/>
      <c r="H129" s="138"/>
      <c r="I129" s="138"/>
      <c r="J129" s="138"/>
      <c r="K129" s="138"/>
      <c r="L129" s="138"/>
      <c r="M129" s="138"/>
      <c r="O129" s="941"/>
      <c r="P129" s="540"/>
      <c r="Q129" s="540"/>
      <c r="R129" s="540"/>
      <c r="S129" s="540"/>
      <c r="T129" s="540"/>
      <c r="U129" s="540"/>
      <c r="V129" s="540"/>
      <c r="W129" s="540"/>
      <c r="X129" s="540"/>
      <c r="Y129" s="540"/>
      <c r="Z129" s="540"/>
      <c r="AA129" s="540"/>
      <c r="AB129" s="540"/>
      <c r="AC129" s="540"/>
      <c r="AD129" s="540"/>
      <c r="AE129" s="540"/>
      <c r="AF129" s="540"/>
      <c r="AG129" s="540"/>
      <c r="AH129" s="540"/>
      <c r="AI129" s="540"/>
      <c r="AJ129" s="540"/>
      <c r="AK129" s="540"/>
      <c r="AL129" s="540"/>
      <c r="AM129" s="540"/>
      <c r="AN129" s="540"/>
    </row>
  </sheetData>
  <sheetProtection algorithmName="SHA-512" hashValue="Fn4KNUzDYMivjPXZUdD61MG1zh3G3sW4ErC7w2u9PWjIkGBSsU6qtL603AshlBZcnEzEy416fzD2EDT1MOGntg==" saltValue="8J+blBJ0hoO8uE4jbXOLHg==" spinCount="100000" sheet="1" objects="1" scenarios="1"/>
  <phoneticPr fontId="0" type="noConversion"/>
  <pageMargins left="0.74803149606299213" right="0.74803149606299213" top="0.98425196850393704" bottom="0.98425196850393704" header="0.51181102362204722" footer="0.51181102362204722"/>
  <pageSetup paperSize="9" scale="55" orientation="portrait" r:id="rId1"/>
  <headerFooter alignWithMargins="0">
    <oddHeader>&amp;L&amp;"Arial,Vet"&amp;F&amp;R&amp;"Arial,Vet"&amp;A</oddHeader>
    <oddFooter>&amp;L&amp;"Arial,Vet"keizer / goedhart&amp;C&amp;"Arial,Vet"pagina &amp;P&amp;R&amp;"Arial,Vet"&amp;D</oddFooter>
  </headerFooter>
  <colBreaks count="1" manualBreakCount="1">
    <brk id="14" max="1048575" man="1"/>
  </col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54"/>
  <sheetViews>
    <sheetView zoomScale="85" zoomScaleNormal="85" workbookViewId="0">
      <selection activeCell="B2" sqref="B2"/>
    </sheetView>
  </sheetViews>
  <sheetFormatPr defaultColWidth="9.140625" defaultRowHeight="13.15" customHeight="1" x14ac:dyDescent="0.2"/>
  <cols>
    <col min="1" max="1" width="3.7109375" style="942" customWidth="1"/>
    <col min="2" max="3" width="2.7109375" style="322" customWidth="1"/>
    <col min="4" max="4" width="45.7109375" style="322" customWidth="1"/>
    <col min="5" max="5" width="2.7109375" style="323" customWidth="1"/>
    <col min="6" max="10" width="16.85546875" style="323" customWidth="1"/>
    <col min="11" max="11" width="2.7109375" style="323" customWidth="1"/>
    <col min="12" max="12" width="2.7109375" style="322" customWidth="1"/>
    <col min="13" max="13" width="2.7109375" style="947" customWidth="1"/>
    <col min="14" max="14" width="2.7109375" style="942" customWidth="1"/>
    <col min="15" max="15" width="2.5703125" style="942" customWidth="1"/>
    <col min="16" max="20" width="10.7109375" style="942" customWidth="1"/>
    <col min="21" max="21" width="2.7109375" style="942" customWidth="1"/>
    <col min="22" max="43" width="9.140625" style="942"/>
    <col min="44" max="16384" width="9.140625" style="322"/>
  </cols>
  <sheetData>
    <row r="1" spans="1:43" s="942" customFormat="1" ht="13.15" customHeight="1" x14ac:dyDescent="0.2">
      <c r="E1" s="946"/>
      <c r="F1" s="946"/>
      <c r="G1" s="946"/>
      <c r="H1" s="946"/>
      <c r="I1" s="946"/>
      <c r="J1" s="946"/>
      <c r="K1" s="946"/>
      <c r="M1" s="947"/>
    </row>
    <row r="2" spans="1:43" ht="13.15" customHeight="1" x14ac:dyDescent="0.2">
      <c r="B2" s="82"/>
      <c r="C2" s="83"/>
      <c r="D2" s="83"/>
      <c r="E2" s="84"/>
      <c r="F2" s="84"/>
      <c r="G2" s="84"/>
      <c r="H2" s="84"/>
      <c r="I2" s="84"/>
      <c r="J2" s="600"/>
      <c r="K2" s="84"/>
      <c r="L2" s="85"/>
      <c r="P2" s="947"/>
    </row>
    <row r="3" spans="1:43" ht="13.15" customHeight="1" x14ac:dyDescent="0.2">
      <c r="B3" s="86"/>
      <c r="C3" s="87"/>
      <c r="D3" s="87"/>
      <c r="E3" s="80"/>
      <c r="F3" s="80"/>
      <c r="G3" s="80"/>
      <c r="H3" s="80"/>
      <c r="I3" s="80"/>
      <c r="J3" s="80"/>
      <c r="K3" s="80"/>
      <c r="L3" s="88"/>
    </row>
    <row r="4" spans="1:43" s="325" customFormat="1" ht="18" customHeight="1" x14ac:dyDescent="0.3">
      <c r="A4" s="943"/>
      <c r="B4" s="766"/>
      <c r="C4" s="740" t="s">
        <v>117</v>
      </c>
      <c r="D4" s="227"/>
      <c r="E4" s="324"/>
      <c r="F4" s="767"/>
      <c r="G4" s="324"/>
      <c r="H4" s="324"/>
      <c r="I4" s="324"/>
      <c r="J4" s="324"/>
      <c r="K4" s="324"/>
      <c r="L4" s="228"/>
      <c r="M4" s="948"/>
      <c r="N4" s="943"/>
      <c r="O4" s="943"/>
      <c r="P4" s="943"/>
      <c r="Q4" s="943"/>
      <c r="R4" s="943"/>
      <c r="S4" s="943"/>
      <c r="T4" s="943"/>
      <c r="U4" s="943"/>
      <c r="V4" s="943"/>
      <c r="W4" s="943"/>
      <c r="X4" s="943"/>
      <c r="Y4" s="943"/>
      <c r="Z4" s="943"/>
      <c r="AA4" s="943"/>
      <c r="AB4" s="943"/>
      <c r="AC4" s="943"/>
      <c r="AD4" s="943"/>
      <c r="AE4" s="943"/>
      <c r="AF4" s="943"/>
      <c r="AG4" s="943"/>
      <c r="AH4" s="943"/>
      <c r="AI4" s="943"/>
      <c r="AJ4" s="943"/>
      <c r="AK4" s="943"/>
      <c r="AL4" s="943"/>
      <c r="AM4" s="943"/>
      <c r="AN4" s="943"/>
      <c r="AO4" s="943"/>
      <c r="AP4" s="943"/>
      <c r="AQ4" s="943"/>
    </row>
    <row r="5" spans="1:43" s="775" customFormat="1" ht="15.6" customHeight="1" x14ac:dyDescent="0.25">
      <c r="A5" s="944"/>
      <c r="B5" s="771"/>
      <c r="C5" s="772" t="str">
        <f>'geg LO'!G8</f>
        <v>SWV PO Passend Onderwijs</v>
      </c>
      <c r="D5" s="111"/>
      <c r="E5" s="763"/>
      <c r="F5" s="773"/>
      <c r="G5" s="763"/>
      <c r="H5" s="763"/>
      <c r="I5" s="763"/>
      <c r="J5" s="763"/>
      <c r="K5" s="763"/>
      <c r="L5" s="774"/>
      <c r="M5" s="949"/>
      <c r="N5" s="944"/>
      <c r="O5" s="944"/>
      <c r="P5" s="944"/>
      <c r="Q5" s="944"/>
      <c r="R5" s="944"/>
      <c r="S5" s="944"/>
      <c r="T5" s="944"/>
      <c r="U5" s="944"/>
      <c r="V5" s="944"/>
      <c r="W5" s="944"/>
      <c r="X5" s="944"/>
      <c r="Y5" s="944"/>
      <c r="Z5" s="944"/>
      <c r="AA5" s="944"/>
      <c r="AB5" s="944"/>
      <c r="AC5" s="944"/>
      <c r="AD5" s="944"/>
      <c r="AE5" s="944"/>
      <c r="AF5" s="944"/>
      <c r="AG5" s="944"/>
      <c r="AH5" s="944"/>
      <c r="AI5" s="944"/>
      <c r="AJ5" s="944"/>
      <c r="AK5" s="944"/>
      <c r="AL5" s="944"/>
      <c r="AM5" s="944"/>
      <c r="AN5" s="944"/>
      <c r="AO5" s="944"/>
      <c r="AP5" s="944"/>
      <c r="AQ5" s="944"/>
    </row>
    <row r="6" spans="1:43" ht="13.15" customHeight="1" x14ac:dyDescent="0.2">
      <c r="B6" s="34"/>
      <c r="C6" s="312"/>
      <c r="D6" s="87"/>
      <c r="E6" s="80"/>
      <c r="F6" s="80"/>
      <c r="G6" s="80"/>
      <c r="H6" s="80"/>
      <c r="I6" s="80"/>
      <c r="J6" s="80"/>
      <c r="K6" s="80"/>
      <c r="L6" s="88"/>
    </row>
    <row r="7" spans="1:43" ht="13.15" customHeight="1" x14ac:dyDescent="0.2">
      <c r="B7" s="34"/>
      <c r="C7" s="312"/>
      <c r="D7" s="87"/>
      <c r="E7" s="80"/>
      <c r="F7" s="80"/>
      <c r="G7" s="80"/>
      <c r="H7" s="80"/>
      <c r="I7" s="80"/>
      <c r="J7" s="80"/>
      <c r="K7" s="80"/>
      <c r="L7" s="88"/>
    </row>
    <row r="8" spans="1:43" s="325" customFormat="1" ht="13.15" customHeight="1" x14ac:dyDescent="0.2">
      <c r="A8" s="943"/>
      <c r="B8" s="314"/>
      <c r="C8" s="315"/>
      <c r="D8" s="326"/>
      <c r="E8" s="317"/>
      <c r="F8" s="806">
        <f>tab!C4</f>
        <v>2015</v>
      </c>
      <c r="G8" s="806">
        <f>tab!D4</f>
        <v>2016</v>
      </c>
      <c r="H8" s="806">
        <f>tab!E4</f>
        <v>2017</v>
      </c>
      <c r="I8" s="806">
        <f>tab!F4</f>
        <v>2018</v>
      </c>
      <c r="J8" s="806">
        <f>tab!G4</f>
        <v>2019</v>
      </c>
      <c r="K8" s="317"/>
      <c r="L8" s="228"/>
      <c r="M8" s="948"/>
      <c r="N8" s="943"/>
      <c r="O8" s="943"/>
      <c r="P8" s="943"/>
      <c r="Q8" s="943"/>
      <c r="R8" s="943"/>
      <c r="S8" s="943"/>
      <c r="T8" s="943"/>
      <c r="U8" s="943"/>
      <c r="V8" s="943"/>
      <c r="W8" s="943"/>
      <c r="X8" s="943"/>
      <c r="Y8" s="943"/>
      <c r="Z8" s="943"/>
      <c r="AA8" s="943"/>
      <c r="AB8" s="943"/>
      <c r="AC8" s="943"/>
      <c r="AD8" s="943"/>
      <c r="AE8" s="943"/>
      <c r="AF8" s="943"/>
      <c r="AG8" s="943"/>
      <c r="AH8" s="943"/>
      <c r="AI8" s="943"/>
      <c r="AJ8" s="943"/>
      <c r="AK8" s="943"/>
      <c r="AL8" s="943"/>
      <c r="AM8" s="943"/>
      <c r="AN8" s="943"/>
      <c r="AO8" s="943"/>
      <c r="AP8" s="943"/>
      <c r="AQ8" s="943"/>
    </row>
    <row r="9" spans="1:43" ht="13.15" customHeight="1" x14ac:dyDescent="0.2">
      <c r="B9" s="90"/>
      <c r="C9" s="67"/>
      <c r="D9" s="66"/>
      <c r="E9" s="64"/>
      <c r="F9" s="806"/>
      <c r="G9" s="806"/>
      <c r="H9" s="806"/>
      <c r="I9" s="806"/>
      <c r="J9" s="806"/>
      <c r="K9" s="64"/>
      <c r="L9" s="88"/>
    </row>
    <row r="10" spans="1:43" ht="13.15" customHeight="1" x14ac:dyDescent="0.2">
      <c r="B10" s="86"/>
      <c r="C10" s="1000"/>
      <c r="D10" s="1000"/>
      <c r="E10" s="1076"/>
      <c r="F10" s="1076"/>
      <c r="G10" s="1076"/>
      <c r="H10" s="1076"/>
      <c r="I10" s="1076"/>
      <c r="J10" s="1076"/>
      <c r="K10" s="1076"/>
      <c r="L10" s="517"/>
    </row>
    <row r="11" spans="1:43" s="327" customFormat="1" ht="13.15" customHeight="1" x14ac:dyDescent="0.2">
      <c r="A11" s="945"/>
      <c r="B11" s="90"/>
      <c r="C11" s="1075"/>
      <c r="D11" s="1049" t="s">
        <v>977</v>
      </c>
      <c r="E11" s="1055"/>
      <c r="F11" s="1275">
        <f>bal!G22</f>
        <v>0</v>
      </c>
      <c r="G11" s="1275">
        <f>bal!H22</f>
        <v>0</v>
      </c>
      <c r="H11" s="1275">
        <f>G51</f>
        <v>-78849.180000000022</v>
      </c>
      <c r="I11" s="1275">
        <f>H51</f>
        <v>-161454.60000000003</v>
      </c>
      <c r="J11" s="1275">
        <f>I51</f>
        <v>-246851.28000000006</v>
      </c>
      <c r="K11" s="1055"/>
      <c r="L11" s="1176"/>
      <c r="M11" s="950"/>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5"/>
      <c r="AL11" s="945"/>
      <c r="AM11" s="945"/>
      <c r="AN11" s="945"/>
      <c r="AO11" s="945"/>
      <c r="AP11" s="945"/>
      <c r="AQ11" s="945"/>
    </row>
    <row r="12" spans="1:43" ht="13.15" customHeight="1" x14ac:dyDescent="0.2">
      <c r="B12" s="86"/>
      <c r="C12" s="1000"/>
      <c r="D12" s="1320"/>
      <c r="E12" s="1076"/>
      <c r="F12" s="1076"/>
      <c r="G12" s="1076"/>
      <c r="H12" s="1076"/>
      <c r="I12" s="1076"/>
      <c r="J12" s="1076"/>
      <c r="K12" s="1076"/>
      <c r="L12" s="517"/>
    </row>
    <row r="13" spans="1:43" ht="13.15" customHeight="1" x14ac:dyDescent="0.2">
      <c r="B13" s="86"/>
      <c r="C13" s="87"/>
      <c r="D13" s="87"/>
      <c r="E13" s="80"/>
      <c r="F13" s="80"/>
      <c r="G13" s="80"/>
      <c r="H13" s="80"/>
      <c r="I13" s="80"/>
      <c r="J13" s="80"/>
      <c r="K13" s="80"/>
      <c r="L13" s="88"/>
    </row>
    <row r="14" spans="1:43" ht="13.15" customHeight="1" x14ac:dyDescent="0.2">
      <c r="B14" s="86"/>
      <c r="C14" s="1000"/>
      <c r="D14" s="1000"/>
      <c r="E14" s="1076"/>
      <c r="F14" s="1076"/>
      <c r="G14" s="1076"/>
      <c r="H14" s="1076"/>
      <c r="I14" s="1076"/>
      <c r="J14" s="1076"/>
      <c r="K14" s="1076"/>
      <c r="L14" s="517"/>
    </row>
    <row r="15" spans="1:43" ht="13.15" customHeight="1" x14ac:dyDescent="0.2">
      <c r="B15" s="86"/>
      <c r="C15" s="1000"/>
      <c r="D15" s="1049" t="s">
        <v>362</v>
      </c>
      <c r="E15" s="1076"/>
      <c r="F15" s="1076"/>
      <c r="G15" s="1076"/>
      <c r="H15" s="1076"/>
      <c r="I15" s="1076"/>
      <c r="J15" s="1076"/>
      <c r="K15" s="1076"/>
      <c r="L15" s="517"/>
    </row>
    <row r="16" spans="1:43" ht="13.15" customHeight="1" x14ac:dyDescent="0.2">
      <c r="B16" s="86"/>
      <c r="C16" s="1000"/>
      <c r="D16" s="1075"/>
      <c r="E16" s="1076"/>
      <c r="F16" s="1076"/>
      <c r="G16" s="1076"/>
      <c r="H16" s="1076"/>
      <c r="I16" s="1076"/>
      <c r="J16" s="1076"/>
      <c r="K16" s="1076"/>
      <c r="L16" s="517"/>
    </row>
    <row r="17" spans="2:12" ht="13.15" customHeight="1" x14ac:dyDescent="0.2">
      <c r="B17" s="86"/>
      <c r="C17" s="1000"/>
      <c r="D17" s="1000" t="s">
        <v>345</v>
      </c>
      <c r="E17" s="1076"/>
      <c r="F17" s="1301">
        <f>begr!F44</f>
        <v>0</v>
      </c>
      <c r="G17" s="1301">
        <f>begr!G44</f>
        <v>-78849.180000000022</v>
      </c>
      <c r="H17" s="1301">
        <f>begr!H44</f>
        <v>-82605.420000000013</v>
      </c>
      <c r="I17" s="1301">
        <f>begr!I44</f>
        <v>-85396.680000000022</v>
      </c>
      <c r="J17" s="1301">
        <f>begr!J44</f>
        <v>-86780.160000000003</v>
      </c>
      <c r="K17" s="1076"/>
      <c r="L17" s="517"/>
    </row>
    <row r="18" spans="2:12" ht="13.15" customHeight="1" x14ac:dyDescent="0.2">
      <c r="B18" s="86"/>
      <c r="C18" s="1000"/>
      <c r="D18" s="1000"/>
      <c r="E18" s="1076"/>
      <c r="F18" s="1076"/>
      <c r="G18" s="1076"/>
      <c r="H18" s="1076"/>
      <c r="I18" s="1076"/>
      <c r="J18" s="1076"/>
      <c r="K18" s="1076"/>
      <c r="L18" s="517"/>
    </row>
    <row r="19" spans="2:12" ht="13.15" customHeight="1" x14ac:dyDescent="0.2">
      <c r="B19" s="86"/>
      <c r="C19" s="1000"/>
      <c r="D19" s="1000" t="s">
        <v>223</v>
      </c>
      <c r="E19" s="1076"/>
      <c r="F19" s="1249">
        <f>act!G34</f>
        <v>0</v>
      </c>
      <c r="G19" s="1249">
        <f>act!H34</f>
        <v>0</v>
      </c>
      <c r="H19" s="1249">
        <f>act!I34</f>
        <v>0</v>
      </c>
      <c r="I19" s="1249">
        <f>act!J34</f>
        <v>0</v>
      </c>
      <c r="J19" s="1249">
        <f>act!K34</f>
        <v>0</v>
      </c>
      <c r="K19" s="1076"/>
      <c r="L19" s="517"/>
    </row>
    <row r="20" spans="2:12" ht="13.15" customHeight="1" x14ac:dyDescent="0.2">
      <c r="B20" s="86"/>
      <c r="C20" s="1000"/>
      <c r="D20" s="1000"/>
      <c r="E20" s="1076"/>
      <c r="F20" s="1245"/>
      <c r="G20" s="1245"/>
      <c r="H20" s="1245"/>
      <c r="I20" s="1245"/>
      <c r="J20" s="1245"/>
      <c r="K20" s="1076"/>
      <c r="L20" s="517"/>
    </row>
    <row r="21" spans="2:12" ht="13.15" customHeight="1" x14ac:dyDescent="0.2">
      <c r="B21" s="86"/>
      <c r="C21" s="1000"/>
      <c r="D21" s="1321" t="s">
        <v>363</v>
      </c>
      <c r="E21" s="1076"/>
      <c r="F21" s="1245"/>
      <c r="G21" s="1245"/>
      <c r="H21" s="1245"/>
      <c r="I21" s="1245"/>
      <c r="J21" s="1245"/>
      <c r="K21" s="1076"/>
      <c r="L21" s="517"/>
    </row>
    <row r="22" spans="2:12" ht="13.15" customHeight="1" x14ac:dyDescent="0.2">
      <c r="B22" s="86"/>
      <c r="C22" s="1000"/>
      <c r="D22" s="1000" t="s">
        <v>364</v>
      </c>
      <c r="E22" s="1076"/>
      <c r="F22" s="1249">
        <f>bal!G19-bal!H19</f>
        <v>0</v>
      </c>
      <c r="G22" s="1249">
        <f>bal!H19-bal!I19</f>
        <v>0</v>
      </c>
      <c r="H22" s="1249">
        <f>bal!I19-bal!J19</f>
        <v>0</v>
      </c>
      <c r="I22" s="1249">
        <f>bal!J19-bal!K19</f>
        <v>0</v>
      </c>
      <c r="J22" s="1249">
        <f>bal!K19-bal!L19</f>
        <v>0</v>
      </c>
      <c r="K22" s="1076"/>
      <c r="L22" s="517"/>
    </row>
    <row r="23" spans="2:12" ht="13.15" customHeight="1" x14ac:dyDescent="0.2">
      <c r="B23" s="86"/>
      <c r="C23" s="1000"/>
      <c r="D23" s="1000" t="s">
        <v>365</v>
      </c>
      <c r="E23" s="1076"/>
      <c r="F23" s="1249">
        <f>bal!G20-bal!H20</f>
        <v>0</v>
      </c>
      <c r="G23" s="1249">
        <f>bal!H20-bal!I20</f>
        <v>0</v>
      </c>
      <c r="H23" s="1249">
        <f>bal!I20-bal!J20</f>
        <v>0</v>
      </c>
      <c r="I23" s="1249">
        <f>bal!J20-bal!K20</f>
        <v>0</v>
      </c>
      <c r="J23" s="1249">
        <f>bal!K20-bal!L20</f>
        <v>0</v>
      </c>
      <c r="K23" s="1076"/>
      <c r="L23" s="517"/>
    </row>
    <row r="24" spans="2:12" ht="13.15" customHeight="1" x14ac:dyDescent="0.2">
      <c r="B24" s="86"/>
      <c r="C24" s="1000"/>
      <c r="D24" s="1000" t="s">
        <v>366</v>
      </c>
      <c r="E24" s="1076"/>
      <c r="F24" s="1249">
        <f>bal!G21-bal!H21</f>
        <v>0</v>
      </c>
      <c r="G24" s="1249">
        <f>bal!H21-bal!I21</f>
        <v>0</v>
      </c>
      <c r="H24" s="1249">
        <f>bal!I21-bal!J21</f>
        <v>0</v>
      </c>
      <c r="I24" s="1249">
        <f>bal!J21-bal!K21</f>
        <v>0</v>
      </c>
      <c r="J24" s="1249">
        <f>bal!K21-bal!L21</f>
        <v>0</v>
      </c>
      <c r="K24" s="1076"/>
      <c r="L24" s="517"/>
    </row>
    <row r="25" spans="2:12" ht="13.15" customHeight="1" x14ac:dyDescent="0.2">
      <c r="B25" s="86"/>
      <c r="C25" s="1000"/>
      <c r="D25" s="1000" t="s">
        <v>367</v>
      </c>
      <c r="E25" s="1076"/>
      <c r="F25" s="1249">
        <f>bal!H55-bal!G55</f>
        <v>0</v>
      </c>
      <c r="G25" s="1249">
        <f>bal!I55-bal!H55</f>
        <v>0</v>
      </c>
      <c r="H25" s="1249">
        <f>bal!J55-bal!I55</f>
        <v>0</v>
      </c>
      <c r="I25" s="1249">
        <f>bal!K55-bal!J55</f>
        <v>0</v>
      </c>
      <c r="J25" s="1249">
        <f>bal!L55-bal!K55</f>
        <v>0</v>
      </c>
      <c r="K25" s="1076"/>
      <c r="L25" s="517"/>
    </row>
    <row r="26" spans="2:12" ht="13.15" customHeight="1" x14ac:dyDescent="0.2">
      <c r="B26" s="86"/>
      <c r="C26" s="1000"/>
      <c r="D26" s="1000"/>
      <c r="E26" s="1076"/>
      <c r="F26" s="1317">
        <f t="shared" ref="F26:I26" si="0">SUM(F22:F25)</f>
        <v>0</v>
      </c>
      <c r="G26" s="1317">
        <f t="shared" si="0"/>
        <v>0</v>
      </c>
      <c r="H26" s="1317">
        <f t="shared" si="0"/>
        <v>0</v>
      </c>
      <c r="I26" s="1317">
        <f t="shared" si="0"/>
        <v>0</v>
      </c>
      <c r="J26" s="1317">
        <f t="shared" ref="J26" si="1">SUM(J22:J25)</f>
        <v>0</v>
      </c>
      <c r="K26" s="1076"/>
      <c r="L26" s="517"/>
    </row>
    <row r="27" spans="2:12" ht="13.15" customHeight="1" x14ac:dyDescent="0.2">
      <c r="B27" s="86"/>
      <c r="C27" s="1000"/>
      <c r="D27" s="1322"/>
      <c r="E27" s="1076"/>
      <c r="F27" s="1245"/>
      <c r="G27" s="1245"/>
      <c r="H27" s="1245"/>
      <c r="I27" s="1245"/>
      <c r="J27" s="1245"/>
      <c r="K27" s="1076"/>
      <c r="L27" s="517"/>
    </row>
    <row r="28" spans="2:12" ht="13.15" customHeight="1" x14ac:dyDescent="0.2">
      <c r="B28" s="86"/>
      <c r="C28" s="1000"/>
      <c r="D28" s="1000" t="s">
        <v>368</v>
      </c>
      <c r="E28" s="1076"/>
      <c r="F28" s="1249">
        <f>bal!H42-bal!G42</f>
        <v>0</v>
      </c>
      <c r="G28" s="1249">
        <f>bal!I42-bal!H42</f>
        <v>0</v>
      </c>
      <c r="H28" s="1249">
        <f>bal!J42-bal!I42</f>
        <v>0</v>
      </c>
      <c r="I28" s="1249">
        <f>bal!K42-bal!J42</f>
        <v>0</v>
      </c>
      <c r="J28" s="1249">
        <f>bal!L42-bal!K42</f>
        <v>0</v>
      </c>
      <c r="K28" s="1076"/>
      <c r="L28" s="517"/>
    </row>
    <row r="29" spans="2:12" ht="13.15" customHeight="1" x14ac:dyDescent="0.2">
      <c r="B29" s="86"/>
      <c r="C29" s="1000"/>
      <c r="D29" s="1000"/>
      <c r="E29" s="1076"/>
      <c r="F29" s="1245"/>
      <c r="G29" s="1245"/>
      <c r="H29" s="1245"/>
      <c r="I29" s="1245"/>
      <c r="J29" s="1245"/>
      <c r="K29" s="1076"/>
      <c r="L29" s="517"/>
    </row>
    <row r="30" spans="2:12" ht="13.15" customHeight="1" x14ac:dyDescent="0.2">
      <c r="B30" s="86"/>
      <c r="C30" s="1000"/>
      <c r="D30" s="1075" t="s">
        <v>173</v>
      </c>
      <c r="E30" s="1076"/>
      <c r="F30" s="1255">
        <f t="shared" ref="F30:I30" si="2">F17+F19+F26+F28</f>
        <v>0</v>
      </c>
      <c r="G30" s="1255">
        <f t="shared" si="2"/>
        <v>-78849.180000000022</v>
      </c>
      <c r="H30" s="1255">
        <f t="shared" si="2"/>
        <v>-82605.420000000013</v>
      </c>
      <c r="I30" s="1255">
        <f t="shared" si="2"/>
        <v>-85396.680000000022</v>
      </c>
      <c r="J30" s="1255">
        <f t="shared" ref="J30" si="3">J17+J19+J26+J28</f>
        <v>-86780.160000000003</v>
      </c>
      <c r="K30" s="1076"/>
      <c r="L30" s="517"/>
    </row>
    <row r="31" spans="2:12" ht="13.15" customHeight="1" x14ac:dyDescent="0.2">
      <c r="B31" s="86"/>
      <c r="C31" s="1000"/>
      <c r="D31" s="1000"/>
      <c r="E31" s="1076"/>
      <c r="F31" s="1245"/>
      <c r="G31" s="1245"/>
      <c r="H31" s="1245"/>
      <c r="I31" s="1245"/>
      <c r="J31" s="1245"/>
      <c r="K31" s="1076"/>
      <c r="L31" s="517"/>
    </row>
    <row r="32" spans="2:12" ht="13.15" customHeight="1" x14ac:dyDescent="0.2">
      <c r="B32" s="86"/>
      <c r="C32" s="87"/>
      <c r="D32" s="87"/>
      <c r="E32" s="80"/>
      <c r="F32" s="80"/>
      <c r="G32" s="80"/>
      <c r="H32" s="80"/>
      <c r="I32" s="80"/>
      <c r="J32" s="80"/>
      <c r="K32" s="80"/>
      <c r="L32" s="88"/>
    </row>
    <row r="33" spans="2:12" ht="13.15" customHeight="1" x14ac:dyDescent="0.2">
      <c r="B33" s="86"/>
      <c r="C33" s="1000"/>
      <c r="D33" s="1000"/>
      <c r="E33" s="1076"/>
      <c r="F33" s="1245"/>
      <c r="G33" s="1245"/>
      <c r="H33" s="1245"/>
      <c r="I33" s="1245"/>
      <c r="J33" s="1245"/>
      <c r="K33" s="1076"/>
      <c r="L33" s="517"/>
    </row>
    <row r="34" spans="2:12" ht="13.15" customHeight="1" x14ac:dyDescent="0.2">
      <c r="B34" s="86"/>
      <c r="C34" s="1000"/>
      <c r="D34" s="1049" t="s">
        <v>369</v>
      </c>
      <c r="E34" s="1076"/>
      <c r="F34" s="1245"/>
      <c r="G34" s="1245"/>
      <c r="H34" s="1245"/>
      <c r="I34" s="1245"/>
      <c r="J34" s="1245"/>
      <c r="K34" s="1076"/>
      <c r="L34" s="517"/>
    </row>
    <row r="35" spans="2:12" ht="13.15" customHeight="1" x14ac:dyDescent="0.2">
      <c r="B35" s="86"/>
      <c r="C35" s="1000"/>
      <c r="D35" s="1075"/>
      <c r="E35" s="1076"/>
      <c r="F35" s="1245"/>
      <c r="G35" s="1245"/>
      <c r="H35" s="1245"/>
      <c r="I35" s="1245"/>
      <c r="J35" s="1245"/>
      <c r="K35" s="1076"/>
      <c r="L35" s="517"/>
    </row>
    <row r="36" spans="2:12" ht="13.15" customHeight="1" x14ac:dyDescent="0.2">
      <c r="B36" s="86"/>
      <c r="C36" s="1000"/>
      <c r="D36" s="1000" t="s">
        <v>411</v>
      </c>
      <c r="E36" s="1076"/>
      <c r="F36" s="1249">
        <f>act!G25</f>
        <v>0</v>
      </c>
      <c r="G36" s="1249">
        <f>act!H25</f>
        <v>0</v>
      </c>
      <c r="H36" s="1249">
        <f>act!I25</f>
        <v>0</v>
      </c>
      <c r="I36" s="1249">
        <f>act!J25</f>
        <v>0</v>
      </c>
      <c r="J36" s="1249">
        <f>act!K25</f>
        <v>0</v>
      </c>
      <c r="K36" s="1076"/>
      <c r="L36" s="517"/>
    </row>
    <row r="37" spans="2:12" ht="13.15" customHeight="1" x14ac:dyDescent="0.2">
      <c r="B37" s="86"/>
      <c r="C37" s="1000"/>
      <c r="D37" s="1000" t="s">
        <v>412</v>
      </c>
      <c r="E37" s="1076"/>
      <c r="F37" s="1249">
        <f>bal!H14-bal!G14</f>
        <v>0</v>
      </c>
      <c r="G37" s="1249">
        <f>bal!I14-bal!H14</f>
        <v>0</v>
      </c>
      <c r="H37" s="1249">
        <f>bal!J14-bal!I14</f>
        <v>0</v>
      </c>
      <c r="I37" s="1249">
        <f>bal!K14-bal!J14</f>
        <v>0</v>
      </c>
      <c r="J37" s="1249">
        <f>bal!L14-bal!K14</f>
        <v>0</v>
      </c>
      <c r="K37" s="1076"/>
      <c r="L37" s="517"/>
    </row>
    <row r="38" spans="2:12" ht="13.15" customHeight="1" x14ac:dyDescent="0.2">
      <c r="B38" s="86"/>
      <c r="C38" s="1000"/>
      <c r="D38" s="1000" t="s">
        <v>413</v>
      </c>
      <c r="E38" s="1076"/>
      <c r="F38" s="1249">
        <f>bal!H16-bal!G16</f>
        <v>0</v>
      </c>
      <c r="G38" s="1249">
        <f>bal!I16-bal!H16</f>
        <v>0</v>
      </c>
      <c r="H38" s="1249">
        <f>bal!J16-bal!I16</f>
        <v>0</v>
      </c>
      <c r="I38" s="1249">
        <f>bal!K16-bal!J16</f>
        <v>0</v>
      </c>
      <c r="J38" s="1249">
        <f>bal!L16-bal!K16</f>
        <v>0</v>
      </c>
      <c r="K38" s="1076"/>
      <c r="L38" s="517"/>
    </row>
    <row r="39" spans="2:12" ht="13.15" customHeight="1" x14ac:dyDescent="0.2">
      <c r="B39" s="86"/>
      <c r="C39" s="1000"/>
      <c r="D39" s="1000"/>
      <c r="E39" s="1076"/>
      <c r="F39" s="1245"/>
      <c r="G39" s="1245"/>
      <c r="H39" s="1245"/>
      <c r="I39" s="1245"/>
      <c r="J39" s="1245"/>
      <c r="K39" s="1076"/>
      <c r="L39" s="517"/>
    </row>
    <row r="40" spans="2:12" ht="13.15" customHeight="1" x14ac:dyDescent="0.2">
      <c r="B40" s="86"/>
      <c r="C40" s="1000"/>
      <c r="D40" s="1075"/>
      <c r="E40" s="1076"/>
      <c r="F40" s="1268">
        <f t="shared" ref="F40:I40" si="4">SUM(F36:F38)</f>
        <v>0</v>
      </c>
      <c r="G40" s="1268">
        <f t="shared" si="4"/>
        <v>0</v>
      </c>
      <c r="H40" s="1268">
        <f t="shared" si="4"/>
        <v>0</v>
      </c>
      <c r="I40" s="1268">
        <f t="shared" si="4"/>
        <v>0</v>
      </c>
      <c r="J40" s="1268">
        <f t="shared" ref="J40" si="5">SUM(J36:J38)</f>
        <v>0</v>
      </c>
      <c r="K40" s="1076"/>
      <c r="L40" s="517"/>
    </row>
    <row r="41" spans="2:12" ht="13.15" customHeight="1" x14ac:dyDescent="0.2">
      <c r="B41" s="86"/>
      <c r="C41" s="1000"/>
      <c r="D41" s="1000"/>
      <c r="E41" s="1076"/>
      <c r="F41" s="1245"/>
      <c r="G41" s="1245"/>
      <c r="H41" s="1245"/>
      <c r="I41" s="1245"/>
      <c r="J41" s="1245"/>
      <c r="K41" s="1076"/>
      <c r="L41" s="517"/>
    </row>
    <row r="42" spans="2:12" ht="13.15" customHeight="1" x14ac:dyDescent="0.2">
      <c r="B42" s="86"/>
      <c r="C42" s="87"/>
      <c r="D42" s="87"/>
      <c r="E42" s="80"/>
      <c r="F42" s="80"/>
      <c r="G42" s="80"/>
      <c r="H42" s="80"/>
      <c r="I42" s="80"/>
      <c r="J42" s="80"/>
      <c r="K42" s="80"/>
      <c r="L42" s="88"/>
    </row>
    <row r="43" spans="2:12" ht="13.15" customHeight="1" x14ac:dyDescent="0.2">
      <c r="B43" s="86"/>
      <c r="C43" s="1000"/>
      <c r="D43" s="1000"/>
      <c r="E43" s="1076"/>
      <c r="F43" s="1245"/>
      <c r="G43" s="1245"/>
      <c r="H43" s="1245"/>
      <c r="I43" s="1245"/>
      <c r="J43" s="1245"/>
      <c r="K43" s="1076"/>
      <c r="L43" s="517"/>
    </row>
    <row r="44" spans="2:12" ht="13.15" customHeight="1" x14ac:dyDescent="0.2">
      <c r="B44" s="86"/>
      <c r="C44" s="1000"/>
      <c r="D44" s="1049" t="s">
        <v>370</v>
      </c>
      <c r="E44" s="1076"/>
      <c r="F44" s="1255">
        <f>bal!H46-bal!G46</f>
        <v>0</v>
      </c>
      <c r="G44" s="1255">
        <f>bal!I46-bal!H46</f>
        <v>0</v>
      </c>
      <c r="H44" s="1255">
        <f>bal!J46-bal!I46</f>
        <v>0</v>
      </c>
      <c r="I44" s="1255">
        <f>bal!K46-bal!J46</f>
        <v>0</v>
      </c>
      <c r="J44" s="1255">
        <f>bal!L46-bal!K46</f>
        <v>0</v>
      </c>
      <c r="K44" s="1076"/>
      <c r="L44" s="517"/>
    </row>
    <row r="45" spans="2:12" ht="13.15" customHeight="1" x14ac:dyDescent="0.2">
      <c r="B45" s="86"/>
      <c r="C45" s="1000"/>
      <c r="D45" s="1075"/>
      <c r="E45" s="1076"/>
      <c r="F45" s="1245"/>
      <c r="G45" s="1245"/>
      <c r="H45" s="1245"/>
      <c r="I45" s="1245"/>
      <c r="J45" s="1245"/>
      <c r="K45" s="1076"/>
      <c r="L45" s="517"/>
    </row>
    <row r="46" spans="2:12" ht="13.15" customHeight="1" x14ac:dyDescent="0.2">
      <c r="B46" s="86"/>
      <c r="C46" s="87"/>
      <c r="D46" s="87"/>
      <c r="E46" s="80"/>
      <c r="F46" s="80"/>
      <c r="G46" s="80"/>
      <c r="H46" s="80"/>
      <c r="I46" s="80"/>
      <c r="J46" s="80"/>
      <c r="K46" s="80"/>
      <c r="L46" s="88"/>
    </row>
    <row r="47" spans="2:12" ht="13.15" customHeight="1" x14ac:dyDescent="0.2">
      <c r="B47" s="86"/>
      <c r="C47" s="1000"/>
      <c r="D47" s="1000"/>
      <c r="E47" s="1076"/>
      <c r="F47" s="1245"/>
      <c r="G47" s="1245"/>
      <c r="H47" s="1245"/>
      <c r="I47" s="1245"/>
      <c r="J47" s="1245"/>
      <c r="K47" s="1076"/>
      <c r="L47" s="517"/>
    </row>
    <row r="48" spans="2:12" ht="13.15" customHeight="1" x14ac:dyDescent="0.2">
      <c r="B48" s="86"/>
      <c r="C48" s="1000"/>
      <c r="D48" s="1194" t="s">
        <v>371</v>
      </c>
      <c r="E48" s="1076"/>
      <c r="F48" s="1255">
        <f t="shared" ref="F48:I48" si="6">F30-F40+F44</f>
        <v>0</v>
      </c>
      <c r="G48" s="1255">
        <f t="shared" si="6"/>
        <v>-78849.180000000022</v>
      </c>
      <c r="H48" s="1255">
        <f t="shared" si="6"/>
        <v>-82605.420000000013</v>
      </c>
      <c r="I48" s="1255">
        <f t="shared" si="6"/>
        <v>-85396.680000000022</v>
      </c>
      <c r="J48" s="1255">
        <f t="shared" ref="J48" si="7">J30-J40+J44</f>
        <v>-86780.160000000003</v>
      </c>
      <c r="K48" s="1076"/>
      <c r="L48" s="517"/>
    </row>
    <row r="49" spans="1:43" ht="13.15" customHeight="1" x14ac:dyDescent="0.2">
      <c r="B49" s="86"/>
      <c r="C49" s="1000"/>
      <c r="D49" s="1145" t="s">
        <v>372</v>
      </c>
      <c r="E49" s="1323"/>
      <c r="F49" s="1186">
        <f>bal!H22-bal!G22</f>
        <v>0</v>
      </c>
      <c r="G49" s="1186">
        <f>bal!I22-bal!H22</f>
        <v>-78849.180000000022</v>
      </c>
      <c r="H49" s="1186">
        <f>bal!J22-bal!I22</f>
        <v>-82605.420000000013</v>
      </c>
      <c r="I49" s="1186">
        <f>bal!K22-bal!J22</f>
        <v>-85396.680000000022</v>
      </c>
      <c r="J49" s="1186">
        <f>bal!L22-bal!K22</f>
        <v>-86780.160000000003</v>
      </c>
      <c r="K49" s="1076"/>
      <c r="L49" s="517"/>
    </row>
    <row r="50" spans="1:43" ht="13.15" customHeight="1" x14ac:dyDescent="0.2">
      <c r="B50" s="86"/>
      <c r="C50" s="1000"/>
      <c r="D50" s="1000"/>
      <c r="E50" s="1076"/>
      <c r="F50" s="1245"/>
      <c r="G50" s="1245"/>
      <c r="H50" s="1245"/>
      <c r="I50" s="1245"/>
      <c r="J50" s="1245"/>
      <c r="K50" s="1076"/>
      <c r="L50" s="517"/>
    </row>
    <row r="51" spans="1:43" s="327" customFormat="1" ht="13.15" customHeight="1" x14ac:dyDescent="0.2">
      <c r="A51" s="945"/>
      <c r="B51" s="90"/>
      <c r="C51" s="1075"/>
      <c r="D51" s="1049" t="s">
        <v>373</v>
      </c>
      <c r="E51" s="1055"/>
      <c r="F51" s="1290">
        <f t="shared" ref="F51:I51" si="8">F11+F48</f>
        <v>0</v>
      </c>
      <c r="G51" s="1255">
        <f t="shared" si="8"/>
        <v>-78849.180000000022</v>
      </c>
      <c r="H51" s="1255">
        <f t="shared" si="8"/>
        <v>-161454.60000000003</v>
      </c>
      <c r="I51" s="1255">
        <f t="shared" si="8"/>
        <v>-246851.28000000006</v>
      </c>
      <c r="J51" s="1255">
        <f t="shared" ref="J51" si="9">J11+J48</f>
        <v>-333631.44000000006</v>
      </c>
      <c r="K51" s="1055"/>
      <c r="L51" s="1176"/>
      <c r="M51" s="950"/>
      <c r="N51" s="945"/>
      <c r="O51" s="945"/>
      <c r="P51" s="945"/>
      <c r="Q51" s="945"/>
      <c r="R51" s="945"/>
      <c r="S51" s="945"/>
      <c r="T51" s="945"/>
      <c r="U51" s="945"/>
      <c r="V51" s="945"/>
      <c r="W51" s="945"/>
      <c r="X51" s="945"/>
      <c r="Y51" s="945"/>
      <c r="Z51" s="945"/>
      <c r="AA51" s="945"/>
      <c r="AB51" s="945"/>
      <c r="AC51" s="945"/>
      <c r="AD51" s="945"/>
      <c r="AE51" s="945"/>
      <c r="AF51" s="945"/>
      <c r="AG51" s="945"/>
      <c r="AH51" s="945"/>
      <c r="AI51" s="945"/>
      <c r="AJ51" s="945"/>
      <c r="AK51" s="945"/>
      <c r="AL51" s="945"/>
      <c r="AM51" s="945"/>
      <c r="AN51" s="945"/>
      <c r="AO51" s="945"/>
      <c r="AP51" s="945"/>
      <c r="AQ51" s="945"/>
    </row>
    <row r="52" spans="1:43" s="327" customFormat="1" ht="13.15" customHeight="1" x14ac:dyDescent="0.2">
      <c r="A52" s="945"/>
      <c r="B52" s="90"/>
      <c r="C52" s="1075"/>
      <c r="D52" s="1122" t="s">
        <v>374</v>
      </c>
      <c r="E52" s="1324"/>
      <c r="F52" s="1325" t="e">
        <f>bal!H23/bal!H55</f>
        <v>#DIV/0!</v>
      </c>
      <c r="G52" s="1325" t="e">
        <f>bal!I23/bal!I55</f>
        <v>#DIV/0!</v>
      </c>
      <c r="H52" s="1325" t="e">
        <f>bal!J23/bal!J55</f>
        <v>#DIV/0!</v>
      </c>
      <c r="I52" s="1325" t="e">
        <f>bal!K23/bal!K55</f>
        <v>#DIV/0!</v>
      </c>
      <c r="J52" s="1325" t="e">
        <f>bal!L23/bal!L55</f>
        <v>#DIV/0!</v>
      </c>
      <c r="K52" s="1055"/>
      <c r="L52" s="1176"/>
      <c r="M52" s="950"/>
      <c r="N52" s="945"/>
      <c r="O52" s="945"/>
      <c r="P52" s="945"/>
      <c r="Q52" s="945"/>
      <c r="R52" s="945"/>
      <c r="S52" s="945"/>
      <c r="T52" s="945"/>
      <c r="U52" s="945"/>
      <c r="V52" s="945"/>
      <c r="W52" s="945"/>
      <c r="X52" s="945"/>
      <c r="Y52" s="945"/>
      <c r="Z52" s="945"/>
      <c r="AA52" s="945"/>
      <c r="AB52" s="945"/>
      <c r="AC52" s="945"/>
      <c r="AD52" s="945"/>
      <c r="AE52" s="945"/>
      <c r="AF52" s="945"/>
      <c r="AG52" s="945"/>
      <c r="AH52" s="945"/>
      <c r="AI52" s="945"/>
      <c r="AJ52" s="945"/>
      <c r="AK52" s="945"/>
      <c r="AL52" s="945"/>
      <c r="AM52" s="945"/>
      <c r="AN52" s="945"/>
      <c r="AO52" s="945"/>
      <c r="AP52" s="945"/>
      <c r="AQ52" s="945"/>
    </row>
    <row r="53" spans="1:43" ht="13.15" customHeight="1" x14ac:dyDescent="0.2">
      <c r="B53" s="86"/>
      <c r="C53" s="1000"/>
      <c r="D53" s="1000"/>
      <c r="E53" s="1076"/>
      <c r="F53" s="1326"/>
      <c r="G53" s="1326"/>
      <c r="H53" s="1326"/>
      <c r="I53" s="1326"/>
      <c r="J53" s="1326"/>
      <c r="K53" s="1076"/>
      <c r="L53" s="517"/>
    </row>
    <row r="54" spans="1:43" ht="13.15" customHeight="1" x14ac:dyDescent="0.2">
      <c r="B54" s="86"/>
      <c r="C54" s="87"/>
      <c r="D54" s="87"/>
      <c r="E54" s="80"/>
      <c r="F54" s="328"/>
      <c r="G54" s="328"/>
      <c r="H54" s="328"/>
      <c r="I54" s="328"/>
      <c r="J54" s="328"/>
      <c r="K54" s="80"/>
      <c r="L54" s="88"/>
    </row>
    <row r="55" spans="1:43" ht="13.15" customHeight="1" x14ac:dyDescent="0.25">
      <c r="B55" s="96"/>
      <c r="C55" s="93"/>
      <c r="D55" s="93"/>
      <c r="E55" s="94"/>
      <c r="F55" s="289"/>
      <c r="G55" s="289"/>
      <c r="H55" s="289"/>
      <c r="I55" s="289"/>
      <c r="J55" s="289"/>
      <c r="K55" s="36" t="s">
        <v>464</v>
      </c>
      <c r="L55" s="95"/>
    </row>
    <row r="56" spans="1:43" s="942" customFormat="1" ht="13.15" customHeight="1" x14ac:dyDescent="0.2">
      <c r="E56" s="946"/>
      <c r="F56" s="946"/>
      <c r="G56" s="946"/>
      <c r="H56" s="946"/>
      <c r="I56" s="946"/>
      <c r="J56" s="946"/>
      <c r="K56" s="946"/>
      <c r="M56" s="947"/>
    </row>
    <row r="57" spans="1:43" s="942" customFormat="1" ht="13.15" customHeight="1" x14ac:dyDescent="0.2">
      <c r="E57" s="946"/>
      <c r="F57" s="946"/>
      <c r="G57" s="946"/>
      <c r="H57" s="946"/>
      <c r="I57" s="946"/>
      <c r="J57" s="946"/>
      <c r="K57" s="946"/>
      <c r="M57" s="947"/>
    </row>
    <row r="58" spans="1:43" s="942" customFormat="1" ht="13.15" customHeight="1" x14ac:dyDescent="0.2">
      <c r="E58" s="946"/>
      <c r="F58" s="946"/>
      <c r="G58" s="946"/>
      <c r="H58" s="946"/>
      <c r="I58" s="946"/>
      <c r="J58" s="946"/>
      <c r="K58" s="946"/>
      <c r="M58" s="947"/>
    </row>
    <row r="59" spans="1:43" s="942" customFormat="1" ht="13.15" customHeight="1" x14ac:dyDescent="0.2">
      <c r="E59" s="946"/>
      <c r="F59" s="946"/>
      <c r="G59" s="946"/>
      <c r="H59" s="946"/>
      <c r="I59" s="946"/>
      <c r="J59" s="946"/>
      <c r="K59" s="946"/>
      <c r="M59" s="947"/>
    </row>
    <row r="60" spans="1:43" s="942" customFormat="1" ht="13.15" customHeight="1" x14ac:dyDescent="0.2">
      <c r="E60" s="946"/>
      <c r="F60" s="946"/>
      <c r="G60" s="946"/>
      <c r="H60" s="946"/>
      <c r="I60" s="946"/>
      <c r="J60" s="946"/>
      <c r="K60" s="946"/>
      <c r="M60" s="947"/>
    </row>
    <row r="61" spans="1:43" s="942" customFormat="1" ht="13.15" customHeight="1" x14ac:dyDescent="0.2">
      <c r="E61" s="946"/>
      <c r="F61" s="946"/>
      <c r="G61" s="946"/>
      <c r="H61" s="946"/>
      <c r="I61" s="946"/>
      <c r="J61" s="946"/>
      <c r="K61" s="946"/>
      <c r="M61" s="947"/>
    </row>
    <row r="62" spans="1:43" s="942" customFormat="1" ht="13.15" customHeight="1" x14ac:dyDescent="0.2">
      <c r="E62" s="946"/>
      <c r="F62" s="946"/>
      <c r="G62" s="946"/>
      <c r="H62" s="946"/>
      <c r="I62" s="946"/>
      <c r="J62" s="946"/>
      <c r="K62" s="946"/>
      <c r="M62" s="947"/>
    </row>
    <row r="63" spans="1:43" s="942" customFormat="1" ht="13.15" customHeight="1" x14ac:dyDescent="0.2">
      <c r="E63" s="946"/>
      <c r="F63" s="946"/>
      <c r="G63" s="946"/>
      <c r="H63" s="946"/>
      <c r="I63" s="946"/>
      <c r="J63" s="946"/>
      <c r="K63" s="946"/>
      <c r="M63" s="947"/>
    </row>
    <row r="64" spans="1:43" s="942" customFormat="1" ht="13.15" customHeight="1" x14ac:dyDescent="0.2">
      <c r="E64" s="946"/>
      <c r="F64" s="946"/>
      <c r="G64" s="946"/>
      <c r="H64" s="946"/>
      <c r="I64" s="946"/>
      <c r="J64" s="946"/>
      <c r="K64" s="946"/>
      <c r="M64" s="947"/>
    </row>
    <row r="65" spans="5:13" s="942" customFormat="1" ht="13.15" customHeight="1" x14ac:dyDescent="0.2">
      <c r="E65" s="946"/>
      <c r="F65" s="946"/>
      <c r="G65" s="946"/>
      <c r="H65" s="946"/>
      <c r="I65" s="946"/>
      <c r="J65" s="946"/>
      <c r="K65" s="946"/>
      <c r="M65" s="947"/>
    </row>
    <row r="66" spans="5:13" s="942" customFormat="1" ht="13.15" customHeight="1" x14ac:dyDescent="0.2">
      <c r="E66" s="946"/>
      <c r="F66" s="946"/>
      <c r="G66" s="946"/>
      <c r="H66" s="946"/>
      <c r="I66" s="946"/>
      <c r="J66" s="946"/>
      <c r="K66" s="946"/>
      <c r="M66" s="947"/>
    </row>
    <row r="67" spans="5:13" s="942" customFormat="1" ht="13.15" customHeight="1" x14ac:dyDescent="0.2">
      <c r="E67" s="946"/>
      <c r="F67" s="946"/>
      <c r="G67" s="946"/>
      <c r="H67" s="946"/>
      <c r="I67" s="946"/>
      <c r="J67" s="946"/>
      <c r="K67" s="946"/>
      <c r="M67" s="947"/>
    </row>
    <row r="68" spans="5:13" s="942" customFormat="1" ht="13.15" customHeight="1" x14ac:dyDescent="0.2">
      <c r="E68" s="946"/>
      <c r="F68" s="946"/>
      <c r="G68" s="946"/>
      <c r="H68" s="946"/>
      <c r="I68" s="946"/>
      <c r="J68" s="946"/>
      <c r="K68" s="946"/>
      <c r="M68" s="947"/>
    </row>
    <row r="69" spans="5:13" s="942" customFormat="1" ht="13.15" customHeight="1" x14ac:dyDescent="0.2">
      <c r="E69" s="946"/>
      <c r="F69" s="946"/>
      <c r="G69" s="946"/>
      <c r="H69" s="946"/>
      <c r="I69" s="946"/>
      <c r="J69" s="946"/>
      <c r="K69" s="946"/>
      <c r="M69" s="947"/>
    </row>
    <row r="70" spans="5:13" s="942" customFormat="1" ht="13.15" customHeight="1" x14ac:dyDescent="0.2">
      <c r="E70" s="946"/>
      <c r="F70" s="946"/>
      <c r="G70" s="946"/>
      <c r="H70" s="946"/>
      <c r="I70" s="946"/>
      <c r="J70" s="946"/>
      <c r="K70" s="946"/>
      <c r="M70" s="947"/>
    </row>
    <row r="71" spans="5:13" s="942" customFormat="1" ht="13.15" customHeight="1" x14ac:dyDescent="0.2">
      <c r="E71" s="946"/>
      <c r="F71" s="946"/>
      <c r="G71" s="946"/>
      <c r="H71" s="946"/>
      <c r="I71" s="946"/>
      <c r="J71" s="946"/>
      <c r="K71" s="946"/>
      <c r="M71" s="947"/>
    </row>
    <row r="72" spans="5:13" s="942" customFormat="1" ht="13.15" customHeight="1" x14ac:dyDescent="0.2">
      <c r="E72" s="946"/>
      <c r="F72" s="946"/>
      <c r="G72" s="946"/>
      <c r="H72" s="946"/>
      <c r="I72" s="946"/>
      <c r="J72" s="946"/>
      <c r="K72" s="946"/>
      <c r="M72" s="947"/>
    </row>
    <row r="73" spans="5:13" s="942" customFormat="1" ht="13.15" customHeight="1" x14ac:dyDescent="0.2">
      <c r="E73" s="946"/>
      <c r="F73" s="946"/>
      <c r="G73" s="946"/>
      <c r="H73" s="946"/>
      <c r="I73" s="946"/>
      <c r="J73" s="946"/>
      <c r="K73" s="946"/>
      <c r="M73" s="947"/>
    </row>
    <row r="74" spans="5:13" s="942" customFormat="1" ht="13.15" customHeight="1" x14ac:dyDescent="0.2">
      <c r="E74" s="946"/>
      <c r="F74" s="946"/>
      <c r="G74" s="946"/>
      <c r="H74" s="946"/>
      <c r="I74" s="946"/>
      <c r="J74" s="946"/>
      <c r="K74" s="946"/>
      <c r="M74" s="947"/>
    </row>
    <row r="75" spans="5:13" s="942" customFormat="1" ht="13.15" customHeight="1" x14ac:dyDescent="0.2">
      <c r="E75" s="946"/>
      <c r="F75" s="946"/>
      <c r="G75" s="946"/>
      <c r="H75" s="946"/>
      <c r="I75" s="946"/>
      <c r="J75" s="946"/>
      <c r="K75" s="946"/>
      <c r="M75" s="947"/>
    </row>
    <row r="76" spans="5:13" s="942" customFormat="1" ht="13.15" customHeight="1" x14ac:dyDescent="0.2">
      <c r="E76" s="946"/>
      <c r="F76" s="946"/>
      <c r="G76" s="946"/>
      <c r="H76" s="946"/>
      <c r="I76" s="946"/>
      <c r="J76" s="946"/>
      <c r="K76" s="946"/>
      <c r="M76" s="947"/>
    </row>
    <row r="77" spans="5:13" s="942" customFormat="1" ht="13.15" customHeight="1" x14ac:dyDescent="0.2">
      <c r="E77" s="946"/>
      <c r="F77" s="946"/>
      <c r="G77" s="946"/>
      <c r="H77" s="946"/>
      <c r="I77" s="946"/>
      <c r="J77" s="946"/>
      <c r="K77" s="946"/>
      <c r="M77" s="947"/>
    </row>
    <row r="78" spans="5:13" s="942" customFormat="1" ht="13.15" customHeight="1" x14ac:dyDescent="0.2">
      <c r="E78" s="946"/>
      <c r="F78" s="946"/>
      <c r="G78" s="946"/>
      <c r="H78" s="946"/>
      <c r="I78" s="946"/>
      <c r="J78" s="946"/>
      <c r="K78" s="946"/>
      <c r="M78" s="947"/>
    </row>
    <row r="79" spans="5:13" s="942" customFormat="1" ht="13.15" customHeight="1" x14ac:dyDescent="0.2">
      <c r="E79" s="946"/>
      <c r="F79" s="946"/>
      <c r="G79" s="946"/>
      <c r="H79" s="946"/>
      <c r="I79" s="946"/>
      <c r="J79" s="946"/>
      <c r="K79" s="946"/>
      <c r="M79" s="947"/>
    </row>
    <row r="80" spans="5:13" s="942" customFormat="1" ht="13.15" customHeight="1" x14ac:dyDescent="0.2">
      <c r="E80" s="946"/>
      <c r="F80" s="946"/>
      <c r="G80" s="946"/>
      <c r="H80" s="946"/>
      <c r="I80" s="946"/>
      <c r="J80" s="946"/>
      <c r="K80" s="946"/>
      <c r="M80" s="947"/>
    </row>
    <row r="81" spans="5:13" s="942" customFormat="1" ht="13.15" customHeight="1" x14ac:dyDescent="0.2">
      <c r="E81" s="946"/>
      <c r="F81" s="946"/>
      <c r="G81" s="946"/>
      <c r="H81" s="946"/>
      <c r="I81" s="946"/>
      <c r="J81" s="946"/>
      <c r="K81" s="946"/>
      <c r="M81" s="947"/>
    </row>
    <row r="82" spans="5:13" s="942" customFormat="1" ht="13.15" customHeight="1" x14ac:dyDescent="0.2">
      <c r="E82" s="946"/>
      <c r="F82" s="946"/>
      <c r="G82" s="946"/>
      <c r="H82" s="946"/>
      <c r="I82" s="946"/>
      <c r="J82" s="946"/>
      <c r="K82" s="946"/>
      <c r="M82" s="947"/>
    </row>
    <row r="83" spans="5:13" s="942" customFormat="1" ht="13.15" customHeight="1" x14ac:dyDescent="0.2">
      <c r="E83" s="946"/>
      <c r="F83" s="946"/>
      <c r="G83" s="946"/>
      <c r="H83" s="946"/>
      <c r="I83" s="946"/>
      <c r="J83" s="946"/>
      <c r="K83" s="946"/>
      <c r="M83" s="947"/>
    </row>
    <row r="84" spans="5:13" s="942" customFormat="1" ht="13.15" customHeight="1" x14ac:dyDescent="0.2">
      <c r="E84" s="946"/>
      <c r="F84" s="946"/>
      <c r="G84" s="946"/>
      <c r="H84" s="946"/>
      <c r="I84" s="946"/>
      <c r="J84" s="946"/>
      <c r="K84" s="946"/>
      <c r="M84" s="947"/>
    </row>
    <row r="85" spans="5:13" s="942" customFormat="1" ht="13.15" customHeight="1" x14ac:dyDescent="0.2">
      <c r="E85" s="946"/>
      <c r="F85" s="946"/>
      <c r="G85" s="946"/>
      <c r="H85" s="946"/>
      <c r="I85" s="946"/>
      <c r="J85" s="946"/>
      <c r="K85" s="946"/>
      <c r="M85" s="947"/>
    </row>
    <row r="86" spans="5:13" s="942" customFormat="1" ht="13.15" customHeight="1" x14ac:dyDescent="0.2">
      <c r="E86" s="946"/>
      <c r="F86" s="946"/>
      <c r="G86" s="946"/>
      <c r="H86" s="946"/>
      <c r="I86" s="946"/>
      <c r="J86" s="946"/>
      <c r="K86" s="946"/>
      <c r="M86" s="947"/>
    </row>
    <row r="87" spans="5:13" s="942" customFormat="1" ht="13.15" customHeight="1" x14ac:dyDescent="0.2">
      <c r="E87" s="946"/>
      <c r="F87" s="946"/>
      <c r="G87" s="946"/>
      <c r="H87" s="946"/>
      <c r="I87" s="946"/>
      <c r="J87" s="946"/>
      <c r="K87" s="946"/>
      <c r="M87" s="947"/>
    </row>
    <row r="88" spans="5:13" s="942" customFormat="1" ht="13.15" customHeight="1" x14ac:dyDescent="0.2">
      <c r="E88" s="946"/>
      <c r="F88" s="946"/>
      <c r="G88" s="946"/>
      <c r="H88" s="946"/>
      <c r="I88" s="946"/>
      <c r="J88" s="946"/>
      <c r="K88" s="946"/>
      <c r="M88" s="947"/>
    </row>
    <row r="89" spans="5:13" s="942" customFormat="1" ht="13.15" customHeight="1" x14ac:dyDescent="0.2">
      <c r="E89" s="946"/>
      <c r="F89" s="946"/>
      <c r="G89" s="946"/>
      <c r="H89" s="946"/>
      <c r="I89" s="946"/>
      <c r="J89" s="946"/>
      <c r="K89" s="946"/>
      <c r="M89" s="947"/>
    </row>
    <row r="90" spans="5:13" s="942" customFormat="1" ht="13.15" customHeight="1" x14ac:dyDescent="0.2">
      <c r="E90" s="946"/>
      <c r="F90" s="946"/>
      <c r="G90" s="946"/>
      <c r="H90" s="946"/>
      <c r="I90" s="946"/>
      <c r="J90" s="946"/>
      <c r="K90" s="946"/>
      <c r="M90" s="947"/>
    </row>
    <row r="91" spans="5:13" s="942" customFormat="1" ht="13.15" customHeight="1" x14ac:dyDescent="0.2">
      <c r="E91" s="946"/>
      <c r="F91" s="946"/>
      <c r="G91" s="946"/>
      <c r="H91" s="946"/>
      <c r="I91" s="946"/>
      <c r="J91" s="946"/>
      <c r="K91" s="946"/>
      <c r="M91" s="947"/>
    </row>
    <row r="92" spans="5:13" s="942" customFormat="1" ht="13.15" customHeight="1" x14ac:dyDescent="0.2">
      <c r="E92" s="946"/>
      <c r="F92" s="946"/>
      <c r="G92" s="946"/>
      <c r="H92" s="946"/>
      <c r="I92" s="946"/>
      <c r="J92" s="946"/>
      <c r="K92" s="946"/>
      <c r="M92" s="947"/>
    </row>
    <row r="93" spans="5:13" s="942" customFormat="1" ht="13.15" customHeight="1" x14ac:dyDescent="0.2">
      <c r="E93" s="946"/>
      <c r="F93" s="946"/>
      <c r="G93" s="946"/>
      <c r="H93" s="946"/>
      <c r="I93" s="946"/>
      <c r="J93" s="946"/>
      <c r="K93" s="946"/>
      <c r="M93" s="947"/>
    </row>
    <row r="94" spans="5:13" s="942" customFormat="1" ht="13.15" customHeight="1" x14ac:dyDescent="0.2">
      <c r="E94" s="946"/>
      <c r="F94" s="946"/>
      <c r="G94" s="946"/>
      <c r="H94" s="946"/>
      <c r="I94" s="946"/>
      <c r="J94" s="946"/>
      <c r="K94" s="946"/>
      <c r="M94" s="947"/>
    </row>
    <row r="95" spans="5:13" s="942" customFormat="1" ht="13.15" customHeight="1" x14ac:dyDescent="0.2">
      <c r="E95" s="946"/>
      <c r="F95" s="946"/>
      <c r="G95" s="946"/>
      <c r="H95" s="946"/>
      <c r="I95" s="946"/>
      <c r="J95" s="946"/>
      <c r="K95" s="946"/>
      <c r="M95" s="947"/>
    </row>
    <row r="96" spans="5:13" s="942" customFormat="1" ht="13.15" customHeight="1" x14ac:dyDescent="0.2">
      <c r="E96" s="946"/>
      <c r="F96" s="946"/>
      <c r="G96" s="946"/>
      <c r="H96" s="946"/>
      <c r="I96" s="946"/>
      <c r="J96" s="946"/>
      <c r="K96" s="946"/>
      <c r="M96" s="947"/>
    </row>
    <row r="97" spans="5:13" s="942" customFormat="1" ht="13.15" customHeight="1" x14ac:dyDescent="0.2">
      <c r="E97" s="946"/>
      <c r="F97" s="946"/>
      <c r="G97" s="946"/>
      <c r="H97" s="946"/>
      <c r="I97" s="946"/>
      <c r="J97" s="946"/>
      <c r="K97" s="946"/>
      <c r="M97" s="947"/>
    </row>
    <row r="98" spans="5:13" s="942" customFormat="1" ht="13.15" customHeight="1" x14ac:dyDescent="0.2">
      <c r="E98" s="946"/>
      <c r="F98" s="946"/>
      <c r="G98" s="946"/>
      <c r="H98" s="946"/>
      <c r="I98" s="946"/>
      <c r="J98" s="946"/>
      <c r="K98" s="946"/>
      <c r="M98" s="947"/>
    </row>
    <row r="99" spans="5:13" s="942" customFormat="1" ht="13.15" customHeight="1" x14ac:dyDescent="0.2">
      <c r="E99" s="946"/>
      <c r="F99" s="946"/>
      <c r="G99" s="946"/>
      <c r="H99" s="946"/>
      <c r="I99" s="946"/>
      <c r="J99" s="946"/>
      <c r="K99" s="946"/>
      <c r="M99" s="947"/>
    </row>
    <row r="100" spans="5:13" s="942" customFormat="1" ht="13.15" customHeight="1" x14ac:dyDescent="0.2">
      <c r="E100" s="946"/>
      <c r="F100" s="946"/>
      <c r="G100" s="946"/>
      <c r="H100" s="946"/>
      <c r="I100" s="946"/>
      <c r="J100" s="946"/>
      <c r="K100" s="946"/>
      <c r="M100" s="947"/>
    </row>
    <row r="101" spans="5:13" s="942" customFormat="1" ht="13.15" customHeight="1" x14ac:dyDescent="0.2">
      <c r="E101" s="946"/>
      <c r="F101" s="946"/>
      <c r="G101" s="946"/>
      <c r="H101" s="946"/>
      <c r="I101" s="946"/>
      <c r="J101" s="946"/>
      <c r="K101" s="946"/>
      <c r="M101" s="947"/>
    </row>
    <row r="102" spans="5:13" s="942" customFormat="1" ht="13.15" customHeight="1" x14ac:dyDescent="0.2">
      <c r="E102" s="946"/>
      <c r="F102" s="946"/>
      <c r="G102" s="946"/>
      <c r="H102" s="946"/>
      <c r="I102" s="946"/>
      <c r="J102" s="946"/>
      <c r="K102" s="946"/>
      <c r="M102" s="947"/>
    </row>
    <row r="103" spans="5:13" s="942" customFormat="1" ht="13.15" customHeight="1" x14ac:dyDescent="0.2">
      <c r="E103" s="946"/>
      <c r="F103" s="946"/>
      <c r="G103" s="946"/>
      <c r="H103" s="946"/>
      <c r="I103" s="946"/>
      <c r="J103" s="946"/>
      <c r="K103" s="946"/>
      <c r="M103" s="947"/>
    </row>
    <row r="104" spans="5:13" s="942" customFormat="1" ht="13.15" customHeight="1" x14ac:dyDescent="0.2">
      <c r="E104" s="946"/>
      <c r="F104" s="946"/>
      <c r="G104" s="946"/>
      <c r="H104" s="946"/>
      <c r="I104" s="946"/>
      <c r="J104" s="946"/>
      <c r="K104" s="946"/>
      <c r="M104" s="947"/>
    </row>
    <row r="105" spans="5:13" s="942" customFormat="1" ht="13.15" customHeight="1" x14ac:dyDescent="0.2">
      <c r="E105" s="946"/>
      <c r="F105" s="946"/>
      <c r="G105" s="946"/>
      <c r="H105" s="946"/>
      <c r="I105" s="946"/>
      <c r="J105" s="946"/>
      <c r="K105" s="946"/>
      <c r="M105" s="947"/>
    </row>
    <row r="106" spans="5:13" s="942" customFormat="1" ht="13.15" customHeight="1" x14ac:dyDescent="0.2">
      <c r="E106" s="946"/>
      <c r="F106" s="946"/>
      <c r="G106" s="946"/>
      <c r="H106" s="946"/>
      <c r="I106" s="946"/>
      <c r="J106" s="946"/>
      <c r="K106" s="946"/>
      <c r="M106" s="947"/>
    </row>
    <row r="107" spans="5:13" s="942" customFormat="1" ht="13.15" customHeight="1" x14ac:dyDescent="0.2">
      <c r="E107" s="946"/>
      <c r="F107" s="946"/>
      <c r="G107" s="946"/>
      <c r="H107" s="946"/>
      <c r="I107" s="946"/>
      <c r="J107" s="946"/>
      <c r="K107" s="946"/>
      <c r="M107" s="947"/>
    </row>
    <row r="108" spans="5:13" s="942" customFormat="1" ht="13.15" customHeight="1" x14ac:dyDescent="0.2">
      <c r="E108" s="946"/>
      <c r="F108" s="946"/>
      <c r="G108" s="946"/>
      <c r="H108" s="946"/>
      <c r="I108" s="946"/>
      <c r="J108" s="946"/>
      <c r="K108" s="946"/>
      <c r="M108" s="947"/>
    </row>
    <row r="109" spans="5:13" s="942" customFormat="1" ht="13.15" customHeight="1" x14ac:dyDescent="0.2">
      <c r="E109" s="946"/>
      <c r="F109" s="946"/>
      <c r="G109" s="946"/>
      <c r="H109" s="946"/>
      <c r="I109" s="946"/>
      <c r="J109" s="946"/>
      <c r="K109" s="946"/>
      <c r="M109" s="947"/>
    </row>
    <row r="110" spans="5:13" s="942" customFormat="1" ht="13.15" customHeight="1" x14ac:dyDescent="0.2">
      <c r="E110" s="946"/>
      <c r="F110" s="946"/>
      <c r="G110" s="946"/>
      <c r="H110" s="946"/>
      <c r="I110" s="946"/>
      <c r="J110" s="946"/>
      <c r="K110" s="946"/>
      <c r="M110" s="947"/>
    </row>
    <row r="111" spans="5:13" s="942" customFormat="1" ht="13.15" customHeight="1" x14ac:dyDescent="0.2">
      <c r="E111" s="946"/>
      <c r="F111" s="946"/>
      <c r="G111" s="946"/>
      <c r="H111" s="946"/>
      <c r="I111" s="946"/>
      <c r="J111" s="946"/>
      <c r="K111" s="946"/>
      <c r="M111" s="947"/>
    </row>
    <row r="112" spans="5:13" s="942" customFormat="1" ht="13.15" customHeight="1" x14ac:dyDescent="0.2">
      <c r="E112" s="946"/>
      <c r="F112" s="946"/>
      <c r="G112" s="946"/>
      <c r="H112" s="946"/>
      <c r="I112" s="946"/>
      <c r="J112" s="946"/>
      <c r="K112" s="946"/>
      <c r="M112" s="947"/>
    </row>
    <row r="113" spans="5:13" s="942" customFormat="1" ht="13.15" customHeight="1" x14ac:dyDescent="0.2">
      <c r="E113" s="946"/>
      <c r="F113" s="946"/>
      <c r="G113" s="946"/>
      <c r="H113" s="946"/>
      <c r="I113" s="946"/>
      <c r="J113" s="946"/>
      <c r="K113" s="946"/>
      <c r="M113" s="947"/>
    </row>
    <row r="114" spans="5:13" s="942" customFormat="1" ht="13.15" customHeight="1" x14ac:dyDescent="0.2">
      <c r="E114" s="946"/>
      <c r="F114" s="946"/>
      <c r="G114" s="946"/>
      <c r="H114" s="946"/>
      <c r="I114" s="946"/>
      <c r="J114" s="946"/>
      <c r="K114" s="946"/>
      <c r="M114" s="947"/>
    </row>
    <row r="115" spans="5:13" s="942" customFormat="1" ht="13.15" customHeight="1" x14ac:dyDescent="0.2">
      <c r="E115" s="946"/>
      <c r="F115" s="946"/>
      <c r="G115" s="946"/>
      <c r="H115" s="946"/>
      <c r="I115" s="946"/>
      <c r="J115" s="946"/>
      <c r="K115" s="946"/>
      <c r="M115" s="947"/>
    </row>
    <row r="116" spans="5:13" s="942" customFormat="1" ht="13.15" customHeight="1" x14ac:dyDescent="0.2">
      <c r="E116" s="946"/>
      <c r="F116" s="946"/>
      <c r="G116" s="946"/>
      <c r="H116" s="946"/>
      <c r="I116" s="946"/>
      <c r="J116" s="946"/>
      <c r="K116" s="946"/>
      <c r="M116" s="947"/>
    </row>
    <row r="117" spans="5:13" s="942" customFormat="1" ht="13.15" customHeight="1" x14ac:dyDescent="0.2">
      <c r="E117" s="946"/>
      <c r="F117" s="946"/>
      <c r="G117" s="946"/>
      <c r="H117" s="946"/>
      <c r="I117" s="946"/>
      <c r="J117" s="946"/>
      <c r="K117" s="946"/>
      <c r="M117" s="947"/>
    </row>
    <row r="118" spans="5:13" s="942" customFormat="1" ht="13.15" customHeight="1" x14ac:dyDescent="0.2">
      <c r="E118" s="946"/>
      <c r="F118" s="946"/>
      <c r="G118" s="946"/>
      <c r="H118" s="946"/>
      <c r="I118" s="946"/>
      <c r="J118" s="946"/>
      <c r="K118" s="946"/>
      <c r="M118" s="947"/>
    </row>
    <row r="119" spans="5:13" s="942" customFormat="1" ht="13.15" customHeight="1" x14ac:dyDescent="0.2">
      <c r="E119" s="946"/>
      <c r="F119" s="946"/>
      <c r="G119" s="946"/>
      <c r="H119" s="946"/>
      <c r="I119" s="946"/>
      <c r="J119" s="946"/>
      <c r="K119" s="946"/>
      <c r="M119" s="947"/>
    </row>
    <row r="120" spans="5:13" s="942" customFormat="1" ht="13.15" customHeight="1" x14ac:dyDescent="0.2">
      <c r="E120" s="946"/>
      <c r="F120" s="946"/>
      <c r="G120" s="946"/>
      <c r="H120" s="946"/>
      <c r="I120" s="946"/>
      <c r="J120" s="946"/>
      <c r="K120" s="946"/>
      <c r="M120" s="947"/>
    </row>
    <row r="121" spans="5:13" s="942" customFormat="1" ht="13.15" customHeight="1" x14ac:dyDescent="0.2">
      <c r="E121" s="946"/>
      <c r="F121" s="946"/>
      <c r="G121" s="946"/>
      <c r="H121" s="946"/>
      <c r="I121" s="946"/>
      <c r="J121" s="946"/>
      <c r="K121" s="946"/>
      <c r="M121" s="947"/>
    </row>
    <row r="122" spans="5:13" s="942" customFormat="1" ht="13.15" customHeight="1" x14ac:dyDescent="0.2">
      <c r="E122" s="946"/>
      <c r="F122" s="946"/>
      <c r="G122" s="946"/>
      <c r="H122" s="946"/>
      <c r="I122" s="946"/>
      <c r="J122" s="946"/>
      <c r="K122" s="946"/>
      <c r="M122" s="947"/>
    </row>
    <row r="123" spans="5:13" s="942" customFormat="1" ht="13.15" customHeight="1" x14ac:dyDescent="0.2">
      <c r="E123" s="946"/>
      <c r="F123" s="946"/>
      <c r="G123" s="946"/>
      <c r="H123" s="946"/>
      <c r="I123" s="946"/>
      <c r="J123" s="946"/>
      <c r="K123" s="946"/>
      <c r="M123" s="947"/>
    </row>
    <row r="124" spans="5:13" s="942" customFormat="1" ht="13.15" customHeight="1" x14ac:dyDescent="0.2">
      <c r="E124" s="946"/>
      <c r="F124" s="946"/>
      <c r="G124" s="946"/>
      <c r="H124" s="946"/>
      <c r="I124" s="946"/>
      <c r="J124" s="946"/>
      <c r="K124" s="946"/>
      <c r="M124" s="947"/>
    </row>
    <row r="125" spans="5:13" s="942" customFormat="1" ht="13.15" customHeight="1" x14ac:dyDescent="0.2">
      <c r="E125" s="946"/>
      <c r="F125" s="946"/>
      <c r="G125" s="946"/>
      <c r="H125" s="946"/>
      <c r="I125" s="946"/>
      <c r="J125" s="946"/>
      <c r="K125" s="946"/>
      <c r="M125" s="947"/>
    </row>
    <row r="126" spans="5:13" s="942" customFormat="1" ht="13.15" customHeight="1" x14ac:dyDescent="0.2">
      <c r="E126" s="946"/>
      <c r="F126" s="946"/>
      <c r="G126" s="946"/>
      <c r="H126" s="946"/>
      <c r="I126" s="946"/>
      <c r="J126" s="946"/>
      <c r="K126" s="946"/>
      <c r="M126" s="947"/>
    </row>
    <row r="127" spans="5:13" s="942" customFormat="1" ht="13.15" customHeight="1" x14ac:dyDescent="0.2">
      <c r="E127" s="946"/>
      <c r="F127" s="946"/>
      <c r="G127" s="946"/>
      <c r="H127" s="946"/>
      <c r="I127" s="946"/>
      <c r="J127" s="946"/>
      <c r="K127" s="946"/>
      <c r="M127" s="947"/>
    </row>
    <row r="128" spans="5:13" s="942" customFormat="1" ht="13.15" customHeight="1" x14ac:dyDescent="0.2">
      <c r="E128" s="946"/>
      <c r="F128" s="946"/>
      <c r="G128" s="946"/>
      <c r="H128" s="946"/>
      <c r="I128" s="946"/>
      <c r="J128" s="946"/>
      <c r="K128" s="946"/>
      <c r="M128" s="947"/>
    </row>
    <row r="129" spans="5:13" s="942" customFormat="1" ht="13.15" customHeight="1" x14ac:dyDescent="0.2">
      <c r="E129" s="946"/>
      <c r="F129" s="946"/>
      <c r="G129" s="946"/>
      <c r="H129" s="946"/>
      <c r="I129" s="946"/>
      <c r="J129" s="946"/>
      <c r="K129" s="946"/>
      <c r="M129" s="947"/>
    </row>
    <row r="130" spans="5:13" s="942" customFormat="1" ht="13.15" customHeight="1" x14ac:dyDescent="0.2">
      <c r="E130" s="946"/>
      <c r="F130" s="946"/>
      <c r="G130" s="946"/>
      <c r="H130" s="946"/>
      <c r="I130" s="946"/>
      <c r="J130" s="946"/>
      <c r="K130" s="946"/>
      <c r="M130" s="947"/>
    </row>
    <row r="131" spans="5:13" s="942" customFormat="1" ht="13.15" customHeight="1" x14ac:dyDescent="0.2">
      <c r="E131" s="946"/>
      <c r="F131" s="946"/>
      <c r="G131" s="946"/>
      <c r="H131" s="946"/>
      <c r="I131" s="946"/>
      <c r="J131" s="946"/>
      <c r="K131" s="946"/>
      <c r="M131" s="947"/>
    </row>
    <row r="132" spans="5:13" s="942" customFormat="1" ht="13.15" customHeight="1" x14ac:dyDescent="0.2">
      <c r="E132" s="946"/>
      <c r="F132" s="946"/>
      <c r="G132" s="946"/>
      <c r="H132" s="946"/>
      <c r="I132" s="946"/>
      <c r="J132" s="946"/>
      <c r="K132" s="946"/>
      <c r="M132" s="947"/>
    </row>
    <row r="133" spans="5:13" s="942" customFormat="1" ht="13.15" customHeight="1" x14ac:dyDescent="0.2">
      <c r="E133" s="946"/>
      <c r="F133" s="946"/>
      <c r="G133" s="946"/>
      <c r="H133" s="946"/>
      <c r="I133" s="946"/>
      <c r="J133" s="946"/>
      <c r="K133" s="946"/>
      <c r="M133" s="947"/>
    </row>
    <row r="134" spans="5:13" s="942" customFormat="1" ht="13.15" customHeight="1" x14ac:dyDescent="0.2">
      <c r="E134" s="946"/>
      <c r="F134" s="946"/>
      <c r="G134" s="946"/>
      <c r="H134" s="946"/>
      <c r="I134" s="946"/>
      <c r="J134" s="946"/>
      <c r="K134" s="946"/>
      <c r="M134" s="947"/>
    </row>
    <row r="135" spans="5:13" s="942" customFormat="1" ht="13.15" customHeight="1" x14ac:dyDescent="0.2">
      <c r="E135" s="946"/>
      <c r="F135" s="946"/>
      <c r="G135" s="946"/>
      <c r="H135" s="946"/>
      <c r="I135" s="946"/>
      <c r="J135" s="946"/>
      <c r="K135" s="946"/>
      <c r="M135" s="947"/>
    </row>
    <row r="136" spans="5:13" s="942" customFormat="1" ht="13.15" customHeight="1" x14ac:dyDescent="0.2">
      <c r="E136" s="946"/>
      <c r="F136" s="946"/>
      <c r="G136" s="946"/>
      <c r="H136" s="946"/>
      <c r="I136" s="946"/>
      <c r="J136" s="946"/>
      <c r="K136" s="946"/>
      <c r="M136" s="947"/>
    </row>
    <row r="137" spans="5:13" s="942" customFormat="1" ht="13.15" customHeight="1" x14ac:dyDescent="0.2">
      <c r="E137" s="946"/>
      <c r="F137" s="946"/>
      <c r="G137" s="946"/>
      <c r="H137" s="946"/>
      <c r="I137" s="946"/>
      <c r="J137" s="946"/>
      <c r="K137" s="946"/>
      <c r="M137" s="947"/>
    </row>
    <row r="138" spans="5:13" s="942" customFormat="1" ht="13.15" customHeight="1" x14ac:dyDescent="0.2">
      <c r="E138" s="946"/>
      <c r="F138" s="946"/>
      <c r="G138" s="946"/>
      <c r="H138" s="946"/>
      <c r="I138" s="946"/>
      <c r="J138" s="946"/>
      <c r="K138" s="946"/>
      <c r="M138" s="947"/>
    </row>
    <row r="139" spans="5:13" s="942" customFormat="1" ht="13.15" customHeight="1" x14ac:dyDescent="0.2">
      <c r="E139" s="946"/>
      <c r="F139" s="946"/>
      <c r="G139" s="946"/>
      <c r="H139" s="946"/>
      <c r="I139" s="946"/>
      <c r="J139" s="946"/>
      <c r="K139" s="946"/>
      <c r="M139" s="947"/>
    </row>
    <row r="140" spans="5:13" s="942" customFormat="1" ht="13.15" customHeight="1" x14ac:dyDescent="0.2">
      <c r="E140" s="946"/>
      <c r="F140" s="946"/>
      <c r="G140" s="946"/>
      <c r="H140" s="946"/>
      <c r="I140" s="946"/>
      <c r="J140" s="946"/>
      <c r="K140" s="946"/>
      <c r="M140" s="947"/>
    </row>
    <row r="141" spans="5:13" s="942" customFormat="1" ht="13.15" customHeight="1" x14ac:dyDescent="0.2">
      <c r="E141" s="946"/>
      <c r="F141" s="946"/>
      <c r="G141" s="946"/>
      <c r="H141" s="946"/>
      <c r="I141" s="946"/>
      <c r="J141" s="946"/>
      <c r="K141" s="946"/>
      <c r="M141" s="947"/>
    </row>
    <row r="142" spans="5:13" s="942" customFormat="1" ht="13.15" customHeight="1" x14ac:dyDescent="0.2">
      <c r="E142" s="946"/>
      <c r="F142" s="946"/>
      <c r="G142" s="946"/>
      <c r="H142" s="946"/>
      <c r="I142" s="946"/>
      <c r="J142" s="946"/>
      <c r="K142" s="946"/>
      <c r="M142" s="947"/>
    </row>
    <row r="143" spans="5:13" s="942" customFormat="1" ht="13.15" customHeight="1" x14ac:dyDescent="0.2">
      <c r="E143" s="946"/>
      <c r="F143" s="946"/>
      <c r="G143" s="946"/>
      <c r="H143" s="946"/>
      <c r="I143" s="946"/>
      <c r="J143" s="946"/>
      <c r="K143" s="946"/>
      <c r="M143" s="947"/>
    </row>
    <row r="144" spans="5:13" s="942" customFormat="1" ht="13.15" customHeight="1" x14ac:dyDescent="0.2">
      <c r="E144" s="946"/>
      <c r="F144" s="946"/>
      <c r="G144" s="946"/>
      <c r="H144" s="946"/>
      <c r="I144" s="946"/>
      <c r="J144" s="946"/>
      <c r="K144" s="946"/>
      <c r="M144" s="947"/>
    </row>
    <row r="145" spans="5:13" s="942" customFormat="1" ht="13.15" customHeight="1" x14ac:dyDescent="0.2">
      <c r="E145" s="946"/>
      <c r="F145" s="946"/>
      <c r="G145" s="946"/>
      <c r="H145" s="946"/>
      <c r="I145" s="946"/>
      <c r="J145" s="946"/>
      <c r="K145" s="946"/>
      <c r="M145" s="947"/>
    </row>
    <row r="146" spans="5:13" s="942" customFormat="1" ht="13.15" customHeight="1" x14ac:dyDescent="0.2">
      <c r="E146" s="946"/>
      <c r="F146" s="946"/>
      <c r="G146" s="946"/>
      <c r="H146" s="946"/>
      <c r="I146" s="946"/>
      <c r="J146" s="946"/>
      <c r="K146" s="946"/>
      <c r="M146" s="947"/>
    </row>
    <row r="147" spans="5:13" s="942" customFormat="1" ht="13.15" customHeight="1" x14ac:dyDescent="0.2">
      <c r="E147" s="946"/>
      <c r="F147" s="946"/>
      <c r="G147" s="946"/>
      <c r="H147" s="946"/>
      <c r="I147" s="946"/>
      <c r="J147" s="946"/>
      <c r="K147" s="946"/>
      <c r="M147" s="947"/>
    </row>
    <row r="148" spans="5:13" s="942" customFormat="1" ht="13.15" customHeight="1" x14ac:dyDescent="0.2">
      <c r="E148" s="946"/>
      <c r="F148" s="946"/>
      <c r="G148" s="946"/>
      <c r="H148" s="946"/>
      <c r="I148" s="946"/>
      <c r="J148" s="946"/>
      <c r="K148" s="946"/>
      <c r="M148" s="947"/>
    </row>
    <row r="149" spans="5:13" s="942" customFormat="1" ht="13.15" customHeight="1" x14ac:dyDescent="0.2">
      <c r="E149" s="946"/>
      <c r="F149" s="946"/>
      <c r="G149" s="946"/>
      <c r="H149" s="946"/>
      <c r="I149" s="946"/>
      <c r="J149" s="946"/>
      <c r="K149" s="946"/>
      <c r="M149" s="947"/>
    </row>
    <row r="150" spans="5:13" s="942" customFormat="1" ht="13.15" customHeight="1" x14ac:dyDescent="0.2">
      <c r="E150" s="946"/>
      <c r="F150" s="946"/>
      <c r="G150" s="946"/>
      <c r="H150" s="946"/>
      <c r="I150" s="946"/>
      <c r="J150" s="946"/>
      <c r="K150" s="946"/>
      <c r="M150" s="947"/>
    </row>
    <row r="151" spans="5:13" s="942" customFormat="1" ht="13.15" customHeight="1" x14ac:dyDescent="0.2">
      <c r="E151" s="946"/>
      <c r="F151" s="946"/>
      <c r="G151" s="946"/>
      <c r="H151" s="946"/>
      <c r="I151" s="946"/>
      <c r="J151" s="946"/>
      <c r="K151" s="946"/>
      <c r="M151" s="947"/>
    </row>
    <row r="152" spans="5:13" s="942" customFormat="1" ht="13.15" customHeight="1" x14ac:dyDescent="0.2">
      <c r="E152" s="946"/>
      <c r="F152" s="946"/>
      <c r="G152" s="946"/>
      <c r="H152" s="946"/>
      <c r="I152" s="946"/>
      <c r="J152" s="946"/>
      <c r="K152" s="946"/>
      <c r="M152" s="947"/>
    </row>
    <row r="153" spans="5:13" s="942" customFormat="1" ht="13.15" customHeight="1" x14ac:dyDescent="0.2">
      <c r="E153" s="946"/>
      <c r="F153" s="946"/>
      <c r="G153" s="946"/>
      <c r="H153" s="946"/>
      <c r="I153" s="946"/>
      <c r="J153" s="946"/>
      <c r="K153" s="946"/>
      <c r="M153" s="947"/>
    </row>
    <row r="154" spans="5:13" s="942" customFormat="1" ht="13.15" customHeight="1" x14ac:dyDescent="0.2">
      <c r="E154" s="946"/>
      <c r="F154" s="946"/>
      <c r="G154" s="946"/>
      <c r="H154" s="946"/>
      <c r="I154" s="946"/>
      <c r="J154" s="946"/>
      <c r="K154" s="946"/>
      <c r="M154" s="947"/>
    </row>
    <row r="155" spans="5:13" s="942" customFormat="1" ht="13.15" customHeight="1" x14ac:dyDescent="0.2">
      <c r="E155" s="946"/>
      <c r="F155" s="946"/>
      <c r="G155" s="946"/>
      <c r="H155" s="946"/>
      <c r="I155" s="946"/>
      <c r="J155" s="946"/>
      <c r="K155" s="946"/>
      <c r="M155" s="947"/>
    </row>
    <row r="156" spans="5:13" s="942" customFormat="1" ht="13.15" customHeight="1" x14ac:dyDescent="0.2">
      <c r="E156" s="946"/>
      <c r="F156" s="946"/>
      <c r="G156" s="946"/>
      <c r="H156" s="946"/>
      <c r="I156" s="946"/>
      <c r="J156" s="946"/>
      <c r="K156" s="946"/>
      <c r="M156" s="947"/>
    </row>
    <row r="157" spans="5:13" s="942" customFormat="1" ht="13.15" customHeight="1" x14ac:dyDescent="0.2">
      <c r="E157" s="946"/>
      <c r="F157" s="946"/>
      <c r="G157" s="946"/>
      <c r="H157" s="946"/>
      <c r="I157" s="946"/>
      <c r="J157" s="946"/>
      <c r="K157" s="946"/>
      <c r="M157" s="947"/>
    </row>
    <row r="158" spans="5:13" s="942" customFormat="1" ht="13.15" customHeight="1" x14ac:dyDescent="0.2">
      <c r="E158" s="946"/>
      <c r="F158" s="946"/>
      <c r="G158" s="946"/>
      <c r="H158" s="946"/>
      <c r="I158" s="946"/>
      <c r="J158" s="946"/>
      <c r="K158" s="946"/>
      <c r="M158" s="947"/>
    </row>
    <row r="159" spans="5:13" s="942" customFormat="1" ht="13.15" customHeight="1" x14ac:dyDescent="0.2">
      <c r="E159" s="946"/>
      <c r="F159" s="946"/>
      <c r="G159" s="946"/>
      <c r="H159" s="946"/>
      <c r="I159" s="946"/>
      <c r="J159" s="946"/>
      <c r="K159" s="946"/>
      <c r="M159" s="947"/>
    </row>
    <row r="160" spans="5:13" s="942" customFormat="1" ht="13.15" customHeight="1" x14ac:dyDescent="0.2">
      <c r="E160" s="946"/>
      <c r="F160" s="946"/>
      <c r="G160" s="946"/>
      <c r="H160" s="946"/>
      <c r="I160" s="946"/>
      <c r="J160" s="946"/>
      <c r="K160" s="946"/>
      <c r="M160" s="947"/>
    </row>
    <row r="161" spans="5:13" s="942" customFormat="1" ht="13.15" customHeight="1" x14ac:dyDescent="0.2">
      <c r="E161" s="946"/>
      <c r="F161" s="946"/>
      <c r="G161" s="946"/>
      <c r="H161" s="946"/>
      <c r="I161" s="946"/>
      <c r="J161" s="946"/>
      <c r="K161" s="946"/>
      <c r="M161" s="947"/>
    </row>
    <row r="162" spans="5:13" s="942" customFormat="1" ht="13.15" customHeight="1" x14ac:dyDescent="0.2">
      <c r="E162" s="946"/>
      <c r="F162" s="946"/>
      <c r="G162" s="946"/>
      <c r="H162" s="946"/>
      <c r="I162" s="946"/>
      <c r="J162" s="946"/>
      <c r="K162" s="946"/>
      <c r="M162" s="947"/>
    </row>
    <row r="163" spans="5:13" s="942" customFormat="1" ht="13.15" customHeight="1" x14ac:dyDescent="0.2">
      <c r="E163" s="946"/>
      <c r="F163" s="946"/>
      <c r="G163" s="946"/>
      <c r="H163" s="946"/>
      <c r="I163" s="946"/>
      <c r="J163" s="946"/>
      <c r="K163" s="946"/>
      <c r="M163" s="947"/>
    </row>
    <row r="164" spans="5:13" s="942" customFormat="1" ht="13.15" customHeight="1" x14ac:dyDescent="0.2">
      <c r="E164" s="946"/>
      <c r="F164" s="946"/>
      <c r="G164" s="946"/>
      <c r="H164" s="946"/>
      <c r="I164" s="946"/>
      <c r="J164" s="946"/>
      <c r="K164" s="946"/>
      <c r="M164" s="947"/>
    </row>
    <row r="165" spans="5:13" s="942" customFormat="1" ht="13.15" customHeight="1" x14ac:dyDescent="0.2">
      <c r="E165" s="946"/>
      <c r="F165" s="946"/>
      <c r="G165" s="946"/>
      <c r="H165" s="946"/>
      <c r="I165" s="946"/>
      <c r="J165" s="946"/>
      <c r="K165" s="946"/>
      <c r="M165" s="947"/>
    </row>
    <row r="166" spans="5:13" s="942" customFormat="1" ht="13.15" customHeight="1" x14ac:dyDescent="0.2">
      <c r="E166" s="946"/>
      <c r="F166" s="946"/>
      <c r="G166" s="946"/>
      <c r="H166" s="946"/>
      <c r="I166" s="946"/>
      <c r="J166" s="946"/>
      <c r="K166" s="946"/>
      <c r="M166" s="947"/>
    </row>
    <row r="167" spans="5:13" s="942" customFormat="1" ht="13.15" customHeight="1" x14ac:dyDescent="0.2">
      <c r="E167" s="946"/>
      <c r="F167" s="946"/>
      <c r="G167" s="946"/>
      <c r="H167" s="946"/>
      <c r="I167" s="946"/>
      <c r="J167" s="946"/>
      <c r="K167" s="946"/>
      <c r="M167" s="947"/>
    </row>
    <row r="168" spans="5:13" s="942" customFormat="1" ht="13.15" customHeight="1" x14ac:dyDescent="0.2">
      <c r="E168" s="946"/>
      <c r="F168" s="946"/>
      <c r="G168" s="946"/>
      <c r="H168" s="946"/>
      <c r="I168" s="946"/>
      <c r="J168" s="946"/>
      <c r="K168" s="946"/>
      <c r="M168" s="947"/>
    </row>
    <row r="169" spans="5:13" s="942" customFormat="1" ht="13.15" customHeight="1" x14ac:dyDescent="0.2">
      <c r="E169" s="946"/>
      <c r="F169" s="946"/>
      <c r="G169" s="946"/>
      <c r="H169" s="946"/>
      <c r="I169" s="946"/>
      <c r="J169" s="946"/>
      <c r="K169" s="946"/>
      <c r="M169" s="947"/>
    </row>
    <row r="170" spans="5:13" s="942" customFormat="1" ht="13.15" customHeight="1" x14ac:dyDescent="0.2">
      <c r="E170" s="946"/>
      <c r="F170" s="946"/>
      <c r="G170" s="946"/>
      <c r="H170" s="946"/>
      <c r="I170" s="946"/>
      <c r="J170" s="946"/>
      <c r="K170" s="946"/>
      <c r="M170" s="947"/>
    </row>
    <row r="171" spans="5:13" s="942" customFormat="1" ht="13.15" customHeight="1" x14ac:dyDescent="0.2">
      <c r="E171" s="946"/>
      <c r="F171" s="946"/>
      <c r="G171" s="946"/>
      <c r="H171" s="946"/>
      <c r="I171" s="946"/>
      <c r="J171" s="946"/>
      <c r="K171" s="946"/>
      <c r="M171" s="947"/>
    </row>
    <row r="172" spans="5:13" s="942" customFormat="1" ht="13.15" customHeight="1" x14ac:dyDescent="0.2">
      <c r="E172" s="946"/>
      <c r="F172" s="946"/>
      <c r="G172" s="946"/>
      <c r="H172" s="946"/>
      <c r="I172" s="946"/>
      <c r="J172" s="946"/>
      <c r="K172" s="946"/>
      <c r="M172" s="947"/>
    </row>
    <row r="173" spans="5:13" s="942" customFormat="1" ht="13.15" customHeight="1" x14ac:dyDescent="0.2">
      <c r="E173" s="946"/>
      <c r="F173" s="946"/>
      <c r="G173" s="946"/>
      <c r="H173" s="946"/>
      <c r="I173" s="946"/>
      <c r="J173" s="946"/>
      <c r="K173" s="946"/>
      <c r="M173" s="947"/>
    </row>
    <row r="174" spans="5:13" s="942" customFormat="1" ht="13.15" customHeight="1" x14ac:dyDescent="0.2">
      <c r="E174" s="946"/>
      <c r="F174" s="946"/>
      <c r="G174" s="946"/>
      <c r="H174" s="946"/>
      <c r="I174" s="946"/>
      <c r="J174" s="946"/>
      <c r="K174" s="946"/>
      <c r="M174" s="947"/>
    </row>
    <row r="175" spans="5:13" s="942" customFormat="1" ht="13.15" customHeight="1" x14ac:dyDescent="0.2">
      <c r="E175" s="946"/>
      <c r="F175" s="946"/>
      <c r="G175" s="946"/>
      <c r="H175" s="946"/>
      <c r="I175" s="946"/>
      <c r="J175" s="946"/>
      <c r="K175" s="946"/>
      <c r="M175" s="947"/>
    </row>
    <row r="176" spans="5:13" s="942" customFormat="1" ht="13.15" customHeight="1" x14ac:dyDescent="0.2">
      <c r="E176" s="946"/>
      <c r="F176" s="946"/>
      <c r="G176" s="946"/>
      <c r="H176" s="946"/>
      <c r="I176" s="946"/>
      <c r="J176" s="946"/>
      <c r="K176" s="946"/>
      <c r="M176" s="947"/>
    </row>
    <row r="177" spans="5:13" s="942" customFormat="1" ht="13.15" customHeight="1" x14ac:dyDescent="0.2">
      <c r="E177" s="946"/>
      <c r="F177" s="946"/>
      <c r="G177" s="946"/>
      <c r="H177" s="946"/>
      <c r="I177" s="946"/>
      <c r="J177" s="946"/>
      <c r="K177" s="946"/>
      <c r="M177" s="947"/>
    </row>
    <row r="178" spans="5:13" s="942" customFormat="1" ht="13.15" customHeight="1" x14ac:dyDescent="0.2">
      <c r="E178" s="946"/>
      <c r="F178" s="946"/>
      <c r="G178" s="946"/>
      <c r="H178" s="946"/>
      <c r="I178" s="946"/>
      <c r="J178" s="946"/>
      <c r="K178" s="946"/>
      <c r="M178" s="947"/>
    </row>
    <row r="179" spans="5:13" s="942" customFormat="1" ht="13.15" customHeight="1" x14ac:dyDescent="0.2">
      <c r="E179" s="946"/>
      <c r="F179" s="946"/>
      <c r="G179" s="946"/>
      <c r="H179" s="946"/>
      <c r="I179" s="946"/>
      <c r="J179" s="946"/>
      <c r="K179" s="946"/>
      <c r="M179" s="947"/>
    </row>
    <row r="180" spans="5:13" s="942" customFormat="1" ht="13.15" customHeight="1" x14ac:dyDescent="0.2">
      <c r="E180" s="946"/>
      <c r="F180" s="946"/>
      <c r="G180" s="946"/>
      <c r="H180" s="946"/>
      <c r="I180" s="946"/>
      <c r="J180" s="946"/>
      <c r="K180" s="946"/>
      <c r="M180" s="947"/>
    </row>
    <row r="181" spans="5:13" s="942" customFormat="1" ht="13.15" customHeight="1" x14ac:dyDescent="0.2">
      <c r="E181" s="946"/>
      <c r="F181" s="946"/>
      <c r="G181" s="946"/>
      <c r="H181" s="946"/>
      <c r="I181" s="946"/>
      <c r="J181" s="946"/>
      <c r="K181" s="946"/>
      <c r="M181" s="947"/>
    </row>
    <row r="182" spans="5:13" s="942" customFormat="1" ht="13.15" customHeight="1" x14ac:dyDescent="0.2">
      <c r="E182" s="946"/>
      <c r="F182" s="946"/>
      <c r="G182" s="946"/>
      <c r="H182" s="946"/>
      <c r="I182" s="946"/>
      <c r="J182" s="946"/>
      <c r="K182" s="946"/>
      <c r="M182" s="947"/>
    </row>
    <row r="183" spans="5:13" s="942" customFormat="1" ht="13.15" customHeight="1" x14ac:dyDescent="0.2">
      <c r="E183" s="946"/>
      <c r="F183" s="946"/>
      <c r="G183" s="946"/>
      <c r="H183" s="946"/>
      <c r="I183" s="946"/>
      <c r="J183" s="946"/>
      <c r="K183" s="946"/>
      <c r="M183" s="947"/>
    </row>
    <row r="184" spans="5:13" s="942" customFormat="1" ht="13.15" customHeight="1" x14ac:dyDescent="0.2">
      <c r="E184" s="946"/>
      <c r="F184" s="946"/>
      <c r="G184" s="946"/>
      <c r="H184" s="946"/>
      <c r="I184" s="946"/>
      <c r="J184" s="946"/>
      <c r="K184" s="946"/>
      <c r="M184" s="947"/>
    </row>
    <row r="185" spans="5:13" s="942" customFormat="1" ht="13.15" customHeight="1" x14ac:dyDescent="0.2">
      <c r="E185" s="946"/>
      <c r="F185" s="946"/>
      <c r="G185" s="946"/>
      <c r="H185" s="946"/>
      <c r="I185" s="946"/>
      <c r="J185" s="946"/>
      <c r="K185" s="946"/>
      <c r="M185" s="947"/>
    </row>
    <row r="186" spans="5:13" s="942" customFormat="1" ht="13.15" customHeight="1" x14ac:dyDescent="0.2">
      <c r="E186" s="946"/>
      <c r="F186" s="946"/>
      <c r="G186" s="946"/>
      <c r="H186" s="946"/>
      <c r="I186" s="946"/>
      <c r="J186" s="946"/>
      <c r="K186" s="946"/>
      <c r="M186" s="947"/>
    </row>
    <row r="187" spans="5:13" s="942" customFormat="1" ht="13.15" customHeight="1" x14ac:dyDescent="0.2">
      <c r="E187" s="946"/>
      <c r="F187" s="946"/>
      <c r="G187" s="946"/>
      <c r="H187" s="946"/>
      <c r="I187" s="946"/>
      <c r="J187" s="946"/>
      <c r="K187" s="946"/>
      <c r="M187" s="947"/>
    </row>
    <row r="188" spans="5:13" s="942" customFormat="1" ht="13.15" customHeight="1" x14ac:dyDescent="0.2">
      <c r="E188" s="946"/>
      <c r="F188" s="946"/>
      <c r="G188" s="946"/>
      <c r="H188" s="946"/>
      <c r="I188" s="946"/>
      <c r="J188" s="946"/>
      <c r="K188" s="946"/>
      <c r="M188" s="947"/>
    </row>
    <row r="189" spans="5:13" s="942" customFormat="1" ht="13.15" customHeight="1" x14ac:dyDescent="0.2">
      <c r="E189" s="946"/>
      <c r="F189" s="946"/>
      <c r="G189" s="946"/>
      <c r="H189" s="946"/>
      <c r="I189" s="946"/>
      <c r="J189" s="946"/>
      <c r="K189" s="946"/>
      <c r="M189" s="947"/>
    </row>
    <row r="190" spans="5:13" s="942" customFormat="1" ht="13.15" customHeight="1" x14ac:dyDescent="0.2">
      <c r="E190" s="946"/>
      <c r="F190" s="946"/>
      <c r="G190" s="946"/>
      <c r="H190" s="946"/>
      <c r="I190" s="946"/>
      <c r="J190" s="946"/>
      <c r="K190" s="946"/>
      <c r="M190" s="947"/>
    </row>
    <row r="191" spans="5:13" s="942" customFormat="1" ht="13.15" customHeight="1" x14ac:dyDescent="0.2">
      <c r="E191" s="946"/>
      <c r="F191" s="946"/>
      <c r="G191" s="946"/>
      <c r="H191" s="946"/>
      <c r="I191" s="946"/>
      <c r="J191" s="946"/>
      <c r="K191" s="946"/>
      <c r="M191" s="947"/>
    </row>
    <row r="192" spans="5:13" s="942" customFormat="1" ht="13.15" customHeight="1" x14ac:dyDescent="0.2">
      <c r="E192" s="946"/>
      <c r="F192" s="946"/>
      <c r="G192" s="946"/>
      <c r="H192" s="946"/>
      <c r="I192" s="946"/>
      <c r="J192" s="946"/>
      <c r="K192" s="946"/>
      <c r="M192" s="947"/>
    </row>
    <row r="193" spans="5:13" s="942" customFormat="1" ht="13.15" customHeight="1" x14ac:dyDescent="0.2">
      <c r="E193" s="946"/>
      <c r="F193" s="946"/>
      <c r="G193" s="946"/>
      <c r="H193" s="946"/>
      <c r="I193" s="946"/>
      <c r="J193" s="946"/>
      <c r="K193" s="946"/>
      <c r="M193" s="947"/>
    </row>
    <row r="194" spans="5:13" s="942" customFormat="1" ht="13.15" customHeight="1" x14ac:dyDescent="0.2">
      <c r="E194" s="946"/>
      <c r="F194" s="946"/>
      <c r="G194" s="946"/>
      <c r="H194" s="946"/>
      <c r="I194" s="946"/>
      <c r="J194" s="946"/>
      <c r="K194" s="946"/>
      <c r="M194" s="947"/>
    </row>
    <row r="195" spans="5:13" s="942" customFormat="1" ht="13.15" customHeight="1" x14ac:dyDescent="0.2">
      <c r="E195" s="946"/>
      <c r="F195" s="946"/>
      <c r="G195" s="946"/>
      <c r="H195" s="946"/>
      <c r="I195" s="946"/>
      <c r="J195" s="946"/>
      <c r="K195" s="946"/>
      <c r="M195" s="947"/>
    </row>
    <row r="196" spans="5:13" s="942" customFormat="1" ht="13.15" customHeight="1" x14ac:dyDescent="0.2">
      <c r="E196" s="946"/>
      <c r="F196" s="946"/>
      <c r="G196" s="946"/>
      <c r="H196" s="946"/>
      <c r="I196" s="946"/>
      <c r="J196" s="946"/>
      <c r="K196" s="946"/>
      <c r="M196" s="947"/>
    </row>
    <row r="197" spans="5:13" s="942" customFormat="1" ht="13.15" customHeight="1" x14ac:dyDescent="0.2">
      <c r="E197" s="946"/>
      <c r="F197" s="946"/>
      <c r="G197" s="946"/>
      <c r="H197" s="946"/>
      <c r="I197" s="946"/>
      <c r="J197" s="946"/>
      <c r="K197" s="946"/>
      <c r="M197" s="947"/>
    </row>
    <row r="198" spans="5:13" s="942" customFormat="1" ht="13.15" customHeight="1" x14ac:dyDescent="0.2">
      <c r="E198" s="946"/>
      <c r="F198" s="946"/>
      <c r="G198" s="946"/>
      <c r="H198" s="946"/>
      <c r="I198" s="946"/>
      <c r="J198" s="946"/>
      <c r="K198" s="946"/>
      <c r="M198" s="947"/>
    </row>
    <row r="199" spans="5:13" s="942" customFormat="1" ht="13.15" customHeight="1" x14ac:dyDescent="0.2">
      <c r="E199" s="946"/>
      <c r="F199" s="946"/>
      <c r="G199" s="946"/>
      <c r="H199" s="946"/>
      <c r="I199" s="946"/>
      <c r="J199" s="946"/>
      <c r="K199" s="946"/>
      <c r="M199" s="947"/>
    </row>
    <row r="200" spans="5:13" s="942" customFormat="1" ht="13.15" customHeight="1" x14ac:dyDescent="0.2">
      <c r="E200" s="946"/>
      <c r="F200" s="946"/>
      <c r="G200" s="946"/>
      <c r="H200" s="946"/>
      <c r="I200" s="946"/>
      <c r="J200" s="946"/>
      <c r="K200" s="946"/>
      <c r="M200" s="947"/>
    </row>
    <row r="201" spans="5:13" s="942" customFormat="1" ht="13.15" customHeight="1" x14ac:dyDescent="0.2">
      <c r="E201" s="946"/>
      <c r="F201" s="946"/>
      <c r="G201" s="946"/>
      <c r="H201" s="946"/>
      <c r="I201" s="946"/>
      <c r="J201" s="946"/>
      <c r="K201" s="946"/>
      <c r="M201" s="947"/>
    </row>
    <row r="202" spans="5:13" s="942" customFormat="1" ht="13.15" customHeight="1" x14ac:dyDescent="0.2">
      <c r="E202" s="946"/>
      <c r="F202" s="946"/>
      <c r="G202" s="946"/>
      <c r="H202" s="946"/>
      <c r="I202" s="946"/>
      <c r="J202" s="946"/>
      <c r="K202" s="946"/>
      <c r="M202" s="947"/>
    </row>
    <row r="203" spans="5:13" s="942" customFormat="1" ht="13.15" customHeight="1" x14ac:dyDescent="0.2">
      <c r="E203" s="946"/>
      <c r="F203" s="946"/>
      <c r="G203" s="946"/>
      <c r="H203" s="946"/>
      <c r="I203" s="946"/>
      <c r="J203" s="946"/>
      <c r="K203" s="946"/>
      <c r="M203" s="947"/>
    </row>
    <row r="204" spans="5:13" s="942" customFormat="1" ht="13.15" customHeight="1" x14ac:dyDescent="0.2">
      <c r="E204" s="946"/>
      <c r="F204" s="946"/>
      <c r="G204" s="946"/>
      <c r="H204" s="946"/>
      <c r="I204" s="946"/>
      <c r="J204" s="946"/>
      <c r="K204" s="946"/>
      <c r="M204" s="947"/>
    </row>
    <row r="205" spans="5:13" s="942" customFormat="1" ht="13.15" customHeight="1" x14ac:dyDescent="0.2">
      <c r="E205" s="946"/>
      <c r="F205" s="946"/>
      <c r="G205" s="946"/>
      <c r="H205" s="946"/>
      <c r="I205" s="946"/>
      <c r="J205" s="946"/>
      <c r="K205" s="946"/>
      <c r="M205" s="947"/>
    </row>
    <row r="206" spans="5:13" s="942" customFormat="1" ht="13.15" customHeight="1" x14ac:dyDescent="0.2">
      <c r="E206" s="946"/>
      <c r="F206" s="946"/>
      <c r="G206" s="946"/>
      <c r="H206" s="946"/>
      <c r="I206" s="946"/>
      <c r="J206" s="946"/>
      <c r="K206" s="946"/>
      <c r="M206" s="947"/>
    </row>
    <row r="207" spans="5:13" s="942" customFormat="1" ht="13.15" customHeight="1" x14ac:dyDescent="0.2">
      <c r="E207" s="946"/>
      <c r="F207" s="946"/>
      <c r="G207" s="946"/>
      <c r="H207" s="946"/>
      <c r="I207" s="946"/>
      <c r="J207" s="946"/>
      <c r="K207" s="946"/>
      <c r="M207" s="947"/>
    </row>
    <row r="208" spans="5:13" s="942" customFormat="1" ht="13.15" customHeight="1" x14ac:dyDescent="0.2">
      <c r="E208" s="946"/>
      <c r="F208" s="946"/>
      <c r="G208" s="946"/>
      <c r="H208" s="946"/>
      <c r="I208" s="946"/>
      <c r="J208" s="946"/>
      <c r="K208" s="946"/>
      <c r="M208" s="947"/>
    </row>
    <row r="209" spans="5:13" s="942" customFormat="1" ht="13.15" customHeight="1" x14ac:dyDescent="0.2">
      <c r="E209" s="946"/>
      <c r="F209" s="946"/>
      <c r="G209" s="946"/>
      <c r="H209" s="946"/>
      <c r="I209" s="946"/>
      <c r="J209" s="946"/>
      <c r="K209" s="946"/>
      <c r="M209" s="947"/>
    </row>
    <row r="210" spans="5:13" s="942" customFormat="1" ht="13.15" customHeight="1" x14ac:dyDescent="0.2">
      <c r="E210" s="946"/>
      <c r="F210" s="946"/>
      <c r="G210" s="946"/>
      <c r="H210" s="946"/>
      <c r="I210" s="946"/>
      <c r="J210" s="946"/>
      <c r="K210" s="946"/>
      <c r="M210" s="947"/>
    </row>
    <row r="211" spans="5:13" s="942" customFormat="1" ht="13.15" customHeight="1" x14ac:dyDescent="0.2">
      <c r="E211" s="946"/>
      <c r="F211" s="946"/>
      <c r="G211" s="946"/>
      <c r="H211" s="946"/>
      <c r="I211" s="946"/>
      <c r="J211" s="946"/>
      <c r="K211" s="946"/>
      <c r="M211" s="947"/>
    </row>
    <row r="212" spans="5:13" s="942" customFormat="1" ht="13.15" customHeight="1" x14ac:dyDescent="0.2">
      <c r="E212" s="946"/>
      <c r="F212" s="946"/>
      <c r="G212" s="946"/>
      <c r="H212" s="946"/>
      <c r="I212" s="946"/>
      <c r="J212" s="946"/>
      <c r="K212" s="946"/>
      <c r="M212" s="947"/>
    </row>
    <row r="213" spans="5:13" s="942" customFormat="1" ht="13.15" customHeight="1" x14ac:dyDescent="0.2">
      <c r="E213" s="946"/>
      <c r="F213" s="946"/>
      <c r="G213" s="946"/>
      <c r="H213" s="946"/>
      <c r="I213" s="946"/>
      <c r="J213" s="946"/>
      <c r="K213" s="946"/>
      <c r="M213" s="947"/>
    </row>
    <row r="214" spans="5:13" s="942" customFormat="1" ht="13.15" customHeight="1" x14ac:dyDescent="0.2">
      <c r="E214" s="946"/>
      <c r="F214" s="946"/>
      <c r="G214" s="946"/>
      <c r="H214" s="946"/>
      <c r="I214" s="946"/>
      <c r="J214" s="946"/>
      <c r="K214" s="946"/>
      <c r="M214" s="947"/>
    </row>
    <row r="215" spans="5:13" s="942" customFormat="1" ht="13.15" customHeight="1" x14ac:dyDescent="0.2">
      <c r="E215" s="946"/>
      <c r="F215" s="946"/>
      <c r="G215" s="946"/>
      <c r="H215" s="946"/>
      <c r="I215" s="946"/>
      <c r="J215" s="946"/>
      <c r="K215" s="946"/>
      <c r="M215" s="947"/>
    </row>
    <row r="216" spans="5:13" s="942" customFormat="1" ht="13.15" customHeight="1" x14ac:dyDescent="0.2">
      <c r="E216" s="946"/>
      <c r="F216" s="946"/>
      <c r="G216" s="946"/>
      <c r="H216" s="946"/>
      <c r="I216" s="946"/>
      <c r="J216" s="946"/>
      <c r="K216" s="946"/>
      <c r="M216" s="947"/>
    </row>
    <row r="217" spans="5:13" s="942" customFormat="1" ht="13.15" customHeight="1" x14ac:dyDescent="0.2">
      <c r="E217" s="946"/>
      <c r="F217" s="946"/>
      <c r="G217" s="946"/>
      <c r="H217" s="946"/>
      <c r="I217" s="946"/>
      <c r="J217" s="946"/>
      <c r="K217" s="946"/>
      <c r="M217" s="947"/>
    </row>
    <row r="218" spans="5:13" s="942" customFormat="1" ht="13.15" customHeight="1" x14ac:dyDescent="0.2">
      <c r="E218" s="946"/>
      <c r="F218" s="946"/>
      <c r="G218" s="946"/>
      <c r="H218" s="946"/>
      <c r="I218" s="946"/>
      <c r="J218" s="946"/>
      <c r="K218" s="946"/>
      <c r="M218" s="947"/>
    </row>
    <row r="219" spans="5:13" s="942" customFormat="1" ht="13.15" customHeight="1" x14ac:dyDescent="0.2">
      <c r="E219" s="946"/>
      <c r="F219" s="946"/>
      <c r="G219" s="946"/>
      <c r="H219" s="946"/>
      <c r="I219" s="946"/>
      <c r="J219" s="946"/>
      <c r="K219" s="946"/>
      <c r="M219" s="947"/>
    </row>
    <row r="220" spans="5:13" s="942" customFormat="1" ht="13.15" customHeight="1" x14ac:dyDescent="0.2">
      <c r="E220" s="946"/>
      <c r="F220" s="946"/>
      <c r="G220" s="946"/>
      <c r="H220" s="946"/>
      <c r="I220" s="946"/>
      <c r="J220" s="946"/>
      <c r="K220" s="946"/>
      <c r="M220" s="947"/>
    </row>
    <row r="221" spans="5:13" s="942" customFormat="1" ht="13.15" customHeight="1" x14ac:dyDescent="0.2">
      <c r="E221" s="946"/>
      <c r="F221" s="946"/>
      <c r="G221" s="946"/>
      <c r="H221" s="946"/>
      <c r="I221" s="946"/>
      <c r="J221" s="946"/>
      <c r="K221" s="946"/>
      <c r="M221" s="947"/>
    </row>
    <row r="222" spans="5:13" s="942" customFormat="1" ht="13.15" customHeight="1" x14ac:dyDescent="0.2">
      <c r="E222" s="946"/>
      <c r="F222" s="946"/>
      <c r="G222" s="946"/>
      <c r="H222" s="946"/>
      <c r="I222" s="946"/>
      <c r="J222" s="946"/>
      <c r="K222" s="946"/>
      <c r="M222" s="947"/>
    </row>
    <row r="223" spans="5:13" s="942" customFormat="1" ht="13.15" customHeight="1" x14ac:dyDescent="0.2">
      <c r="E223" s="946"/>
      <c r="F223" s="946"/>
      <c r="G223" s="946"/>
      <c r="H223" s="946"/>
      <c r="I223" s="946"/>
      <c r="J223" s="946"/>
      <c r="K223" s="946"/>
      <c r="M223" s="947"/>
    </row>
    <row r="224" spans="5:13" s="942" customFormat="1" ht="13.15" customHeight="1" x14ac:dyDescent="0.2">
      <c r="E224" s="946"/>
      <c r="F224" s="946"/>
      <c r="G224" s="946"/>
      <c r="H224" s="946"/>
      <c r="I224" s="946"/>
      <c r="J224" s="946"/>
      <c r="K224" s="946"/>
      <c r="M224" s="947"/>
    </row>
    <row r="225" spans="5:13" s="942" customFormat="1" ht="13.15" customHeight="1" x14ac:dyDescent="0.2">
      <c r="E225" s="946"/>
      <c r="F225" s="946"/>
      <c r="G225" s="946"/>
      <c r="H225" s="946"/>
      <c r="I225" s="946"/>
      <c r="J225" s="946"/>
      <c r="K225" s="946"/>
      <c r="M225" s="947"/>
    </row>
    <row r="226" spans="5:13" s="942" customFormat="1" ht="13.15" customHeight="1" x14ac:dyDescent="0.2">
      <c r="E226" s="946"/>
      <c r="F226" s="946"/>
      <c r="G226" s="946"/>
      <c r="H226" s="946"/>
      <c r="I226" s="946"/>
      <c r="J226" s="946"/>
      <c r="K226" s="946"/>
      <c r="M226" s="947"/>
    </row>
    <row r="227" spans="5:13" s="942" customFormat="1" ht="13.15" customHeight="1" x14ac:dyDescent="0.2">
      <c r="E227" s="946"/>
      <c r="F227" s="946"/>
      <c r="G227" s="946"/>
      <c r="H227" s="946"/>
      <c r="I227" s="946"/>
      <c r="J227" s="946"/>
      <c r="K227" s="946"/>
      <c r="M227" s="947"/>
    </row>
    <row r="228" spans="5:13" s="942" customFormat="1" ht="13.15" customHeight="1" x14ac:dyDescent="0.2">
      <c r="E228" s="946"/>
      <c r="F228" s="946"/>
      <c r="G228" s="946"/>
      <c r="H228" s="946"/>
      <c r="I228" s="946"/>
      <c r="J228" s="946"/>
      <c r="K228" s="946"/>
      <c r="M228" s="947"/>
    </row>
    <row r="229" spans="5:13" s="942" customFormat="1" ht="13.15" customHeight="1" x14ac:dyDescent="0.2">
      <c r="E229" s="946"/>
      <c r="F229" s="946"/>
      <c r="G229" s="946"/>
      <c r="H229" s="946"/>
      <c r="I229" s="946"/>
      <c r="J229" s="946"/>
      <c r="K229" s="946"/>
      <c r="M229" s="947"/>
    </row>
    <row r="230" spans="5:13" s="942" customFormat="1" ht="13.15" customHeight="1" x14ac:dyDescent="0.2">
      <c r="E230" s="946"/>
      <c r="F230" s="946"/>
      <c r="G230" s="946"/>
      <c r="H230" s="946"/>
      <c r="I230" s="946"/>
      <c r="J230" s="946"/>
      <c r="K230" s="946"/>
      <c r="M230" s="947"/>
    </row>
    <row r="231" spans="5:13" s="942" customFormat="1" ht="13.15" customHeight="1" x14ac:dyDescent="0.2">
      <c r="E231" s="946"/>
      <c r="F231" s="946"/>
      <c r="G231" s="946"/>
      <c r="H231" s="946"/>
      <c r="I231" s="946"/>
      <c r="J231" s="946"/>
      <c r="K231" s="946"/>
      <c r="M231" s="947"/>
    </row>
    <row r="232" spans="5:13" s="942" customFormat="1" ht="13.15" customHeight="1" x14ac:dyDescent="0.2">
      <c r="E232" s="946"/>
      <c r="F232" s="946"/>
      <c r="G232" s="946"/>
      <c r="H232" s="946"/>
      <c r="I232" s="946"/>
      <c r="J232" s="946"/>
      <c r="K232" s="946"/>
      <c r="M232" s="947"/>
    </row>
    <row r="233" spans="5:13" s="942" customFormat="1" ht="13.15" customHeight="1" x14ac:dyDescent="0.2">
      <c r="E233" s="946"/>
      <c r="F233" s="946"/>
      <c r="G233" s="946"/>
      <c r="H233" s="946"/>
      <c r="I233" s="946"/>
      <c r="J233" s="946"/>
      <c r="K233" s="946"/>
      <c r="M233" s="947"/>
    </row>
    <row r="234" spans="5:13" s="942" customFormat="1" ht="13.15" customHeight="1" x14ac:dyDescent="0.2">
      <c r="E234" s="946"/>
      <c r="F234" s="946"/>
      <c r="G234" s="946"/>
      <c r="H234" s="946"/>
      <c r="I234" s="946"/>
      <c r="J234" s="946"/>
      <c r="K234" s="946"/>
      <c r="M234" s="947"/>
    </row>
    <row r="235" spans="5:13" s="942" customFormat="1" ht="13.15" customHeight="1" x14ac:dyDescent="0.2">
      <c r="E235" s="946"/>
      <c r="F235" s="946"/>
      <c r="G235" s="946"/>
      <c r="H235" s="946"/>
      <c r="I235" s="946"/>
      <c r="J235" s="946"/>
      <c r="K235" s="946"/>
      <c r="M235" s="947"/>
    </row>
    <row r="236" spans="5:13" s="942" customFormat="1" ht="13.15" customHeight="1" x14ac:dyDescent="0.2">
      <c r="E236" s="946"/>
      <c r="F236" s="946"/>
      <c r="G236" s="946"/>
      <c r="H236" s="946"/>
      <c r="I236" s="946"/>
      <c r="J236" s="946"/>
      <c r="K236" s="946"/>
      <c r="M236" s="947"/>
    </row>
    <row r="237" spans="5:13" s="942" customFormat="1" ht="13.15" customHeight="1" x14ac:dyDescent="0.2">
      <c r="E237" s="946"/>
      <c r="F237" s="946"/>
      <c r="G237" s="946"/>
      <c r="H237" s="946"/>
      <c r="I237" s="946"/>
      <c r="J237" s="946"/>
      <c r="K237" s="946"/>
      <c r="M237" s="947"/>
    </row>
    <row r="238" spans="5:13" s="942" customFormat="1" ht="13.15" customHeight="1" x14ac:dyDescent="0.2">
      <c r="E238" s="946"/>
      <c r="F238" s="946"/>
      <c r="G238" s="946"/>
      <c r="H238" s="946"/>
      <c r="I238" s="946"/>
      <c r="J238" s="946"/>
      <c r="K238" s="946"/>
      <c r="M238" s="947"/>
    </row>
    <row r="239" spans="5:13" s="942" customFormat="1" ht="13.15" customHeight="1" x14ac:dyDescent="0.2">
      <c r="E239" s="946"/>
      <c r="F239" s="946"/>
      <c r="G239" s="946"/>
      <c r="H239" s="946"/>
      <c r="I239" s="946"/>
      <c r="J239" s="946"/>
      <c r="K239" s="946"/>
      <c r="M239" s="947"/>
    </row>
    <row r="240" spans="5:13" s="942" customFormat="1" ht="13.15" customHeight="1" x14ac:dyDescent="0.2">
      <c r="E240" s="946"/>
      <c r="F240" s="946"/>
      <c r="G240" s="946"/>
      <c r="H240" s="946"/>
      <c r="I240" s="946"/>
      <c r="J240" s="946"/>
      <c r="K240" s="946"/>
      <c r="M240" s="947"/>
    </row>
    <row r="241" spans="5:13" s="942" customFormat="1" ht="13.15" customHeight="1" x14ac:dyDescent="0.2">
      <c r="E241" s="946"/>
      <c r="F241" s="946"/>
      <c r="G241" s="946"/>
      <c r="H241" s="946"/>
      <c r="I241" s="946"/>
      <c r="J241" s="946"/>
      <c r="K241" s="946"/>
      <c r="M241" s="947"/>
    </row>
    <row r="242" spans="5:13" s="942" customFormat="1" ht="13.15" customHeight="1" x14ac:dyDescent="0.2">
      <c r="E242" s="946"/>
      <c r="F242" s="946"/>
      <c r="G242" s="946"/>
      <c r="H242" s="946"/>
      <c r="I242" s="946"/>
      <c r="J242" s="946"/>
      <c r="K242" s="946"/>
      <c r="M242" s="947"/>
    </row>
    <row r="243" spans="5:13" s="942" customFormat="1" ht="13.15" customHeight="1" x14ac:dyDescent="0.2">
      <c r="E243" s="946"/>
      <c r="F243" s="946"/>
      <c r="G243" s="946"/>
      <c r="H243" s="946"/>
      <c r="I243" s="946"/>
      <c r="J243" s="946"/>
      <c r="K243" s="946"/>
      <c r="M243" s="947"/>
    </row>
    <row r="244" spans="5:13" s="942" customFormat="1" ht="13.15" customHeight="1" x14ac:dyDescent="0.2">
      <c r="E244" s="946"/>
      <c r="F244" s="946"/>
      <c r="G244" s="946"/>
      <c r="H244" s="946"/>
      <c r="I244" s="946"/>
      <c r="J244" s="946"/>
      <c r="K244" s="946"/>
      <c r="M244" s="947"/>
    </row>
    <row r="245" spans="5:13" s="942" customFormat="1" ht="13.15" customHeight="1" x14ac:dyDescent="0.2">
      <c r="E245" s="946"/>
      <c r="F245" s="946"/>
      <c r="G245" s="946"/>
      <c r="H245" s="946"/>
      <c r="I245" s="946"/>
      <c r="J245" s="946"/>
      <c r="K245" s="946"/>
      <c r="M245" s="947"/>
    </row>
    <row r="246" spans="5:13" s="942" customFormat="1" ht="13.15" customHeight="1" x14ac:dyDescent="0.2">
      <c r="E246" s="946"/>
      <c r="F246" s="946"/>
      <c r="G246" s="946"/>
      <c r="H246" s="946"/>
      <c r="I246" s="946"/>
      <c r="J246" s="946"/>
      <c r="K246" s="946"/>
      <c r="M246" s="947"/>
    </row>
    <row r="247" spans="5:13" s="942" customFormat="1" ht="13.15" customHeight="1" x14ac:dyDescent="0.2">
      <c r="E247" s="946"/>
      <c r="F247" s="946"/>
      <c r="G247" s="946"/>
      <c r="H247" s="946"/>
      <c r="I247" s="946"/>
      <c r="J247" s="946"/>
      <c r="K247" s="946"/>
      <c r="M247" s="947"/>
    </row>
    <row r="248" spans="5:13" s="942" customFormat="1" ht="13.15" customHeight="1" x14ac:dyDescent="0.2">
      <c r="E248" s="946"/>
      <c r="F248" s="946"/>
      <c r="G248" s="946"/>
      <c r="H248" s="946"/>
      <c r="I248" s="946"/>
      <c r="J248" s="946"/>
      <c r="K248" s="946"/>
      <c r="M248" s="947"/>
    </row>
    <row r="249" spans="5:13" s="942" customFormat="1" ht="13.15" customHeight="1" x14ac:dyDescent="0.2">
      <c r="E249" s="946"/>
      <c r="F249" s="946"/>
      <c r="G249" s="946"/>
      <c r="H249" s="946"/>
      <c r="I249" s="946"/>
      <c r="J249" s="946"/>
      <c r="K249" s="946"/>
      <c r="M249" s="947"/>
    </row>
    <row r="250" spans="5:13" s="942" customFormat="1" ht="13.15" customHeight="1" x14ac:dyDescent="0.2">
      <c r="E250" s="946"/>
      <c r="F250" s="946"/>
      <c r="G250" s="946"/>
      <c r="H250" s="946"/>
      <c r="I250" s="946"/>
      <c r="J250" s="946"/>
      <c r="K250" s="946"/>
      <c r="M250" s="947"/>
    </row>
    <row r="251" spans="5:13" s="942" customFormat="1" ht="13.15" customHeight="1" x14ac:dyDescent="0.2">
      <c r="E251" s="946"/>
      <c r="F251" s="946"/>
      <c r="G251" s="946"/>
      <c r="H251" s="946"/>
      <c r="I251" s="946"/>
      <c r="J251" s="946"/>
      <c r="K251" s="946"/>
      <c r="M251" s="947"/>
    </row>
    <row r="252" spans="5:13" s="942" customFormat="1" ht="13.15" customHeight="1" x14ac:dyDescent="0.2">
      <c r="E252" s="946"/>
      <c r="F252" s="946"/>
      <c r="G252" s="946"/>
      <c r="H252" s="946"/>
      <c r="I252" s="946"/>
      <c r="J252" s="946"/>
      <c r="K252" s="946"/>
      <c r="M252" s="947"/>
    </row>
    <row r="253" spans="5:13" s="942" customFormat="1" ht="13.15" customHeight="1" x14ac:dyDescent="0.2">
      <c r="E253" s="946"/>
      <c r="F253" s="946"/>
      <c r="G253" s="946"/>
      <c r="H253" s="946"/>
      <c r="I253" s="946"/>
      <c r="J253" s="946"/>
      <c r="K253" s="946"/>
      <c r="M253" s="947"/>
    </row>
    <row r="254" spans="5:13" s="942" customFormat="1" ht="13.15" customHeight="1" x14ac:dyDescent="0.2">
      <c r="E254" s="946"/>
      <c r="F254" s="946"/>
      <c r="G254" s="946"/>
      <c r="H254" s="946"/>
      <c r="I254" s="946"/>
      <c r="J254" s="946"/>
      <c r="K254" s="946"/>
      <c r="M254" s="947"/>
    </row>
  </sheetData>
  <sheetProtection algorithmName="SHA-512" hashValue="rwxsGPqywW6dQ95HF0B8l4d92QT7zqK9f9VDMXxT7ChUBWpFPuYzqPmIwWyCcHCnOvzIsS9lH3R4yOxwCvU+rA==" saltValue="wxpsszEhTXDQl3Li4+zN/g==" spinCount="100000" sheet="1" objects="1" scenarios="1"/>
  <phoneticPr fontId="0" type="noConversion"/>
  <pageMargins left="0.74803149606299213" right="0.74803149606299213" top="0.98425196850393704" bottom="0.98425196850393704" header="0.51181102362204722" footer="0.51181102362204722"/>
  <pageSetup paperSize="9" scale="61" orientation="portrait" r:id="rId1"/>
  <headerFooter alignWithMargins="0">
    <oddHeader>&amp;L&amp;"Arial,Vet"&amp;F&amp;R&amp;"Arial,Vet"&amp;A</oddHeader>
    <oddFooter>&amp;L&amp;"Arial,Vet"keizer / goedhart&amp;C&amp;"Arial,Vet"pagina &amp;P&amp;R&amp;"Arial,Vet"&amp;D</oddFooter>
  </headerFooter>
  <colBreaks count="1" manualBreakCount="1">
    <brk id="12" min="1" max="64"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U1303"/>
  <sheetViews>
    <sheetView zoomScale="85" zoomScaleNormal="85" workbookViewId="0">
      <selection activeCell="B2" sqref="B2"/>
    </sheetView>
  </sheetViews>
  <sheetFormatPr defaultColWidth="9.140625" defaultRowHeight="13.15" customHeight="1" x14ac:dyDescent="0.2"/>
  <cols>
    <col min="1" max="1" width="3.7109375" style="476" customWidth="1"/>
    <col min="2" max="3" width="2.7109375" style="476" customWidth="1"/>
    <col min="4" max="4" width="45.7109375" style="497" customWidth="1"/>
    <col min="5" max="5" width="2.7109375" style="476" customWidth="1"/>
    <col min="6" max="9" width="14.85546875" style="498" customWidth="1"/>
    <col min="10" max="10" width="2.7109375" style="490" customWidth="1"/>
    <col min="11" max="11" width="2.7109375" style="476" customWidth="1"/>
    <col min="12" max="13" width="14.7109375" style="476" customWidth="1"/>
    <col min="14" max="16384" width="9.140625" style="476"/>
  </cols>
  <sheetData>
    <row r="2" spans="2:11" ht="13.15" customHeight="1" x14ac:dyDescent="0.2">
      <c r="B2" s="470"/>
      <c r="C2" s="471"/>
      <c r="D2" s="472"/>
      <c r="E2" s="471"/>
      <c r="F2" s="473"/>
      <c r="G2" s="473"/>
      <c r="H2" s="473"/>
      <c r="I2" s="473"/>
      <c r="J2" s="474"/>
      <c r="K2" s="475"/>
    </row>
    <row r="3" spans="2:11" ht="13.15" customHeight="1" x14ac:dyDescent="0.2">
      <c r="B3" s="477"/>
      <c r="C3" s="478"/>
      <c r="D3" s="479"/>
      <c r="E3" s="478"/>
      <c r="F3" s="480"/>
      <c r="G3" s="480"/>
      <c r="H3" s="480"/>
      <c r="I3" s="480"/>
      <c r="J3" s="481"/>
      <c r="K3" s="482"/>
    </row>
    <row r="4" spans="2:11" s="486" customFormat="1" ht="18" customHeight="1" x14ac:dyDescent="0.3">
      <c r="B4" s="786"/>
      <c r="C4" s="739" t="s">
        <v>738</v>
      </c>
      <c r="D4" s="951"/>
      <c r="E4" s="487"/>
      <c r="F4" s="952"/>
      <c r="G4" s="952"/>
      <c r="H4" s="952"/>
      <c r="I4" s="952"/>
      <c r="J4" s="484"/>
      <c r="K4" s="485"/>
    </row>
    <row r="5" spans="2:11" s="486" customFormat="1" ht="15.6" customHeight="1" x14ac:dyDescent="0.3">
      <c r="B5" s="483"/>
      <c r="C5" s="487" t="str">
        <f>'geg LO'!C5</f>
        <v>SWV PO Passend Onderwijs</v>
      </c>
      <c r="D5" s="951"/>
      <c r="E5" s="487"/>
      <c r="F5" s="952"/>
      <c r="G5" s="952"/>
      <c r="H5" s="952"/>
      <c r="I5" s="952"/>
      <c r="J5" s="484"/>
      <c r="K5" s="485"/>
    </row>
    <row r="6" spans="2:11" ht="13.15" customHeight="1" x14ac:dyDescent="0.2">
      <c r="B6" s="477"/>
      <c r="C6" s="478"/>
      <c r="D6" s="479"/>
      <c r="E6" s="478"/>
      <c r="F6" s="488"/>
      <c r="G6" s="488"/>
      <c r="H6" s="488"/>
      <c r="I6" s="488"/>
      <c r="J6" s="481"/>
      <c r="K6" s="482"/>
    </row>
    <row r="7" spans="2:11" ht="13.15" customHeight="1" x14ac:dyDescent="0.2">
      <c r="B7" s="489"/>
      <c r="D7" s="476"/>
      <c r="F7" s="614"/>
      <c r="G7" s="614"/>
      <c r="H7" s="614"/>
      <c r="I7" s="614"/>
      <c r="J7" s="476"/>
      <c r="K7" s="482"/>
    </row>
    <row r="8" spans="2:11" ht="13.15" customHeight="1" x14ac:dyDescent="0.2">
      <c r="B8" s="489"/>
      <c r="D8" s="991" t="s">
        <v>306</v>
      </c>
      <c r="F8" s="1013">
        <f>+tab!D4</f>
        <v>2016</v>
      </c>
      <c r="G8" s="1013">
        <f>+tab!E4</f>
        <v>2017</v>
      </c>
      <c r="H8" s="1013">
        <f>+tab!F4</f>
        <v>2018</v>
      </c>
      <c r="I8" s="1013">
        <f>+tab!G4</f>
        <v>2019</v>
      </c>
      <c r="J8" s="476"/>
      <c r="K8" s="482"/>
    </row>
    <row r="9" spans="2:11" ht="13.15" customHeight="1" x14ac:dyDescent="0.2">
      <c r="B9" s="489"/>
      <c r="D9" s="992" t="s">
        <v>973</v>
      </c>
      <c r="F9" s="989" t="e">
        <f>bal!I25/ken!F29</f>
        <v>#DIV/0!</v>
      </c>
      <c r="G9" s="989" t="e">
        <f>bal!J25/ken!G29</f>
        <v>#DIV/0!</v>
      </c>
      <c r="H9" s="989" t="e">
        <f>bal!K25/ken!H29</f>
        <v>#DIV/0!</v>
      </c>
      <c r="I9" s="989" t="e">
        <f>bal!L25/ken!I29</f>
        <v>#DIV/0!</v>
      </c>
      <c r="J9" s="476"/>
      <c r="K9" s="482"/>
    </row>
    <row r="10" spans="2:11" ht="13.15" customHeight="1" x14ac:dyDescent="0.2">
      <c r="B10" s="489"/>
      <c r="D10" s="993" t="s">
        <v>307</v>
      </c>
      <c r="F10" s="989">
        <f>bal!I36/bal!I25</f>
        <v>1</v>
      </c>
      <c r="G10" s="989">
        <f>bal!J36/bal!J25</f>
        <v>1</v>
      </c>
      <c r="H10" s="989">
        <f>bal!K36/bal!K25</f>
        <v>1</v>
      </c>
      <c r="I10" s="989">
        <f>bal!L36/bal!L25</f>
        <v>1</v>
      </c>
      <c r="J10" s="476"/>
      <c r="K10" s="482"/>
    </row>
    <row r="11" spans="2:11" ht="13.15" customHeight="1" x14ac:dyDescent="0.2">
      <c r="B11" s="489"/>
      <c r="D11" s="993" t="s">
        <v>949</v>
      </c>
      <c r="F11" s="989">
        <f>(bal!I36+bal!I42)/bal!I25</f>
        <v>1</v>
      </c>
      <c r="G11" s="989">
        <f>(bal!J36+bal!J42)/bal!J25</f>
        <v>1</v>
      </c>
      <c r="H11" s="989">
        <f>(bal!K36+bal!K42)/bal!K25</f>
        <v>1</v>
      </c>
      <c r="I11" s="989">
        <f>(bal!L36+bal!L42)/bal!L25</f>
        <v>1</v>
      </c>
      <c r="J11" s="476"/>
      <c r="K11" s="482"/>
    </row>
    <row r="12" spans="2:11" ht="13.15" customHeight="1" x14ac:dyDescent="0.2">
      <c r="B12" s="489"/>
      <c r="D12" s="993" t="s">
        <v>308</v>
      </c>
      <c r="F12" s="989" t="e">
        <f>bal!I23/bal!I55</f>
        <v>#DIV/0!</v>
      </c>
      <c r="G12" s="989" t="e">
        <f>bal!J23/bal!J55</f>
        <v>#DIV/0!</v>
      </c>
      <c r="H12" s="989" t="e">
        <f>bal!K23/bal!K55</f>
        <v>#DIV/0!</v>
      </c>
      <c r="I12" s="989" t="e">
        <f>bal!L23/bal!L55</f>
        <v>#DIV/0!</v>
      </c>
      <c r="J12" s="476"/>
      <c r="K12" s="482"/>
    </row>
    <row r="13" spans="2:11" ht="13.15" customHeight="1" x14ac:dyDescent="0.2">
      <c r="B13" s="489"/>
      <c r="D13" s="994" t="s">
        <v>739</v>
      </c>
      <c r="F13" s="989" t="e">
        <f>(bal!I36-bal!I15)/begr!G14</f>
        <v>#DIV/0!</v>
      </c>
      <c r="G13" s="989" t="e">
        <f>(bal!J36-bal!J15)/begr!H14</f>
        <v>#DIV/0!</v>
      </c>
      <c r="H13" s="989" t="e">
        <f>(bal!K36-bal!K15)/begr!I14</f>
        <v>#DIV/0!</v>
      </c>
      <c r="I13" s="989" t="e">
        <f>(bal!L36-bal!L15)/begr!J14</f>
        <v>#DIV/0!</v>
      </c>
      <c r="J13" s="476"/>
      <c r="K13" s="482"/>
    </row>
    <row r="14" spans="2:11" ht="13.15" customHeight="1" x14ac:dyDescent="0.2">
      <c r="B14" s="489"/>
      <c r="D14" s="993" t="s">
        <v>394</v>
      </c>
      <c r="F14" s="989" t="e">
        <f>begr!G31/begr!G23</f>
        <v>#DIV/0!</v>
      </c>
      <c r="G14" s="989" t="e">
        <f>begr!H31/begr!H23</f>
        <v>#DIV/0!</v>
      </c>
      <c r="H14" s="989" t="e">
        <f>begr!I31/begr!I23</f>
        <v>#DIV/0!</v>
      </c>
      <c r="I14" s="989" t="e">
        <f>begr!J31/begr!J23</f>
        <v>#DIV/0!</v>
      </c>
      <c r="J14" s="476"/>
      <c r="K14" s="482"/>
    </row>
    <row r="15" spans="2:11" ht="13.15" customHeight="1" x14ac:dyDescent="0.2">
      <c r="B15" s="489"/>
      <c r="D15" s="476"/>
      <c r="F15" s="614"/>
      <c r="G15" s="614"/>
      <c r="H15" s="614"/>
      <c r="I15" s="614"/>
      <c r="J15" s="476"/>
      <c r="K15" s="482"/>
    </row>
    <row r="16" spans="2:11" ht="13.15" customHeight="1" x14ac:dyDescent="0.2">
      <c r="B16" s="489"/>
      <c r="C16" s="478"/>
      <c r="D16" s="478"/>
      <c r="E16" s="478"/>
      <c r="F16" s="606"/>
      <c r="G16" s="606"/>
      <c r="H16" s="606"/>
      <c r="I16" s="606"/>
      <c r="J16" s="478"/>
      <c r="K16" s="482"/>
    </row>
    <row r="17" spans="2:11" ht="13.15" customHeight="1" x14ac:dyDescent="0.2">
      <c r="B17" s="489"/>
      <c r="C17" s="995"/>
      <c r="D17" s="996"/>
      <c r="E17" s="997"/>
      <c r="F17" s="614"/>
      <c r="G17" s="614"/>
      <c r="H17" s="614"/>
      <c r="I17" s="614"/>
      <c r="J17" s="476"/>
      <c r="K17" s="482"/>
    </row>
    <row r="18" spans="2:11" ht="13.15" customHeight="1" x14ac:dyDescent="0.2">
      <c r="B18" s="489"/>
      <c r="C18" s="998"/>
      <c r="D18" s="986" t="s">
        <v>740</v>
      </c>
      <c r="E18" s="999"/>
      <c r="F18" s="1013">
        <f>+tab!D4</f>
        <v>2016</v>
      </c>
      <c r="G18" s="1013">
        <f>+tab!E4</f>
        <v>2017</v>
      </c>
      <c r="H18" s="1013">
        <f>+tab!F4</f>
        <v>2018</v>
      </c>
      <c r="I18" s="1013">
        <f>+tab!G4</f>
        <v>2019</v>
      </c>
      <c r="J18" s="476"/>
      <c r="K18" s="482"/>
    </row>
    <row r="19" spans="2:11" ht="13.15" customHeight="1" x14ac:dyDescent="0.2">
      <c r="B19" s="489"/>
      <c r="C19" s="998"/>
      <c r="D19" s="988" t="s">
        <v>950</v>
      </c>
      <c r="E19" s="1000"/>
      <c r="F19" s="989" t="e">
        <f>begr!G14/F29</f>
        <v>#DIV/0!</v>
      </c>
      <c r="G19" s="989" t="e">
        <f>begr!H14/G29</f>
        <v>#DIV/0!</v>
      </c>
      <c r="H19" s="989" t="e">
        <f>begr!I14/H29</f>
        <v>#DIV/0!</v>
      </c>
      <c r="I19" s="989" t="e">
        <f>begr!J14/I29</f>
        <v>#DIV/0!</v>
      </c>
      <c r="J19" s="476"/>
      <c r="K19" s="482"/>
    </row>
    <row r="20" spans="2:11" ht="13.15" customHeight="1" x14ac:dyDescent="0.2">
      <c r="B20" s="489"/>
      <c r="C20" s="998"/>
      <c r="D20" s="988" t="s">
        <v>951</v>
      </c>
      <c r="E20" s="1000"/>
      <c r="F20" s="989" t="e">
        <f>begr!G17/F29</f>
        <v>#DIV/0!</v>
      </c>
      <c r="G20" s="989" t="e">
        <f>begr!H17/G29</f>
        <v>#DIV/0!</v>
      </c>
      <c r="H20" s="989" t="e">
        <f>begr!I17/H29</f>
        <v>#DIV/0!</v>
      </c>
      <c r="I20" s="989" t="e">
        <f>begr!J17/I29</f>
        <v>#DIV/0!</v>
      </c>
      <c r="J20" s="476"/>
      <c r="K20" s="482"/>
    </row>
    <row r="21" spans="2:11" ht="13.15" customHeight="1" x14ac:dyDescent="0.2">
      <c r="B21" s="489"/>
      <c r="C21" s="998"/>
      <c r="D21" s="988" t="s">
        <v>952</v>
      </c>
      <c r="E21" s="1000"/>
      <c r="F21" s="989" t="e">
        <f>begr!G22/F29</f>
        <v>#DIV/0!</v>
      </c>
      <c r="G21" s="989" t="e">
        <f>begr!H22/G29</f>
        <v>#DIV/0!</v>
      </c>
      <c r="H21" s="989" t="e">
        <f>begr!I22/H29</f>
        <v>#DIV/0!</v>
      </c>
      <c r="I21" s="989" t="e">
        <f>begr!J22/I29</f>
        <v>#DIV/0!</v>
      </c>
      <c r="J21" s="476"/>
      <c r="K21" s="482"/>
    </row>
    <row r="22" spans="2:11" ht="13.15" customHeight="1" x14ac:dyDescent="0.2">
      <c r="B22" s="489"/>
      <c r="C22" s="998"/>
      <c r="D22" s="987" t="s">
        <v>953</v>
      </c>
      <c r="E22" s="1000"/>
      <c r="F22" s="989" t="e">
        <f>begr!G25/F29</f>
        <v>#DIV/0!</v>
      </c>
      <c r="G22" s="989" t="e">
        <f>begr!H25/G29</f>
        <v>#DIV/0!</v>
      </c>
      <c r="H22" s="989" t="e">
        <f>begr!I25/H29</f>
        <v>#DIV/0!</v>
      </c>
      <c r="I22" s="989" t="e">
        <f>begr!J25/I29</f>
        <v>#DIV/0!</v>
      </c>
      <c r="J22" s="476"/>
      <c r="K22" s="482"/>
    </row>
    <row r="23" spans="2:11" ht="13.15" customHeight="1" x14ac:dyDescent="0.2">
      <c r="B23" s="489"/>
      <c r="C23" s="998"/>
      <c r="D23" s="1001" t="s">
        <v>954</v>
      </c>
      <c r="E23" s="1000"/>
      <c r="F23" s="989" t="e">
        <f>(begr!G23+begr!G37)/begr!G14</f>
        <v>#DIV/0!</v>
      </c>
      <c r="G23" s="989" t="e">
        <f>(begr!H23+begr!H37)/begr!H14</f>
        <v>#DIV/0!</v>
      </c>
      <c r="H23" s="989" t="e">
        <f>(begr!I23+begr!I37)/begr!I14</f>
        <v>#DIV/0!</v>
      </c>
      <c r="I23" s="989" t="e">
        <f>(begr!J23+begr!J37)/begr!J14</f>
        <v>#DIV/0!</v>
      </c>
      <c r="J23" s="476"/>
      <c r="K23" s="482"/>
    </row>
    <row r="24" spans="2:11" ht="13.15" customHeight="1" x14ac:dyDescent="0.2">
      <c r="B24" s="489"/>
      <c r="C24" s="998"/>
      <c r="D24" s="987" t="s">
        <v>955</v>
      </c>
      <c r="E24" s="1000"/>
      <c r="F24" s="989" t="e">
        <f>(begr!G29+begr!G38)/begr!G14</f>
        <v>#DIV/0!</v>
      </c>
      <c r="G24" s="989" t="e">
        <f>(begr!H29+begr!H38)/begr!H14</f>
        <v>#DIV/0!</v>
      </c>
      <c r="H24" s="989" t="e">
        <f>(begr!I29+begr!I38)/begr!I14</f>
        <v>#DIV/0!</v>
      </c>
      <c r="I24" s="989" t="e">
        <f>(begr!J29+begr!J38)/begr!J14</f>
        <v>#DIV/0!</v>
      </c>
      <c r="J24" s="476"/>
      <c r="K24" s="482"/>
    </row>
    <row r="25" spans="2:11" ht="13.15" customHeight="1" x14ac:dyDescent="0.2">
      <c r="B25" s="489"/>
      <c r="C25" s="998"/>
      <c r="D25" s="1001" t="s">
        <v>956</v>
      </c>
      <c r="E25" s="1000"/>
      <c r="F25" s="989" t="e">
        <f>begr!G25/begr!G14</f>
        <v>#DIV/0!</v>
      </c>
      <c r="G25" s="989" t="e">
        <f>begr!H25/begr!H14</f>
        <v>#DIV/0!</v>
      </c>
      <c r="H25" s="989" t="e">
        <f>begr!I25/begr!I14</f>
        <v>#DIV/0!</v>
      </c>
      <c r="I25" s="989" t="e">
        <f>begr!J25/begr!J14</f>
        <v>#DIV/0!</v>
      </c>
      <c r="J25" s="476"/>
      <c r="K25" s="482"/>
    </row>
    <row r="26" spans="2:11" ht="13.15" customHeight="1" x14ac:dyDescent="0.2">
      <c r="B26" s="489"/>
      <c r="C26" s="998"/>
      <c r="D26" s="987" t="s">
        <v>957</v>
      </c>
      <c r="E26" s="1000"/>
      <c r="F26" s="989" t="e">
        <f>(begr!G26+begr!G27+begr!G28)/begr!G14</f>
        <v>#DIV/0!</v>
      </c>
      <c r="G26" s="989" t="e">
        <f>(begr!H26+begr!H27+begr!H28)/begr!H14</f>
        <v>#DIV/0!</v>
      </c>
      <c r="H26" s="989" t="e">
        <f>(begr!I26+begr!I27+begr!I28)/begr!I14</f>
        <v>#DIV/0!</v>
      </c>
      <c r="I26" s="989" t="e">
        <f>(begr!J26+begr!J27+begr!J28)/begr!J14</f>
        <v>#DIV/0!</v>
      </c>
      <c r="J26" s="476"/>
      <c r="K26" s="482"/>
    </row>
    <row r="27" spans="2:11" ht="13.15" customHeight="1" x14ac:dyDescent="0.2">
      <c r="B27" s="489"/>
      <c r="C27" s="998"/>
      <c r="D27" s="988" t="s">
        <v>958</v>
      </c>
      <c r="E27" s="1002"/>
      <c r="F27" s="989" t="e">
        <f>act!H25/(begr!G23+begr!G37)</f>
        <v>#DIV/0!</v>
      </c>
      <c r="G27" s="989" t="e">
        <f>act!I25/(begr!H23+begr!H37)</f>
        <v>#DIV/0!</v>
      </c>
      <c r="H27" s="989" t="e">
        <f>act!J25/(begr!I23+begr!I37)</f>
        <v>#DIV/0!</v>
      </c>
      <c r="I27" s="989" t="e">
        <f>act!K25/(begr!J23+begr!J37)</f>
        <v>#DIV/0!</v>
      </c>
      <c r="J27" s="476"/>
      <c r="K27" s="482"/>
    </row>
    <row r="28" spans="2:11" ht="13.15" customHeight="1" x14ac:dyDescent="0.2">
      <c r="B28" s="489"/>
      <c r="C28" s="998"/>
      <c r="D28" s="988"/>
      <c r="E28" s="1000"/>
      <c r="F28" s="614"/>
      <c r="G28" s="614"/>
      <c r="H28" s="614"/>
      <c r="I28" s="614"/>
      <c r="J28" s="476"/>
      <c r="K28" s="482"/>
    </row>
    <row r="29" spans="2:11" ht="13.15" customHeight="1" x14ac:dyDescent="0.2">
      <c r="B29" s="489"/>
      <c r="C29" s="998"/>
      <c r="D29" s="1000" t="s">
        <v>959</v>
      </c>
      <c r="E29" s="1000"/>
      <c r="F29" s="1015">
        <f>begr!G23+begr!G37</f>
        <v>0</v>
      </c>
      <c r="G29" s="1015">
        <f>begr!H23+begr!H37</f>
        <v>0</v>
      </c>
      <c r="H29" s="1015">
        <f>begr!I23+begr!I37</f>
        <v>0</v>
      </c>
      <c r="I29" s="1015">
        <f>begr!J23+begr!J37</f>
        <v>0</v>
      </c>
      <c r="J29" s="476"/>
      <c r="K29" s="482"/>
    </row>
    <row r="30" spans="2:11" ht="13.15" customHeight="1" x14ac:dyDescent="0.2">
      <c r="B30" s="489"/>
      <c r="C30" s="998"/>
      <c r="D30" s="985" t="s">
        <v>972</v>
      </c>
      <c r="E30" s="1000"/>
      <c r="F30" s="1015">
        <f>7/12*(pers!J32+pers!J33)+5/12*(pers!K32+pers!K33)+mat!J26+mat!J27</f>
        <v>0</v>
      </c>
      <c r="G30" s="1015">
        <f>7/12*(pers!K32+pers!K33)+5/12*(pers!L32+pers!L33)+mat!K26+mat!K27</f>
        <v>0</v>
      </c>
      <c r="H30" s="1015">
        <f>7/12*(pers!L32+pers!L33)+5/12*(pers!M32+pers!M33)+mat!L26+mat!L27</f>
        <v>0</v>
      </c>
      <c r="I30" s="1015">
        <f>7/12*(pers!M32+pers!M33)+5/12*(pers!N32+pers!N33)+mat!M26+mat!M27</f>
        <v>0</v>
      </c>
      <c r="J30" s="476"/>
      <c r="K30" s="482"/>
    </row>
    <row r="31" spans="2:11" ht="13.15" customHeight="1" x14ac:dyDescent="0.2">
      <c r="B31" s="489"/>
      <c r="C31" s="998"/>
      <c r="D31" s="988" t="s">
        <v>960</v>
      </c>
      <c r="E31" s="1000"/>
      <c r="F31" s="1015">
        <f>IF(F50=0,0,pers!J203/ken!F50)</f>
        <v>78849.180000000008</v>
      </c>
      <c r="G31" s="1015">
        <f>IF(G50=0,0,pers!K203/ken!G50)</f>
        <v>82605.420000000013</v>
      </c>
      <c r="H31" s="1015">
        <f>IF(H50=0,0,pers!L203/ken!H50)</f>
        <v>85396.680000000022</v>
      </c>
      <c r="I31" s="1015">
        <f>IF(I50=0,0,pers!M203/ken!I50)</f>
        <v>86780.160000000003</v>
      </c>
      <c r="J31" s="476"/>
      <c r="K31" s="482"/>
    </row>
    <row r="32" spans="2:11" ht="13.15" customHeight="1" x14ac:dyDescent="0.2">
      <c r="B32" s="489"/>
      <c r="C32" s="998"/>
      <c r="D32" s="985" t="s">
        <v>961</v>
      </c>
      <c r="E32" s="1000"/>
      <c r="F32" s="1015">
        <f>7/12*'sal pers SWV'!T36+5/12*'sal pers SWV'!T69</f>
        <v>1901.1254972875231</v>
      </c>
      <c r="G32" s="1015">
        <f>7/12*'sal pers SWV'!T69+5/12*'sal pers SWV'!T101</f>
        <v>1991.6918625678124</v>
      </c>
      <c r="H32" s="1015">
        <f>7/12*'sal pers SWV'!T101+5/12*'sal pers SWV'!T133</f>
        <v>2058.9916817359858</v>
      </c>
      <c r="I32" s="1015">
        <f>7/12*'sal pers SWV'!T133+5/12*'sal pers SWV'!T165</f>
        <v>2092.3486437613019</v>
      </c>
      <c r="J32" s="476"/>
      <c r="K32" s="482"/>
    </row>
    <row r="33" spans="2:11" ht="13.15" customHeight="1" x14ac:dyDescent="0.2">
      <c r="B33" s="489"/>
      <c r="C33" s="998"/>
      <c r="D33" s="1000" t="s">
        <v>962</v>
      </c>
      <c r="E33" s="1000"/>
      <c r="F33" s="1016">
        <f>7/12*'sal pers SWV'!Q36+5/12*'sal pers SWV'!Q69</f>
        <v>40</v>
      </c>
      <c r="G33" s="1016">
        <f>7/12*'sal pers SWV'!Q69+5/12*'sal pers SWV'!Q101</f>
        <v>40</v>
      </c>
      <c r="H33" s="1016">
        <f>7/12*'sal pers SWV'!Q101+5/12*'sal pers SWV'!Q133</f>
        <v>40</v>
      </c>
      <c r="I33" s="1016">
        <f>7/12*'sal pers SWV'!Q133+5/12*'sal pers SWV'!Q165</f>
        <v>40</v>
      </c>
      <c r="J33" s="476"/>
      <c r="K33" s="482"/>
    </row>
    <row r="34" spans="2:11" ht="13.15" customHeight="1" x14ac:dyDescent="0.2">
      <c r="B34" s="489"/>
      <c r="C34" s="614"/>
      <c r="D34" s="993"/>
      <c r="F34" s="614"/>
      <c r="G34" s="614"/>
      <c r="H34" s="614"/>
      <c r="I34" s="614"/>
      <c r="J34" s="476"/>
      <c r="K34" s="482"/>
    </row>
    <row r="35" spans="2:11" ht="13.15" customHeight="1" x14ac:dyDescent="0.2">
      <c r="B35" s="489"/>
      <c r="D35" s="476" t="s">
        <v>963</v>
      </c>
      <c r="F35" s="1015">
        <f>7/12*pers!I137+5/12*pers!J137</f>
        <v>0</v>
      </c>
      <c r="G35" s="1015">
        <f>7/12*pers!J137+5/12*pers!K137</f>
        <v>0</v>
      </c>
      <c r="H35" s="1015">
        <f>7/12*pers!K137+5/12*pers!L137</f>
        <v>0</v>
      </c>
      <c r="I35" s="1015">
        <f>7/12*pers!L137+5/12*pers!M137</f>
        <v>0</v>
      </c>
      <c r="J35" s="476"/>
      <c r="K35" s="482"/>
    </row>
    <row r="36" spans="2:11" ht="13.15" customHeight="1" x14ac:dyDescent="0.2">
      <c r="B36" s="489"/>
      <c r="D36" s="476" t="s">
        <v>971</v>
      </c>
      <c r="F36" s="1015">
        <f>7/12*pers!I138+5/12*pers!J138</f>
        <v>0</v>
      </c>
      <c r="G36" s="1015">
        <f>7/12*pers!J138+5/12*pers!K138</f>
        <v>0</v>
      </c>
      <c r="H36" s="1015">
        <f>7/12*pers!K138+5/12*pers!L138</f>
        <v>0</v>
      </c>
      <c r="I36" s="1015">
        <f>7/12*pers!L138+5/12*pers!M138</f>
        <v>0</v>
      </c>
      <c r="J36" s="476"/>
      <c r="K36" s="482"/>
    </row>
    <row r="37" spans="2:11" ht="13.15" customHeight="1" x14ac:dyDescent="0.2">
      <c r="B37" s="489"/>
      <c r="D37" s="476" t="s">
        <v>967</v>
      </c>
      <c r="F37" s="1015">
        <f>7/12*pers!I136+5/12*pers!J136</f>
        <v>0</v>
      </c>
      <c r="G37" s="1015">
        <f>7/12*pers!J136+5/12*pers!K136</f>
        <v>0</v>
      </c>
      <c r="H37" s="1015">
        <f>7/12*pers!K136+5/12*pers!L136</f>
        <v>0</v>
      </c>
      <c r="I37" s="1015">
        <f>7/12*pers!L136+5/12*pers!M136</f>
        <v>0</v>
      </c>
      <c r="J37" s="476"/>
      <c r="K37" s="482"/>
    </row>
    <row r="38" spans="2:11" ht="13.15" customHeight="1" x14ac:dyDescent="0.2">
      <c r="B38" s="489"/>
      <c r="D38" s="476" t="s">
        <v>969</v>
      </c>
      <c r="F38" s="1015">
        <f>7/12*pers!I114+5/12*pers!J114+mat!J132</f>
        <v>0</v>
      </c>
      <c r="G38" s="1015">
        <f>7/12*pers!J114+5/12*pers!K114+mat!K132</f>
        <v>0</v>
      </c>
      <c r="H38" s="1015">
        <f>7/12*pers!K114+5/12*pers!L114+mat!L132</f>
        <v>0</v>
      </c>
      <c r="I38" s="1015">
        <f>7/12*pers!L114+5/12*pers!M114+mat!M132</f>
        <v>0</v>
      </c>
      <c r="J38" s="476"/>
      <c r="K38" s="482"/>
    </row>
    <row r="39" spans="2:11" ht="13.15" customHeight="1" x14ac:dyDescent="0.2">
      <c r="B39" s="489"/>
      <c r="D39" s="476" t="s">
        <v>970</v>
      </c>
      <c r="F39" s="1015">
        <f>7/12*pers!I134+5/12*pers!J134+mat!J147</f>
        <v>0</v>
      </c>
      <c r="G39" s="1015">
        <f>7/12*pers!J134+5/12*pers!K134+mat!K147</f>
        <v>0</v>
      </c>
      <c r="H39" s="1015">
        <f>7/12*pers!K134+5/12*pers!L134+mat!L147</f>
        <v>0</v>
      </c>
      <c r="I39" s="1015">
        <f>7/12*pers!L134+5/12*pers!M134+mat!M147</f>
        <v>0</v>
      </c>
      <c r="J39" s="476"/>
      <c r="K39" s="482"/>
    </row>
    <row r="40" spans="2:11" ht="13.15" customHeight="1" x14ac:dyDescent="0.2">
      <c r="B40" s="489"/>
      <c r="D40" s="476"/>
      <c r="F40" s="1012"/>
      <c r="G40" s="1012"/>
      <c r="H40" s="1012"/>
      <c r="I40" s="1012"/>
      <c r="J40" s="476"/>
      <c r="K40" s="482"/>
    </row>
    <row r="41" spans="2:11" ht="13.15" customHeight="1" x14ac:dyDescent="0.2">
      <c r="B41" s="489"/>
      <c r="D41" s="476"/>
      <c r="F41" s="1012"/>
      <c r="G41" s="1012"/>
      <c r="H41" s="1012"/>
      <c r="I41" s="1012"/>
      <c r="J41" s="476"/>
      <c r="K41" s="482"/>
    </row>
    <row r="42" spans="2:11" ht="13.15" customHeight="1" x14ac:dyDescent="0.2">
      <c r="B42" s="489"/>
      <c r="D42" s="476"/>
      <c r="F42" s="1012"/>
      <c r="G42" s="1012"/>
      <c r="H42" s="1012"/>
      <c r="I42" s="1012"/>
      <c r="J42" s="476"/>
      <c r="K42" s="482"/>
    </row>
    <row r="43" spans="2:11" ht="13.15" customHeight="1" x14ac:dyDescent="0.2">
      <c r="B43" s="489"/>
      <c r="D43" s="476"/>
      <c r="F43" s="1012"/>
      <c r="G43" s="1012"/>
      <c r="H43" s="1012"/>
      <c r="I43" s="1012"/>
      <c r="J43" s="476"/>
      <c r="K43" s="482"/>
    </row>
    <row r="44" spans="2:11" ht="13.15" customHeight="1" x14ac:dyDescent="0.2">
      <c r="B44" s="489"/>
      <c r="D44" s="476"/>
      <c r="F44" s="1012"/>
      <c r="G44" s="1012"/>
      <c r="H44" s="1012"/>
      <c r="I44" s="1012"/>
      <c r="J44" s="476"/>
      <c r="K44" s="482"/>
    </row>
    <row r="45" spans="2:11" ht="13.15" customHeight="1" x14ac:dyDescent="0.2">
      <c r="B45" s="489"/>
      <c r="D45" s="476"/>
      <c r="F45" s="1012"/>
      <c r="G45" s="1012"/>
      <c r="H45" s="1012"/>
      <c r="I45" s="1012"/>
      <c r="J45" s="476"/>
      <c r="K45" s="482"/>
    </row>
    <row r="46" spans="2:11" ht="13.15" customHeight="1" x14ac:dyDescent="0.2">
      <c r="B46" s="489"/>
      <c r="D46" s="476"/>
      <c r="F46" s="614"/>
      <c r="G46" s="614"/>
      <c r="H46" s="614"/>
      <c r="I46" s="614"/>
      <c r="J46" s="476"/>
      <c r="K46" s="482"/>
    </row>
    <row r="47" spans="2:11" ht="13.15" customHeight="1" x14ac:dyDescent="0.2">
      <c r="B47" s="489"/>
      <c r="C47" s="478"/>
      <c r="D47" s="478"/>
      <c r="E47" s="478"/>
      <c r="F47" s="606"/>
      <c r="G47" s="606"/>
      <c r="H47" s="606"/>
      <c r="I47" s="606"/>
      <c r="J47" s="478"/>
      <c r="K47" s="482"/>
    </row>
    <row r="48" spans="2:11" ht="13.15" customHeight="1" x14ac:dyDescent="0.2">
      <c r="B48" s="489"/>
      <c r="D48" s="476"/>
      <c r="F48" s="614"/>
      <c r="G48" s="614"/>
      <c r="H48" s="614"/>
      <c r="I48" s="614"/>
      <c r="J48" s="476"/>
      <c r="K48" s="482"/>
    </row>
    <row r="49" spans="2:11" ht="13.15" customHeight="1" x14ac:dyDescent="0.2">
      <c r="B49" s="477"/>
      <c r="D49" s="1008" t="s">
        <v>750</v>
      </c>
      <c r="F49" s="827" t="str">
        <f>+tab!C2</f>
        <v>2015/16</v>
      </c>
      <c r="G49" s="827" t="str">
        <f>+tab!D2</f>
        <v>2016/17</v>
      </c>
      <c r="H49" s="827" t="str">
        <f>+tab!E2</f>
        <v>2017/18</v>
      </c>
      <c r="I49" s="827" t="str">
        <f>+tab!F2</f>
        <v>2018/19</v>
      </c>
      <c r="J49" s="476"/>
      <c r="K49" s="482"/>
    </row>
    <row r="50" spans="2:11" ht="13.15" customHeight="1" x14ac:dyDescent="0.2">
      <c r="B50" s="477"/>
      <c r="D50" s="1009" t="s">
        <v>893</v>
      </c>
      <c r="F50" s="990">
        <f>+'sal pers SWV'!K36</f>
        <v>1</v>
      </c>
      <c r="G50" s="990">
        <f>+'sal pers SWV'!K69</f>
        <v>1</v>
      </c>
      <c r="H50" s="990">
        <f>+'sal pers SWV'!K101</f>
        <v>1</v>
      </c>
      <c r="I50" s="990">
        <f>+'sal pers SWV'!K133</f>
        <v>1</v>
      </c>
      <c r="J50" s="1014">
        <f>'sal pers SWV'!K165</f>
        <v>1</v>
      </c>
      <c r="K50" s="482"/>
    </row>
    <row r="51" spans="2:11" ht="13.15" customHeight="1" x14ac:dyDescent="0.2">
      <c r="B51" s="489"/>
      <c r="D51" s="476"/>
      <c r="F51" s="614"/>
      <c r="G51" s="614"/>
      <c r="H51" s="614"/>
      <c r="I51" s="614"/>
      <c r="J51" s="476"/>
      <c r="K51" s="482"/>
    </row>
    <row r="52" spans="2:11" ht="13.15" customHeight="1" x14ac:dyDescent="0.2">
      <c r="B52" s="489"/>
      <c r="C52" s="478"/>
      <c r="D52" s="478"/>
      <c r="E52" s="478"/>
      <c r="F52" s="606"/>
      <c r="G52" s="606"/>
      <c r="H52" s="606"/>
      <c r="I52" s="606"/>
      <c r="J52" s="478"/>
      <c r="K52" s="482"/>
    </row>
    <row r="53" spans="2:11" ht="13.15" customHeight="1" x14ac:dyDescent="0.2">
      <c r="B53" s="491"/>
      <c r="C53" s="490"/>
      <c r="D53" s="1003"/>
      <c r="E53" s="490"/>
      <c r="K53" s="492"/>
    </row>
    <row r="54" spans="2:11" ht="13.15" customHeight="1" x14ac:dyDescent="0.2">
      <c r="B54" s="489"/>
      <c r="C54" s="663"/>
      <c r="D54" s="1004" t="s">
        <v>741</v>
      </c>
      <c r="E54" s="663"/>
      <c r="F54" s="1013">
        <f>+tab!D4</f>
        <v>2016</v>
      </c>
      <c r="G54" s="1013">
        <f>+tab!E4</f>
        <v>2017</v>
      </c>
      <c r="H54" s="1013">
        <f>+tab!F4</f>
        <v>2018</v>
      </c>
      <c r="I54" s="1013">
        <f>+tab!G4</f>
        <v>2019</v>
      </c>
      <c r="K54" s="482"/>
    </row>
    <row r="55" spans="2:11" ht="13.15" customHeight="1" x14ac:dyDescent="0.2">
      <c r="B55" s="477"/>
      <c r="D55" s="497" t="s">
        <v>753</v>
      </c>
      <c r="F55" s="990">
        <f>IF('geg LO'!$H17=0,0,+'geg LO'!H17/'geg LO'!$H17)</f>
        <v>0</v>
      </c>
      <c r="G55" s="990">
        <f>IF('geg LO'!$H17=0,0,+'geg LO'!I17/'geg LO'!$H17)</f>
        <v>0</v>
      </c>
      <c r="H55" s="990">
        <f>IF('geg LO'!$H17=0,0,+'geg LO'!J17/'geg LO'!$H17)</f>
        <v>0</v>
      </c>
      <c r="I55" s="990">
        <f>IF('geg LO'!$H17=0,0,+'geg LO'!K17/'geg LO'!$H17)</f>
        <v>0</v>
      </c>
      <c r="K55" s="482"/>
    </row>
    <row r="56" spans="2:11" ht="13.15" customHeight="1" x14ac:dyDescent="0.2">
      <c r="B56" s="477"/>
      <c r="D56" s="497" t="s">
        <v>754</v>
      </c>
      <c r="F56" s="990">
        <f>IF('geg LO'!$H36=0,0,'geg LO'!H36/'geg LO'!$H36)</f>
        <v>0</v>
      </c>
      <c r="G56" s="990">
        <f>IF('geg LO'!$H36=0,0,'geg LO'!I36/'geg LO'!$H36)</f>
        <v>0</v>
      </c>
      <c r="H56" s="990">
        <f>IF('geg LO'!$H36=0,0,'geg LO'!J36/'geg LO'!$H36)</f>
        <v>0</v>
      </c>
      <c r="I56" s="990">
        <f>IF('geg LO'!$H36=0,0,'geg LO'!K36/'geg LO'!$H36)</f>
        <v>0</v>
      </c>
      <c r="K56" s="482"/>
    </row>
    <row r="57" spans="2:11" ht="13.15" customHeight="1" x14ac:dyDescent="0.2">
      <c r="B57" s="477"/>
      <c r="D57" s="497" t="s">
        <v>755</v>
      </c>
      <c r="F57" s="990">
        <f>IF('geg LO'!$H38=0,0,'geg LO'!H38/'geg LO'!$H38)</f>
        <v>0</v>
      </c>
      <c r="G57" s="990">
        <f>IF('geg LO'!$H38=0,0,'geg LO'!I38/'geg LO'!$H38)</f>
        <v>0</v>
      </c>
      <c r="H57" s="990">
        <f>IF('geg LO'!$H38=0,0,'geg LO'!J38/'geg LO'!$H38)</f>
        <v>0</v>
      </c>
      <c r="I57" s="990">
        <f>IF('geg LO'!$H38=0,0,'geg LO'!K38/'geg LO'!$H38)</f>
        <v>0</v>
      </c>
      <c r="K57" s="482"/>
    </row>
    <row r="58" spans="2:11" ht="13.15" customHeight="1" x14ac:dyDescent="0.2">
      <c r="B58" s="477"/>
      <c r="D58" s="497" t="s">
        <v>756</v>
      </c>
      <c r="F58" s="990">
        <f>IF('geg ZO'!J28=0,0,'geg ZO'!J28/'geg ZO'!$J28)</f>
        <v>0</v>
      </c>
      <c r="G58" s="990">
        <f>IF('geg ZO'!K28=0,0,'geg ZO'!K28/'geg ZO'!$J28)</f>
        <v>0</v>
      </c>
      <c r="H58" s="990">
        <f>IF('geg ZO'!L28=0,0,'geg ZO'!L28/'geg ZO'!$J28)</f>
        <v>0</v>
      </c>
      <c r="I58" s="990">
        <f>IF('geg ZO'!M28=0,0,'geg ZO'!M28/'geg ZO'!$J28)</f>
        <v>0</v>
      </c>
      <c r="K58" s="482"/>
    </row>
    <row r="59" spans="2:11" ht="13.15" customHeight="1" x14ac:dyDescent="0.2">
      <c r="B59" s="477"/>
      <c r="D59" s="497" t="s">
        <v>757</v>
      </c>
      <c r="F59" s="990">
        <f>IF('geg ZO'!J31=0,0,'geg ZO'!J31/'geg ZO'!$J31)</f>
        <v>0</v>
      </c>
      <c r="G59" s="990">
        <f>IF('geg ZO'!K31=0,0,'geg ZO'!K31/'geg ZO'!$J31)</f>
        <v>0</v>
      </c>
      <c r="H59" s="990">
        <f>IF('geg ZO'!L31=0,0,'geg ZO'!L31/'geg ZO'!$J31)</f>
        <v>0</v>
      </c>
      <c r="I59" s="990">
        <f>IF('geg ZO'!M31=0,0,'geg ZO'!M31/'geg ZO'!$J31)</f>
        <v>0</v>
      </c>
      <c r="K59" s="482"/>
    </row>
    <row r="60" spans="2:11" ht="13.15" customHeight="1" x14ac:dyDescent="0.2">
      <c r="B60" s="477"/>
      <c r="D60" s="497" t="s">
        <v>758</v>
      </c>
      <c r="F60" s="990">
        <f>IF('geg ZO'!J34=0,0,'geg ZO'!J34/'geg ZO'!$J34)</f>
        <v>0</v>
      </c>
      <c r="G60" s="990">
        <f>IF('geg ZO'!K34=0,0,'geg ZO'!K34/'geg ZO'!$J34)</f>
        <v>0</v>
      </c>
      <c r="H60" s="990">
        <f>IF('geg ZO'!L34=0,0,'geg ZO'!L34/'geg ZO'!$J34)</f>
        <v>0</v>
      </c>
      <c r="I60" s="990">
        <f>IF('geg ZO'!M34=0,0,'geg ZO'!M34/'geg ZO'!$J34)</f>
        <v>0</v>
      </c>
      <c r="K60" s="482"/>
    </row>
    <row r="61" spans="2:11" ht="13.15" customHeight="1" x14ac:dyDescent="0.2">
      <c r="B61" s="477"/>
      <c r="D61" s="497" t="s">
        <v>759</v>
      </c>
      <c r="F61" s="990">
        <f>IF('geg ZO'!J35=0,0,'geg ZO'!J35/'geg ZO'!$J35)</f>
        <v>0</v>
      </c>
      <c r="G61" s="990">
        <f>IF('geg ZO'!K35=0,0,'geg ZO'!K35/'geg ZO'!$J35)</f>
        <v>0</v>
      </c>
      <c r="H61" s="990">
        <f>IF('geg ZO'!L35=0,0,'geg ZO'!L35/'geg ZO'!$J35)</f>
        <v>0</v>
      </c>
      <c r="I61" s="990">
        <f>IF('geg ZO'!M35=0,0,'geg ZO'!M35/'geg ZO'!$J35)</f>
        <v>0</v>
      </c>
      <c r="K61" s="482"/>
    </row>
    <row r="62" spans="2:11" ht="13.15" customHeight="1" x14ac:dyDescent="0.2">
      <c r="B62" s="477"/>
      <c r="D62" s="497" t="s">
        <v>761</v>
      </c>
      <c r="F62" s="990">
        <f>IF('geg ZO'!J37=0,0,'geg ZO'!J37/'geg ZO'!$J37)</f>
        <v>0</v>
      </c>
      <c r="G62" s="990">
        <f>IF('geg ZO'!K37=0,0,'geg ZO'!K37/'geg ZO'!$J37)</f>
        <v>0</v>
      </c>
      <c r="H62" s="990">
        <f>IF('geg ZO'!L37=0,0,'geg ZO'!L37/'geg ZO'!$J37)</f>
        <v>0</v>
      </c>
      <c r="I62" s="990">
        <f>IF('geg ZO'!M37=0,0,'geg ZO'!M37/'geg ZO'!$J37)</f>
        <v>0</v>
      </c>
      <c r="K62" s="482"/>
    </row>
    <row r="63" spans="2:11" ht="13.15" customHeight="1" x14ac:dyDescent="0.2">
      <c r="B63" s="477"/>
      <c r="D63" s="497" t="s">
        <v>742</v>
      </c>
      <c r="F63" s="990">
        <f>IF($G50=0,0,+G50/$G50)</f>
        <v>1</v>
      </c>
      <c r="G63" s="990">
        <f t="shared" ref="G63:I63" si="0">IF($G50=0,0,+H50/$G50)</f>
        <v>1</v>
      </c>
      <c r="H63" s="990">
        <f t="shared" si="0"/>
        <v>1</v>
      </c>
      <c r="I63" s="990">
        <f t="shared" si="0"/>
        <v>1</v>
      </c>
      <c r="K63" s="482"/>
    </row>
    <row r="64" spans="2:11" ht="13.15" customHeight="1" x14ac:dyDescent="0.2">
      <c r="B64" s="477"/>
      <c r="D64" s="497" t="s">
        <v>964</v>
      </c>
      <c r="F64" s="990">
        <f>IF($F100=0,0,F100/$F100)</f>
        <v>0</v>
      </c>
      <c r="G64" s="990">
        <f>IF($F100=0,0,G100/$F100)</f>
        <v>0</v>
      </c>
      <c r="H64" s="990">
        <f>IF($F100=0,0,H100/$F100)</f>
        <v>0</v>
      </c>
      <c r="I64" s="990">
        <f>IF($F100=0,0,I100/$F100)</f>
        <v>0</v>
      </c>
      <c r="K64" s="482"/>
    </row>
    <row r="65" spans="2:11" ht="13.15" customHeight="1" x14ac:dyDescent="0.2">
      <c r="B65" s="477"/>
      <c r="D65" s="497" t="s">
        <v>743</v>
      </c>
      <c r="F65" s="990">
        <f>IF($F90=0,0,F90/$F90)</f>
        <v>0</v>
      </c>
      <c r="G65" s="990">
        <f>IF($F90=0,0,G90/$F90)</f>
        <v>0</v>
      </c>
      <c r="H65" s="990">
        <f>IF($F90=0,0,H90/$F90)</f>
        <v>0</v>
      </c>
      <c r="I65" s="990">
        <f>IF($F90=0,0,I90/$F90)</f>
        <v>0</v>
      </c>
      <c r="K65" s="482"/>
    </row>
    <row r="66" spans="2:11" ht="13.15" customHeight="1" x14ac:dyDescent="0.2">
      <c r="B66" s="477"/>
      <c r="D66" s="497" t="s">
        <v>744</v>
      </c>
      <c r="F66" s="990">
        <f>IF($F131=0,0,+F131/$F131)</f>
        <v>0</v>
      </c>
      <c r="G66" s="990">
        <f>IF($F131=0,0,+G131/$F131)</f>
        <v>0</v>
      </c>
      <c r="H66" s="990">
        <f>IF($F131=0,0,+H131/$F131)</f>
        <v>0</v>
      </c>
      <c r="I66" s="990">
        <f>IF($F131=0,0,+I131/$F131)</f>
        <v>0</v>
      </c>
      <c r="K66" s="482"/>
    </row>
    <row r="67" spans="2:11" ht="13.15" customHeight="1" x14ac:dyDescent="0.2">
      <c r="B67" s="477"/>
      <c r="D67" s="497" t="s">
        <v>745</v>
      </c>
      <c r="F67" s="990">
        <f>IF(begr!$G17=0,0,begr!G17/begr!$G17)</f>
        <v>0</v>
      </c>
      <c r="G67" s="990">
        <f>IF(begr!$G17=0,0,begr!H17/begr!$G17)</f>
        <v>0</v>
      </c>
      <c r="H67" s="990">
        <f>IF(begr!$G17=0,0,begr!I17/begr!$G17)</f>
        <v>0</v>
      </c>
      <c r="I67" s="990">
        <f>IF(begr!$G17=0,0,begr!J17/begr!$G17)</f>
        <v>0</v>
      </c>
      <c r="K67" s="482"/>
    </row>
    <row r="68" spans="2:11" ht="13.15" customHeight="1" x14ac:dyDescent="0.2">
      <c r="B68" s="477"/>
      <c r="D68" s="497" t="s">
        <v>746</v>
      </c>
      <c r="F68" s="990">
        <f>IF(begr!$G22=0,0,begr!G22/begr!$G22)</f>
        <v>0</v>
      </c>
      <c r="G68" s="990">
        <f>IF(begr!$G22=0,0,begr!H22/begr!$G22)</f>
        <v>0</v>
      </c>
      <c r="H68" s="990">
        <f>IF(begr!$G22=0,0,begr!I22/begr!$G22)</f>
        <v>0</v>
      </c>
      <c r="I68" s="990">
        <f>IF(begr!$G22=0,0,begr!J22/begr!$G22)</f>
        <v>0</v>
      </c>
      <c r="K68" s="482"/>
    </row>
    <row r="69" spans="2:11" ht="13.15" customHeight="1" x14ac:dyDescent="0.2">
      <c r="B69" s="477"/>
      <c r="D69" s="497" t="s">
        <v>747</v>
      </c>
      <c r="F69" s="990">
        <f>IF($F96=0,0,+F96/$F96)</f>
        <v>0</v>
      </c>
      <c r="G69" s="990">
        <f>IF($F96=0,0,+G96/$F96)</f>
        <v>0</v>
      </c>
      <c r="H69" s="990">
        <f>IF($F96=0,0,+H96/$F96)</f>
        <v>0</v>
      </c>
      <c r="I69" s="990">
        <f>IF($F96=0,0,+I96/$F96)</f>
        <v>0</v>
      </c>
      <c r="K69" s="482"/>
    </row>
    <row r="70" spans="2:11" ht="13.15" customHeight="1" x14ac:dyDescent="0.2">
      <c r="B70" s="477"/>
      <c r="D70" s="497" t="s">
        <v>966</v>
      </c>
      <c r="F70" s="990">
        <f>IF(pers!$J186=0,0,+pers!J186/pers!$J186)</f>
        <v>1</v>
      </c>
      <c r="G70" s="990">
        <f>IF(pers!$J186=0,0,+pers!K186/pers!$J186)</f>
        <v>1.0476382886924125</v>
      </c>
      <c r="H70" s="990">
        <f>IF(pers!$J186=0,0,+pers!L186/pers!$J186)</f>
        <v>1.0830382763650808</v>
      </c>
      <c r="I70" s="990">
        <f>IF(pers!$J186=0,0,+pers!M186/pers!$J186)</f>
        <v>1.1005841785545516</v>
      </c>
      <c r="K70" s="482"/>
    </row>
    <row r="71" spans="2:11" ht="13.15" customHeight="1" x14ac:dyDescent="0.2">
      <c r="B71" s="477"/>
      <c r="D71" s="497" t="s">
        <v>748</v>
      </c>
      <c r="F71" s="990">
        <f>IF(begr!$G26=0,0,+begr!G26/begr!$G26)</f>
        <v>0</v>
      </c>
      <c r="G71" s="990">
        <f>IF(begr!$G26=0,0,+begr!H26/begr!$G26)</f>
        <v>0</v>
      </c>
      <c r="H71" s="990">
        <f>IF(begr!$G26=0,0,+begr!I26/begr!$G26)</f>
        <v>0</v>
      </c>
      <c r="I71" s="990">
        <f>IF(begr!$G26=0,0,+begr!J26/begr!$G26)</f>
        <v>0</v>
      </c>
      <c r="K71" s="482"/>
    </row>
    <row r="72" spans="2:11" ht="13.15" customHeight="1" x14ac:dyDescent="0.2">
      <c r="B72" s="477"/>
      <c r="D72" s="497" t="s">
        <v>749</v>
      </c>
      <c r="F72" s="990">
        <f>IF($F107=0,0,F107/$F107)</f>
        <v>0</v>
      </c>
      <c r="G72" s="990">
        <f>IF($F107=0,0,G107/$F107)</f>
        <v>0</v>
      </c>
      <c r="H72" s="990">
        <f>IF($F107=0,0,H107/$F107)</f>
        <v>0</v>
      </c>
      <c r="I72" s="990">
        <f>IF($F107=0,0,I107/$F107)</f>
        <v>0</v>
      </c>
      <c r="K72" s="482"/>
    </row>
    <row r="73" spans="2:11" ht="13.15" customHeight="1" x14ac:dyDescent="0.2">
      <c r="B73" s="477"/>
      <c r="D73" s="679" t="s">
        <v>965</v>
      </c>
      <c r="F73" s="990">
        <f>IF(begr!$G28=0,0,+begr!G28/begr!$G28)</f>
        <v>0</v>
      </c>
      <c r="G73" s="990">
        <f>IF(begr!$G28=0,0,+begr!H28/begr!$G28)</f>
        <v>0</v>
      </c>
      <c r="H73" s="990">
        <f>IF(begr!$G28=0,0,+begr!I28/begr!$G28)</f>
        <v>0</v>
      </c>
      <c r="I73" s="990">
        <f>IF(begr!$G28=0,0,+begr!J28/begr!$G28)</f>
        <v>0</v>
      </c>
      <c r="K73" s="482"/>
    </row>
    <row r="74" spans="2:11" ht="13.15" customHeight="1" x14ac:dyDescent="0.2">
      <c r="B74" s="477"/>
      <c r="F74" s="1007"/>
      <c r="G74" s="1007"/>
      <c r="H74" s="1007"/>
      <c r="I74" s="1007"/>
      <c r="K74" s="482"/>
    </row>
    <row r="75" spans="2:11" ht="13.15" customHeight="1" x14ac:dyDescent="0.2">
      <c r="B75" s="477"/>
      <c r="C75" s="478"/>
      <c r="D75" s="479"/>
      <c r="E75" s="478"/>
      <c r="F75" s="493"/>
      <c r="G75" s="493"/>
      <c r="H75" s="493"/>
      <c r="I75" s="493"/>
      <c r="J75" s="481"/>
      <c r="K75" s="482"/>
    </row>
    <row r="76" spans="2:11" ht="13.15" customHeight="1" x14ac:dyDescent="0.2">
      <c r="B76" s="494"/>
      <c r="C76" s="495"/>
      <c r="D76" s="1034"/>
      <c r="E76" s="495"/>
      <c r="F76" s="1035"/>
      <c r="G76" s="1035"/>
      <c r="H76" s="1035"/>
      <c r="I76" s="1035"/>
      <c r="J76" s="1036"/>
      <c r="K76" s="496"/>
    </row>
    <row r="77" spans="2:11" ht="13.15" customHeight="1" x14ac:dyDescent="0.2">
      <c r="B77" s="663"/>
      <c r="D77" s="476"/>
      <c r="F77" s="614"/>
      <c r="G77" s="614"/>
      <c r="H77" s="614"/>
      <c r="I77" s="614"/>
      <c r="J77" s="476"/>
    </row>
    <row r="78" spans="2:11" ht="13.15" customHeight="1" x14ac:dyDescent="0.2">
      <c r="B78" s="663"/>
      <c r="D78" s="476"/>
      <c r="F78" s="614"/>
      <c r="G78" s="614"/>
      <c r="H78" s="614"/>
      <c r="I78" s="614"/>
      <c r="J78" s="476"/>
    </row>
    <row r="79" spans="2:11" ht="13.15" customHeight="1" x14ac:dyDescent="0.2">
      <c r="B79" s="663"/>
      <c r="D79" s="476"/>
      <c r="F79" s="614"/>
      <c r="G79" s="614"/>
      <c r="H79" s="614"/>
      <c r="I79" s="614"/>
      <c r="J79" s="476"/>
    </row>
    <row r="80" spans="2:11" ht="13.15" customHeight="1" x14ac:dyDescent="0.2">
      <c r="B80" s="663"/>
      <c r="D80" s="476"/>
      <c r="F80" s="614"/>
      <c r="G80" s="614"/>
      <c r="H80" s="614"/>
      <c r="I80" s="614"/>
      <c r="J80" s="476"/>
    </row>
    <row r="81" spans="2:10" ht="13.15" customHeight="1" x14ac:dyDescent="0.2">
      <c r="B81" s="663"/>
      <c r="D81" s="476"/>
      <c r="F81" s="614"/>
      <c r="G81" s="614"/>
      <c r="H81" s="614"/>
      <c r="I81" s="614"/>
      <c r="J81" s="476"/>
    </row>
    <row r="82" spans="2:10" ht="13.15" customHeight="1" x14ac:dyDescent="0.2">
      <c r="B82" s="663"/>
      <c r="D82" s="476"/>
      <c r="F82" s="614"/>
      <c r="G82" s="614"/>
      <c r="H82" s="614"/>
      <c r="I82" s="614"/>
      <c r="J82" s="476"/>
    </row>
    <row r="83" spans="2:10" ht="13.15" customHeight="1" x14ac:dyDescent="0.2">
      <c r="B83" s="663"/>
      <c r="D83" s="476"/>
      <c r="F83" s="614"/>
      <c r="G83" s="614"/>
      <c r="H83" s="614"/>
      <c r="I83" s="614"/>
      <c r="J83" s="476"/>
    </row>
    <row r="84" spans="2:10" ht="13.15" customHeight="1" x14ac:dyDescent="0.2">
      <c r="B84" s="663"/>
      <c r="D84" s="476"/>
      <c r="F84" s="614"/>
      <c r="G84" s="614"/>
      <c r="H84" s="614"/>
      <c r="I84" s="614"/>
      <c r="J84" s="476"/>
    </row>
    <row r="85" spans="2:10" ht="13.15" customHeight="1" x14ac:dyDescent="0.2">
      <c r="B85" s="663"/>
      <c r="D85" s="476"/>
      <c r="F85" s="614"/>
      <c r="G85" s="614"/>
      <c r="H85" s="614"/>
      <c r="I85" s="614"/>
      <c r="J85" s="476"/>
    </row>
    <row r="86" spans="2:10" ht="13.15" customHeight="1" x14ac:dyDescent="0.2">
      <c r="B86" s="663"/>
      <c r="D86" s="476"/>
      <c r="F86" s="614"/>
      <c r="G86" s="614"/>
      <c r="H86" s="614"/>
      <c r="I86" s="614"/>
      <c r="J86" s="476"/>
    </row>
    <row r="87" spans="2:10" ht="13.15" customHeight="1" x14ac:dyDescent="0.2">
      <c r="B87" s="663"/>
      <c r="D87" s="625"/>
      <c r="F87" s="614"/>
      <c r="G87" s="614"/>
      <c r="H87" s="614"/>
      <c r="I87" s="614"/>
      <c r="J87" s="476"/>
    </row>
    <row r="88" spans="2:10" ht="13.15" customHeight="1" x14ac:dyDescent="0.2">
      <c r="B88" s="663"/>
      <c r="D88" s="476"/>
      <c r="J88" s="476"/>
    </row>
    <row r="89" spans="2:10" ht="13.15" customHeight="1" x14ac:dyDescent="0.2">
      <c r="B89" s="663"/>
      <c r="D89" s="476"/>
      <c r="J89" s="476"/>
    </row>
    <row r="90" spans="2:10" ht="13.15" customHeight="1" x14ac:dyDescent="0.2">
      <c r="B90" s="540"/>
      <c r="D90" s="905"/>
      <c r="F90" s="1017"/>
      <c r="G90" s="1017"/>
      <c r="H90" s="1017"/>
      <c r="I90" s="1017"/>
      <c r="J90" s="476"/>
    </row>
    <row r="91" spans="2:10" ht="13.15" customHeight="1" x14ac:dyDescent="0.2">
      <c r="B91" s="663"/>
      <c r="C91" s="625"/>
      <c r="D91" s="1018"/>
      <c r="E91" s="625"/>
      <c r="F91" s="1019"/>
      <c r="G91" s="1019"/>
      <c r="H91" s="1019"/>
      <c r="I91" s="1019"/>
      <c r="J91" s="476"/>
    </row>
    <row r="92" spans="2:10" ht="13.15" customHeight="1" x14ac:dyDescent="0.2">
      <c r="B92" s="663"/>
      <c r="D92" s="540"/>
      <c r="J92" s="476"/>
    </row>
    <row r="93" spans="2:10" ht="13.15" customHeight="1" x14ac:dyDescent="0.2">
      <c r="B93" s="663"/>
      <c r="D93" s="625"/>
      <c r="F93" s="1017"/>
      <c r="G93" s="1017"/>
      <c r="H93" s="1017"/>
      <c r="I93" s="1017"/>
      <c r="J93" s="540"/>
    </row>
    <row r="94" spans="2:10" ht="13.15" customHeight="1" x14ac:dyDescent="0.2">
      <c r="B94" s="663"/>
      <c r="D94" s="476"/>
      <c r="J94" s="476"/>
    </row>
    <row r="95" spans="2:10" ht="13.15" customHeight="1" x14ac:dyDescent="0.2">
      <c r="B95" s="663"/>
      <c r="D95" s="476"/>
      <c r="J95" s="476"/>
    </row>
    <row r="96" spans="2:10" ht="13.15" customHeight="1" x14ac:dyDescent="0.2">
      <c r="B96" s="540"/>
      <c r="D96" s="905"/>
      <c r="F96" s="1017"/>
      <c r="G96" s="1017"/>
      <c r="H96" s="1017"/>
      <c r="I96" s="1017"/>
      <c r="J96" s="476"/>
    </row>
    <row r="97" spans="2:10" ht="13.15" customHeight="1" x14ac:dyDescent="0.2">
      <c r="B97" s="663"/>
      <c r="C97" s="625"/>
      <c r="D97" s="1018"/>
      <c r="E97" s="625"/>
      <c r="F97" s="1019"/>
      <c r="G97" s="1019"/>
      <c r="H97" s="1019"/>
      <c r="I97" s="1019"/>
      <c r="J97" s="476"/>
    </row>
    <row r="98" spans="2:10" ht="13.15" customHeight="1" x14ac:dyDescent="0.2">
      <c r="B98" s="663"/>
      <c r="D98" s="476"/>
      <c r="F98" s="614"/>
      <c r="G98" s="614"/>
      <c r="H98" s="614"/>
      <c r="I98" s="614"/>
      <c r="J98" s="476"/>
    </row>
    <row r="99" spans="2:10" ht="13.15" customHeight="1" x14ac:dyDescent="0.2">
      <c r="B99" s="663"/>
      <c r="D99" s="625"/>
      <c r="F99" s="614"/>
      <c r="G99" s="614"/>
      <c r="H99" s="614"/>
      <c r="I99" s="614"/>
      <c r="J99" s="476"/>
    </row>
    <row r="100" spans="2:10" ht="13.15" customHeight="1" x14ac:dyDescent="0.2">
      <c r="B100" s="663"/>
      <c r="D100" s="905"/>
      <c r="J100" s="476"/>
    </row>
    <row r="101" spans="2:10" ht="13.15" customHeight="1" x14ac:dyDescent="0.2">
      <c r="B101" s="663"/>
      <c r="C101" s="625"/>
      <c r="D101" s="1018"/>
      <c r="E101" s="625"/>
      <c r="F101" s="1020"/>
      <c r="G101" s="1020"/>
      <c r="H101" s="1020"/>
      <c r="I101" s="1020"/>
      <c r="J101" s="476"/>
    </row>
    <row r="102" spans="2:10" ht="13.15" customHeight="1" x14ac:dyDescent="0.2">
      <c r="B102" s="663"/>
      <c r="D102" s="476"/>
      <c r="J102" s="476"/>
    </row>
    <row r="103" spans="2:10" ht="13.15" customHeight="1" x14ac:dyDescent="0.2">
      <c r="B103" s="663"/>
      <c r="D103" s="906"/>
      <c r="J103" s="476"/>
    </row>
    <row r="104" spans="2:10" ht="13.15" customHeight="1" x14ac:dyDescent="0.2">
      <c r="B104" s="663"/>
      <c r="D104" s="679"/>
      <c r="J104" s="476"/>
    </row>
    <row r="105" spans="2:10" ht="13.15" customHeight="1" x14ac:dyDescent="0.2">
      <c r="B105" s="663"/>
      <c r="D105" s="679"/>
      <c r="J105" s="476"/>
    </row>
    <row r="106" spans="2:10" ht="13.15" customHeight="1" x14ac:dyDescent="0.2">
      <c r="B106" s="663"/>
      <c r="D106" s="679"/>
      <c r="J106" s="476"/>
    </row>
    <row r="107" spans="2:10" ht="13.15" customHeight="1" x14ac:dyDescent="0.2">
      <c r="B107" s="540"/>
      <c r="D107" s="905"/>
      <c r="E107" s="540"/>
      <c r="F107" s="1017"/>
      <c r="G107" s="1017"/>
      <c r="H107" s="1017"/>
      <c r="I107" s="1017"/>
      <c r="J107" s="476"/>
    </row>
    <row r="108" spans="2:10" ht="13.15" customHeight="1" x14ac:dyDescent="0.2">
      <c r="B108" s="663"/>
      <c r="D108" s="1018"/>
      <c r="E108" s="625"/>
      <c r="F108" s="1019"/>
      <c r="G108" s="1019"/>
      <c r="H108" s="1019"/>
      <c r="I108" s="1019"/>
      <c r="J108" s="476"/>
    </row>
    <row r="109" spans="2:10" ht="13.15" customHeight="1" x14ac:dyDescent="0.2">
      <c r="B109" s="663"/>
      <c r="D109" s="679"/>
      <c r="J109" s="476"/>
    </row>
    <row r="110" spans="2:10" ht="13.15" customHeight="1" x14ac:dyDescent="0.2">
      <c r="F110" s="1021"/>
      <c r="G110" s="1021"/>
      <c r="H110" s="1021"/>
      <c r="I110" s="1021"/>
    </row>
    <row r="111" spans="2:10" ht="13.15" customHeight="1" x14ac:dyDescent="0.2">
      <c r="F111" s="1021"/>
      <c r="G111" s="1021"/>
      <c r="H111" s="1021"/>
      <c r="I111" s="1021"/>
    </row>
    <row r="112" spans="2:10" ht="13.15" customHeight="1" x14ac:dyDescent="0.2">
      <c r="F112" s="1021"/>
      <c r="G112" s="1021"/>
      <c r="H112" s="1021"/>
      <c r="I112" s="1021"/>
    </row>
    <row r="113" spans="3:10" ht="13.15" customHeight="1" x14ac:dyDescent="0.2">
      <c r="F113" s="1021"/>
      <c r="G113" s="1021"/>
      <c r="H113" s="1021"/>
      <c r="I113" s="1021"/>
    </row>
    <row r="114" spans="3:10" ht="13.15" customHeight="1" x14ac:dyDescent="0.2">
      <c r="E114" s="1009"/>
      <c r="F114" s="1021"/>
      <c r="G114" s="1021"/>
      <c r="H114" s="1021"/>
      <c r="I114" s="1021"/>
    </row>
    <row r="115" spans="3:10" ht="13.15" customHeight="1" x14ac:dyDescent="0.2">
      <c r="E115" s="1009"/>
      <c r="F115" s="1021"/>
      <c r="G115" s="1021"/>
      <c r="H115" s="1021"/>
      <c r="I115" s="1021"/>
    </row>
    <row r="116" spans="3:10" ht="13.15" customHeight="1" x14ac:dyDescent="0.2">
      <c r="D116" s="1022"/>
      <c r="E116" s="905"/>
      <c r="F116" s="1023"/>
      <c r="G116" s="1023"/>
      <c r="H116" s="1023"/>
      <c r="I116" s="1023"/>
    </row>
    <row r="117" spans="3:10" ht="13.15" customHeight="1" x14ac:dyDescent="0.2">
      <c r="C117" s="1024"/>
      <c r="D117" s="1025"/>
      <c r="E117" s="1009"/>
      <c r="F117" s="727"/>
      <c r="G117" s="727"/>
      <c r="H117" s="727"/>
      <c r="I117" s="727"/>
      <c r="J117" s="1024"/>
    </row>
    <row r="118" spans="3:10" ht="13.15" customHeight="1" x14ac:dyDescent="0.2">
      <c r="C118" s="1024"/>
      <c r="D118" s="1025"/>
      <c r="E118" s="1009"/>
      <c r="F118" s="727"/>
      <c r="G118" s="727"/>
      <c r="H118" s="727"/>
      <c r="I118" s="727"/>
      <c r="J118" s="1024"/>
    </row>
    <row r="119" spans="3:10" ht="13.15" customHeight="1" x14ac:dyDescent="0.2">
      <c r="C119" s="1024"/>
      <c r="D119" s="1025"/>
      <c r="E119" s="1009"/>
      <c r="F119" s="1011"/>
      <c r="G119" s="1011"/>
      <c r="H119" s="1011"/>
      <c r="I119" s="1011"/>
      <c r="J119" s="1024"/>
    </row>
    <row r="120" spans="3:10" ht="13.15" customHeight="1" x14ac:dyDescent="0.2">
      <c r="D120" s="1022"/>
      <c r="E120" s="1010"/>
    </row>
    <row r="121" spans="3:10" ht="13.15" customHeight="1" x14ac:dyDescent="0.2">
      <c r="D121" s="1025"/>
      <c r="E121" s="1009"/>
      <c r="F121" s="727"/>
      <c r="G121" s="727"/>
      <c r="H121" s="727"/>
      <c r="I121" s="727"/>
    </row>
    <row r="122" spans="3:10" ht="13.15" customHeight="1" x14ac:dyDescent="0.2">
      <c r="D122" s="1025"/>
      <c r="E122" s="1009"/>
      <c r="F122" s="727"/>
      <c r="G122" s="727"/>
      <c r="H122" s="727"/>
      <c r="I122" s="727"/>
    </row>
    <row r="123" spans="3:10" ht="13.15" customHeight="1" x14ac:dyDescent="0.2">
      <c r="D123" s="1025"/>
      <c r="E123" s="1009"/>
      <c r="F123" s="1026"/>
      <c r="G123" s="1026"/>
      <c r="H123" s="1026"/>
      <c r="I123" s="1026"/>
    </row>
    <row r="124" spans="3:10" ht="13.15" customHeight="1" x14ac:dyDescent="0.2">
      <c r="D124" s="1022"/>
      <c r="E124" s="1010"/>
    </row>
    <row r="125" spans="3:10" ht="13.15" customHeight="1" x14ac:dyDescent="0.2">
      <c r="D125" s="679"/>
      <c r="E125" s="1009"/>
      <c r="F125" s="727"/>
      <c r="G125" s="727"/>
      <c r="H125" s="727"/>
      <c r="I125" s="727"/>
    </row>
    <row r="126" spans="3:10" ht="13.15" customHeight="1" x14ac:dyDescent="0.2">
      <c r="D126" s="1025"/>
      <c r="E126" s="1009"/>
      <c r="F126" s="727"/>
      <c r="G126" s="727"/>
      <c r="H126" s="727"/>
      <c r="I126" s="727"/>
    </row>
    <row r="127" spans="3:10" ht="13.15" customHeight="1" x14ac:dyDescent="0.2">
      <c r="D127" s="1025"/>
      <c r="E127" s="1009"/>
      <c r="F127" s="1027"/>
      <c r="G127" s="1027"/>
      <c r="H127" s="1027"/>
      <c r="I127" s="1027"/>
    </row>
    <row r="128" spans="3:10" ht="13.15" customHeight="1" x14ac:dyDescent="0.2">
      <c r="D128" s="1028"/>
      <c r="E128" s="1009"/>
      <c r="F128" s="1029"/>
      <c r="G128" s="1029"/>
      <c r="H128" s="1029"/>
      <c r="I128" s="1029"/>
    </row>
    <row r="129" spans="3:10" ht="13.15" customHeight="1" x14ac:dyDescent="0.2">
      <c r="D129" s="1025"/>
      <c r="E129" s="1009"/>
    </row>
    <row r="130" spans="3:10" ht="13.15" customHeight="1" x14ac:dyDescent="0.2">
      <c r="D130" s="1025"/>
      <c r="E130" s="1009"/>
    </row>
    <row r="131" spans="3:10" ht="13.15" customHeight="1" x14ac:dyDescent="0.2">
      <c r="D131" s="1025"/>
      <c r="E131" s="1009"/>
    </row>
    <row r="132" spans="3:10" ht="13.15" customHeight="1" x14ac:dyDescent="0.2">
      <c r="D132" s="1025"/>
      <c r="E132" s="1009"/>
      <c r="F132" s="1027"/>
      <c r="G132" s="1027"/>
      <c r="H132" s="1027"/>
      <c r="I132" s="1027"/>
    </row>
    <row r="133" spans="3:10" ht="13.15" customHeight="1" x14ac:dyDescent="0.2">
      <c r="C133" s="490"/>
      <c r="D133" s="1030"/>
      <c r="E133" s="490"/>
      <c r="F133" s="1031"/>
      <c r="G133" s="1031"/>
      <c r="H133" s="1031"/>
      <c r="I133" s="1031"/>
    </row>
    <row r="134" spans="3:10" ht="13.15" customHeight="1" x14ac:dyDescent="0.2">
      <c r="C134" s="490"/>
      <c r="D134" s="1003"/>
      <c r="E134" s="490"/>
      <c r="F134" s="490"/>
      <c r="G134" s="490"/>
      <c r="H134" s="490"/>
      <c r="I134" s="490"/>
    </row>
    <row r="135" spans="3:10" ht="13.15" customHeight="1" x14ac:dyDescent="0.2">
      <c r="C135" s="490"/>
      <c r="D135" s="1003"/>
      <c r="E135" s="490"/>
    </row>
    <row r="136" spans="3:10" ht="13.15" customHeight="1" x14ac:dyDescent="0.2">
      <c r="C136" s="490"/>
      <c r="D136" s="1003"/>
      <c r="E136" s="490"/>
      <c r="F136" s="1032"/>
      <c r="G136" s="1032"/>
      <c r="H136" s="1032"/>
      <c r="I136" s="1032"/>
    </row>
    <row r="137" spans="3:10" ht="13.15" customHeight="1" x14ac:dyDescent="0.2">
      <c r="C137" s="490"/>
      <c r="D137" s="1003"/>
      <c r="E137" s="490"/>
    </row>
    <row r="138" spans="3:10" ht="13.15" customHeight="1" x14ac:dyDescent="0.2">
      <c r="C138" s="663"/>
      <c r="F138" s="476"/>
      <c r="G138" s="476"/>
      <c r="H138" s="476"/>
      <c r="I138" s="476"/>
      <c r="J138" s="476"/>
    </row>
    <row r="139" spans="3:10" ht="13.15" customHeight="1" x14ac:dyDescent="0.2">
      <c r="C139" s="663"/>
      <c r="F139" s="476"/>
      <c r="G139" s="476"/>
      <c r="H139" s="476"/>
      <c r="I139" s="476"/>
      <c r="J139" s="476"/>
    </row>
    <row r="140" spans="3:10" ht="13.15" customHeight="1" x14ac:dyDescent="0.2">
      <c r="C140" s="663"/>
      <c r="F140" s="476"/>
      <c r="G140" s="476"/>
      <c r="H140" s="476"/>
      <c r="I140" s="476"/>
      <c r="J140" s="476"/>
    </row>
    <row r="141" spans="3:10" ht="13.15" customHeight="1" x14ac:dyDescent="0.2">
      <c r="C141" s="663"/>
      <c r="F141" s="476"/>
      <c r="G141" s="476"/>
      <c r="H141" s="476"/>
      <c r="I141" s="476"/>
      <c r="J141" s="476"/>
    </row>
    <row r="142" spans="3:10" ht="13.15" customHeight="1" x14ac:dyDescent="0.2">
      <c r="C142" s="663"/>
      <c r="F142" s="476"/>
      <c r="G142" s="476"/>
      <c r="H142" s="476"/>
      <c r="I142" s="476"/>
      <c r="J142" s="476"/>
    </row>
    <row r="143" spans="3:10" ht="13.15" customHeight="1" x14ac:dyDescent="0.2">
      <c r="C143" s="663"/>
      <c r="F143" s="476"/>
      <c r="G143" s="476"/>
      <c r="H143" s="476"/>
      <c r="I143" s="476"/>
      <c r="J143" s="476"/>
    </row>
    <row r="144" spans="3:10" ht="13.15" customHeight="1" x14ac:dyDescent="0.2">
      <c r="D144" s="1004"/>
      <c r="E144" s="663"/>
      <c r="F144" s="1005"/>
      <c r="G144" s="1005"/>
      <c r="H144" s="1005"/>
      <c r="I144" s="1005"/>
    </row>
    <row r="145" spans="2:24" ht="13.15" customHeight="1" x14ac:dyDescent="0.2">
      <c r="D145" s="1022"/>
      <c r="E145" s="663"/>
    </row>
    <row r="146" spans="2:24" ht="13.15" customHeight="1" x14ac:dyDescent="0.2">
      <c r="C146" s="614"/>
      <c r="F146" s="1006"/>
      <c r="G146" s="1006"/>
      <c r="H146" s="1006"/>
      <c r="I146" s="1006"/>
      <c r="J146" s="1033"/>
    </row>
    <row r="147" spans="2:24" s="490" customFormat="1" ht="13.15" customHeight="1" x14ac:dyDescent="0.2">
      <c r="B147" s="476"/>
      <c r="C147" s="476"/>
      <c r="D147" s="497"/>
      <c r="E147" s="663"/>
      <c r="F147" s="1006"/>
      <c r="G147" s="1006"/>
      <c r="H147" s="1006"/>
      <c r="I147" s="1006"/>
      <c r="K147" s="476"/>
      <c r="M147" s="476"/>
      <c r="N147" s="476"/>
      <c r="O147" s="476"/>
      <c r="P147" s="476"/>
      <c r="Q147" s="476"/>
      <c r="R147" s="476"/>
      <c r="S147" s="476"/>
      <c r="T147" s="476"/>
      <c r="U147" s="476"/>
      <c r="V147" s="476"/>
      <c r="W147" s="476"/>
      <c r="X147" s="476"/>
    </row>
    <row r="148" spans="2:24" s="490" customFormat="1" ht="13.15" customHeight="1" x14ac:dyDescent="0.2">
      <c r="B148" s="476"/>
      <c r="C148" s="476"/>
      <c r="D148" s="497"/>
      <c r="E148" s="663"/>
      <c r="F148" s="1006"/>
      <c r="G148" s="1006"/>
      <c r="H148" s="1006"/>
      <c r="I148" s="1006"/>
      <c r="K148" s="476"/>
      <c r="M148" s="476"/>
      <c r="N148" s="476"/>
      <c r="O148" s="476"/>
      <c r="P148" s="476"/>
      <c r="Q148" s="476"/>
      <c r="R148" s="476"/>
      <c r="S148" s="476"/>
      <c r="T148" s="476"/>
      <c r="U148" s="476"/>
      <c r="V148" s="476"/>
      <c r="W148" s="476"/>
      <c r="X148" s="476"/>
    </row>
    <row r="149" spans="2:24" ht="13.15" customHeight="1" x14ac:dyDescent="0.2">
      <c r="C149" s="614"/>
      <c r="J149" s="1033"/>
    </row>
    <row r="150" spans="2:24" ht="13.15" customHeight="1" x14ac:dyDescent="0.2">
      <c r="C150" s="614"/>
      <c r="J150" s="1033"/>
    </row>
    <row r="151" spans="2:24" ht="13.15" customHeight="1" x14ac:dyDescent="0.2">
      <c r="C151" s="614"/>
    </row>
    <row r="152" spans="2:24" ht="13.15" customHeight="1" x14ac:dyDescent="0.2">
      <c r="C152" s="614"/>
      <c r="J152" s="1033"/>
    </row>
    <row r="153" spans="2:24" ht="13.15" customHeight="1" x14ac:dyDescent="0.2">
      <c r="C153" s="614"/>
      <c r="F153" s="1006"/>
      <c r="G153" s="1006"/>
      <c r="H153" s="1006"/>
      <c r="I153" s="1006"/>
      <c r="J153" s="1033"/>
    </row>
    <row r="154" spans="2:24" ht="13.15" customHeight="1" x14ac:dyDescent="0.2">
      <c r="C154" s="614"/>
      <c r="F154" s="1006"/>
      <c r="G154" s="1006"/>
      <c r="H154" s="1006"/>
      <c r="I154" s="1006"/>
    </row>
    <row r="155" spans="2:24" ht="13.15" customHeight="1" x14ac:dyDescent="0.2">
      <c r="C155" s="614"/>
      <c r="F155" s="1006"/>
      <c r="G155" s="1006"/>
      <c r="H155" s="1006"/>
      <c r="I155" s="1006"/>
      <c r="J155" s="1033"/>
    </row>
    <row r="156" spans="2:24" ht="13.15" customHeight="1" x14ac:dyDescent="0.2">
      <c r="C156" s="614"/>
      <c r="F156" s="1006"/>
      <c r="G156" s="1006"/>
      <c r="H156" s="1006"/>
      <c r="I156" s="1006"/>
      <c r="J156" s="1033"/>
    </row>
    <row r="157" spans="2:24" ht="13.15" customHeight="1" x14ac:dyDescent="0.2">
      <c r="C157" s="614"/>
      <c r="F157" s="1006"/>
      <c r="G157" s="1006"/>
      <c r="H157" s="1006"/>
      <c r="I157" s="1006"/>
      <c r="J157" s="1033"/>
    </row>
    <row r="158" spans="2:24" ht="13.15" customHeight="1" x14ac:dyDescent="0.2">
      <c r="C158" s="614"/>
      <c r="F158" s="1006"/>
      <c r="G158" s="1006"/>
      <c r="H158" s="1006"/>
      <c r="I158" s="1006"/>
      <c r="J158" s="1033"/>
    </row>
    <row r="159" spans="2:24" ht="13.15" customHeight="1" x14ac:dyDescent="0.2">
      <c r="C159" s="614"/>
    </row>
    <row r="160" spans="2:24" ht="13.15" customHeight="1" x14ac:dyDescent="0.2">
      <c r="C160" s="614"/>
      <c r="F160" s="1006"/>
      <c r="G160" s="1006"/>
      <c r="H160" s="1006"/>
      <c r="I160" s="1006"/>
    </row>
    <row r="161" spans="2:11" ht="13.15" customHeight="1" x14ac:dyDescent="0.2">
      <c r="B161" s="490"/>
      <c r="C161" s="490"/>
      <c r="D161" s="1003"/>
      <c r="E161" s="490"/>
      <c r="K161" s="490"/>
    </row>
    <row r="162" spans="2:11" ht="13.15" customHeight="1" x14ac:dyDescent="0.2">
      <c r="B162" s="490"/>
      <c r="C162" s="490"/>
      <c r="D162" s="490"/>
      <c r="E162" s="490"/>
      <c r="F162" s="490"/>
      <c r="G162" s="490"/>
      <c r="H162" s="490"/>
      <c r="I162" s="490"/>
      <c r="K162" s="490"/>
    </row>
    <row r="163" spans="2:11" ht="13.15" customHeight="1" x14ac:dyDescent="0.2">
      <c r="D163" s="476"/>
      <c r="F163" s="476"/>
      <c r="G163" s="476"/>
      <c r="H163" s="476"/>
      <c r="I163" s="476"/>
      <c r="J163" s="476"/>
    </row>
    <row r="164" spans="2:11" ht="13.15" customHeight="1" x14ac:dyDescent="0.2">
      <c r="D164" s="476"/>
      <c r="F164" s="476"/>
      <c r="G164" s="476"/>
      <c r="H164" s="476"/>
      <c r="I164" s="476"/>
      <c r="J164" s="476"/>
    </row>
    <row r="165" spans="2:11" ht="13.15" customHeight="1" x14ac:dyDescent="0.2">
      <c r="D165" s="476"/>
      <c r="F165" s="476"/>
      <c r="G165" s="476"/>
      <c r="H165" s="476"/>
      <c r="I165" s="476"/>
      <c r="J165" s="476"/>
    </row>
    <row r="166" spans="2:11" ht="13.15" customHeight="1" x14ac:dyDescent="0.2">
      <c r="D166" s="476"/>
      <c r="F166" s="476"/>
      <c r="G166" s="476"/>
      <c r="H166" s="476"/>
      <c r="I166" s="476"/>
      <c r="J166" s="476"/>
    </row>
    <row r="167" spans="2:11" ht="13.15" customHeight="1" x14ac:dyDescent="0.2">
      <c r="D167" s="476"/>
      <c r="F167" s="476"/>
      <c r="G167" s="476"/>
      <c r="H167" s="476"/>
      <c r="I167" s="476"/>
      <c r="J167" s="476"/>
    </row>
    <row r="168" spans="2:11" ht="13.15" customHeight="1" x14ac:dyDescent="0.2">
      <c r="D168" s="476"/>
      <c r="F168" s="476"/>
      <c r="G168" s="476"/>
      <c r="H168" s="476"/>
      <c r="I168" s="476"/>
      <c r="J168" s="476"/>
    </row>
    <row r="169" spans="2:11" ht="13.15" customHeight="1" x14ac:dyDescent="0.2">
      <c r="D169" s="476"/>
      <c r="F169" s="476"/>
      <c r="G169" s="476"/>
      <c r="H169" s="476"/>
      <c r="I169" s="476"/>
      <c r="J169" s="476"/>
    </row>
    <row r="170" spans="2:11" ht="13.15" customHeight="1" x14ac:dyDescent="0.2">
      <c r="D170" s="476"/>
      <c r="F170" s="476"/>
      <c r="G170" s="476"/>
      <c r="H170" s="476"/>
      <c r="I170" s="476"/>
      <c r="J170" s="476"/>
    </row>
    <row r="171" spans="2:11" ht="13.15" customHeight="1" x14ac:dyDescent="0.2">
      <c r="D171" s="476"/>
      <c r="F171" s="476"/>
      <c r="G171" s="476"/>
      <c r="H171" s="476"/>
      <c r="I171" s="476"/>
      <c r="J171" s="476"/>
    </row>
    <row r="172" spans="2:11" ht="13.15" customHeight="1" x14ac:dyDescent="0.2">
      <c r="D172" s="476"/>
      <c r="F172" s="476"/>
      <c r="G172" s="476"/>
      <c r="H172" s="476"/>
      <c r="I172" s="476"/>
      <c r="J172" s="476"/>
    </row>
    <row r="173" spans="2:11" ht="13.15" customHeight="1" x14ac:dyDescent="0.2">
      <c r="D173" s="476"/>
      <c r="F173" s="476"/>
      <c r="G173" s="476"/>
      <c r="H173" s="476"/>
      <c r="I173" s="476"/>
      <c r="J173" s="476"/>
    </row>
    <row r="174" spans="2:11" ht="13.15" customHeight="1" x14ac:dyDescent="0.2">
      <c r="D174" s="476"/>
      <c r="F174" s="476"/>
      <c r="G174" s="476"/>
      <c r="H174" s="476"/>
      <c r="I174" s="476"/>
      <c r="J174" s="476"/>
    </row>
    <row r="175" spans="2:11" ht="13.15" customHeight="1" x14ac:dyDescent="0.2">
      <c r="D175" s="476"/>
      <c r="F175" s="476"/>
      <c r="G175" s="476"/>
      <c r="H175" s="476"/>
      <c r="I175" s="476"/>
      <c r="J175" s="476"/>
    </row>
    <row r="176" spans="2:11" ht="13.15" customHeight="1" x14ac:dyDescent="0.2">
      <c r="D176" s="476"/>
      <c r="F176" s="476"/>
      <c r="G176" s="476"/>
      <c r="H176" s="476"/>
      <c r="I176" s="476"/>
      <c r="J176" s="476"/>
    </row>
    <row r="177" spans="4:10" ht="13.15" customHeight="1" x14ac:dyDescent="0.2">
      <c r="D177" s="476"/>
      <c r="F177" s="476"/>
      <c r="G177" s="476"/>
      <c r="H177" s="476"/>
      <c r="I177" s="476"/>
      <c r="J177" s="476"/>
    </row>
    <row r="178" spans="4:10" ht="13.15" customHeight="1" x14ac:dyDescent="0.2">
      <c r="D178" s="476"/>
      <c r="F178" s="476"/>
      <c r="G178" s="476"/>
      <c r="H178" s="476"/>
      <c r="I178" s="476"/>
      <c r="J178" s="476"/>
    </row>
    <row r="179" spans="4:10" ht="13.15" customHeight="1" x14ac:dyDescent="0.2">
      <c r="D179" s="476"/>
      <c r="F179" s="476"/>
      <c r="G179" s="476"/>
      <c r="H179" s="476"/>
      <c r="I179" s="476"/>
      <c r="J179" s="476"/>
    </row>
    <row r="180" spans="4:10" ht="13.15" customHeight="1" x14ac:dyDescent="0.2">
      <c r="D180" s="476"/>
      <c r="F180" s="476"/>
      <c r="G180" s="476"/>
      <c r="H180" s="476"/>
      <c r="I180" s="476"/>
      <c r="J180" s="476"/>
    </row>
    <row r="181" spans="4:10" ht="13.15" customHeight="1" x14ac:dyDescent="0.2">
      <c r="D181" s="476"/>
      <c r="F181" s="476"/>
      <c r="G181" s="476"/>
      <c r="H181" s="476"/>
      <c r="I181" s="476"/>
      <c r="J181" s="476"/>
    </row>
    <row r="182" spans="4:10" ht="13.15" customHeight="1" x14ac:dyDescent="0.2">
      <c r="D182" s="476"/>
      <c r="F182" s="476"/>
      <c r="G182" s="476"/>
      <c r="H182" s="476"/>
      <c r="I182" s="476"/>
      <c r="J182" s="476"/>
    </row>
    <row r="183" spans="4:10" ht="13.15" customHeight="1" x14ac:dyDescent="0.2">
      <c r="D183" s="476"/>
      <c r="F183" s="476"/>
      <c r="G183" s="476"/>
      <c r="H183" s="476"/>
      <c r="I183" s="476"/>
      <c r="J183" s="476"/>
    </row>
    <row r="184" spans="4:10" ht="13.15" customHeight="1" x14ac:dyDescent="0.2">
      <c r="D184" s="476"/>
      <c r="F184" s="476"/>
      <c r="G184" s="476"/>
      <c r="H184" s="476"/>
      <c r="I184" s="476"/>
      <c r="J184" s="476"/>
    </row>
    <row r="185" spans="4:10" ht="13.15" customHeight="1" x14ac:dyDescent="0.2">
      <c r="D185" s="476"/>
      <c r="F185" s="476"/>
      <c r="G185" s="476"/>
      <c r="H185" s="476"/>
      <c r="I185" s="476"/>
      <c r="J185" s="476"/>
    </row>
    <row r="186" spans="4:10" ht="13.15" customHeight="1" x14ac:dyDescent="0.2">
      <c r="D186" s="476"/>
      <c r="F186" s="476"/>
      <c r="G186" s="476"/>
      <c r="H186" s="476"/>
      <c r="I186" s="476"/>
      <c r="J186" s="476"/>
    </row>
    <row r="187" spans="4:10" ht="13.15" customHeight="1" x14ac:dyDescent="0.2">
      <c r="D187" s="476"/>
      <c r="F187" s="476"/>
      <c r="G187" s="476"/>
      <c r="H187" s="476"/>
      <c r="I187" s="476"/>
      <c r="J187" s="476"/>
    </row>
    <row r="188" spans="4:10" ht="13.15" customHeight="1" x14ac:dyDescent="0.2">
      <c r="D188" s="476"/>
      <c r="F188" s="476"/>
      <c r="G188" s="476"/>
      <c r="H188" s="476"/>
      <c r="I188" s="476"/>
      <c r="J188" s="476"/>
    </row>
    <row r="189" spans="4:10" ht="13.15" customHeight="1" x14ac:dyDescent="0.2">
      <c r="D189" s="476"/>
      <c r="F189" s="476"/>
      <c r="G189" s="476"/>
      <c r="H189" s="476"/>
      <c r="I189" s="476"/>
      <c r="J189" s="476"/>
    </row>
    <row r="190" spans="4:10" ht="13.15" customHeight="1" x14ac:dyDescent="0.2">
      <c r="D190" s="476"/>
      <c r="F190" s="476"/>
      <c r="G190" s="476"/>
      <c r="H190" s="476"/>
      <c r="I190" s="476"/>
      <c r="J190" s="476"/>
    </row>
    <row r="191" spans="4:10" ht="13.15" customHeight="1" x14ac:dyDescent="0.2">
      <c r="D191" s="476"/>
      <c r="F191" s="476"/>
      <c r="G191" s="476"/>
      <c r="H191" s="476"/>
      <c r="I191" s="476"/>
      <c r="J191" s="476"/>
    </row>
    <row r="192" spans="4:10" ht="13.15" customHeight="1" x14ac:dyDescent="0.2">
      <c r="D192" s="476"/>
      <c r="F192" s="476"/>
      <c r="G192" s="476"/>
      <c r="H192" s="476"/>
      <c r="I192" s="476"/>
      <c r="J192" s="476"/>
    </row>
    <row r="193" spans="4:10" ht="13.15" customHeight="1" x14ac:dyDescent="0.2">
      <c r="D193" s="476"/>
      <c r="F193" s="476"/>
      <c r="G193" s="476"/>
      <c r="H193" s="476"/>
      <c r="I193" s="476"/>
      <c r="J193" s="476"/>
    </row>
    <row r="196" spans="4:10" ht="13.15" customHeight="1" x14ac:dyDescent="0.2">
      <c r="F196" s="476"/>
      <c r="G196" s="476"/>
      <c r="H196" s="476"/>
      <c r="I196" s="476"/>
    </row>
    <row r="197" spans="4:10" ht="13.15" customHeight="1" x14ac:dyDescent="0.2">
      <c r="F197" s="476"/>
      <c r="G197" s="476"/>
      <c r="H197" s="476"/>
      <c r="I197" s="476"/>
    </row>
    <row r="198" spans="4:10" ht="13.15" customHeight="1" x14ac:dyDescent="0.2">
      <c r="F198" s="476"/>
      <c r="G198" s="476"/>
      <c r="H198" s="476"/>
      <c r="I198" s="476"/>
    </row>
    <row r="199" spans="4:10" ht="13.15" customHeight="1" x14ac:dyDescent="0.2">
      <c r="D199" s="476"/>
      <c r="F199" s="476"/>
      <c r="G199" s="476"/>
      <c r="H199" s="476"/>
      <c r="I199" s="476"/>
      <c r="J199" s="476"/>
    </row>
    <row r="200" spans="4:10" ht="13.15" customHeight="1" x14ac:dyDescent="0.2">
      <c r="D200" s="476"/>
      <c r="F200" s="476"/>
      <c r="G200" s="476"/>
      <c r="H200" s="476"/>
      <c r="I200" s="476"/>
      <c r="J200" s="476"/>
    </row>
    <row r="201" spans="4:10" ht="13.15" customHeight="1" x14ac:dyDescent="0.2">
      <c r="D201" s="476"/>
      <c r="F201" s="476"/>
      <c r="G201" s="476"/>
      <c r="H201" s="476"/>
      <c r="I201" s="476"/>
      <c r="J201" s="476"/>
    </row>
    <row r="202" spans="4:10" ht="13.15" customHeight="1" x14ac:dyDescent="0.2">
      <c r="D202" s="476"/>
      <c r="F202" s="476"/>
      <c r="G202" s="476"/>
      <c r="H202" s="476"/>
      <c r="I202" s="476"/>
      <c r="J202" s="476"/>
    </row>
    <row r="203" spans="4:10" ht="13.15" customHeight="1" x14ac:dyDescent="0.2">
      <c r="D203" s="476"/>
      <c r="F203" s="476"/>
      <c r="G203" s="476"/>
      <c r="H203" s="476"/>
      <c r="I203" s="476"/>
      <c r="J203" s="476"/>
    </row>
    <row r="204" spans="4:10" ht="13.15" customHeight="1" x14ac:dyDescent="0.2">
      <c r="F204" s="476"/>
      <c r="G204" s="476"/>
      <c r="H204" s="476"/>
      <c r="I204" s="476"/>
    </row>
    <row r="205" spans="4:10" ht="13.15" customHeight="1" x14ac:dyDescent="0.2">
      <c r="F205" s="476"/>
      <c r="G205" s="476"/>
      <c r="H205" s="476"/>
      <c r="I205" s="476"/>
    </row>
    <row r="206" spans="4:10" ht="13.15" customHeight="1" x14ac:dyDescent="0.2">
      <c r="F206" s="476"/>
      <c r="G206" s="476"/>
      <c r="H206" s="476"/>
      <c r="I206" s="476"/>
    </row>
    <row r="207" spans="4:10" ht="13.15" customHeight="1" x14ac:dyDescent="0.2">
      <c r="F207" s="476"/>
      <c r="G207" s="476"/>
      <c r="H207" s="476"/>
      <c r="I207" s="476"/>
    </row>
    <row r="208" spans="4:10" ht="13.15" customHeight="1" x14ac:dyDescent="0.2">
      <c r="F208" s="476"/>
      <c r="G208" s="476"/>
      <c r="H208" s="476"/>
      <c r="I208" s="476"/>
    </row>
    <row r="349" spans="1:47" s="398" customFormat="1" ht="13.15" customHeight="1" x14ac:dyDescent="0.2">
      <c r="A349" s="476"/>
      <c r="B349" s="476"/>
      <c r="C349" s="476"/>
      <c r="D349" s="497"/>
      <c r="E349" s="476"/>
      <c r="F349" s="498"/>
      <c r="G349" s="498"/>
      <c r="H349" s="498"/>
      <c r="I349" s="498"/>
      <c r="J349" s="490"/>
      <c r="K349" s="476"/>
      <c r="L349" s="476"/>
      <c r="M349" s="476"/>
      <c r="N349" s="476"/>
      <c r="O349" s="476"/>
      <c r="P349" s="476"/>
      <c r="Q349" s="476"/>
      <c r="R349" s="476"/>
      <c r="S349" s="476"/>
      <c r="T349" s="476"/>
      <c r="U349" s="476"/>
      <c r="V349" s="476"/>
      <c r="W349" s="476"/>
      <c r="X349" s="476"/>
      <c r="Y349" s="476"/>
      <c r="Z349" s="476"/>
      <c r="AA349" s="476"/>
      <c r="AB349" s="476"/>
      <c r="AC349" s="476"/>
      <c r="AD349" s="476"/>
      <c r="AE349" s="476"/>
      <c r="AF349" s="476"/>
      <c r="AG349" s="476"/>
      <c r="AH349" s="476"/>
      <c r="AI349" s="476"/>
      <c r="AJ349" s="476"/>
      <c r="AK349" s="476"/>
      <c r="AL349" s="476"/>
      <c r="AM349" s="476"/>
      <c r="AN349" s="476"/>
      <c r="AO349" s="476"/>
      <c r="AP349" s="476"/>
      <c r="AQ349" s="476"/>
      <c r="AR349" s="476"/>
      <c r="AS349" s="476"/>
      <c r="AT349" s="476"/>
      <c r="AU349" s="476"/>
    </row>
    <row r="350" spans="1:47" s="398" customFormat="1" ht="13.15" customHeight="1" x14ac:dyDescent="0.2">
      <c r="A350" s="476"/>
      <c r="B350" s="476"/>
      <c r="C350" s="476"/>
      <c r="D350" s="497"/>
      <c r="E350" s="476"/>
      <c r="F350" s="498"/>
      <c r="G350" s="498"/>
      <c r="H350" s="498"/>
      <c r="I350" s="498"/>
      <c r="J350" s="490"/>
      <c r="K350" s="476"/>
      <c r="L350" s="476"/>
      <c r="M350" s="476"/>
      <c r="N350" s="476"/>
      <c r="O350" s="476"/>
      <c r="P350" s="476"/>
      <c r="Q350" s="476"/>
      <c r="R350" s="476"/>
      <c r="S350" s="476"/>
      <c r="T350" s="476"/>
      <c r="U350" s="476"/>
      <c r="V350" s="476"/>
      <c r="W350" s="476"/>
      <c r="X350" s="476"/>
      <c r="Y350" s="476"/>
      <c r="Z350" s="476"/>
      <c r="AA350" s="476"/>
      <c r="AB350" s="476"/>
      <c r="AC350" s="476"/>
      <c r="AD350" s="476"/>
      <c r="AE350" s="476"/>
      <c r="AF350" s="476"/>
      <c r="AG350" s="476"/>
      <c r="AH350" s="476"/>
      <c r="AI350" s="476"/>
      <c r="AJ350" s="476"/>
      <c r="AK350" s="476"/>
      <c r="AL350" s="476"/>
      <c r="AM350" s="476"/>
      <c r="AN350" s="476"/>
      <c r="AO350" s="476"/>
      <c r="AP350" s="476"/>
      <c r="AQ350" s="476"/>
      <c r="AR350" s="476"/>
      <c r="AS350" s="476"/>
      <c r="AT350" s="476"/>
      <c r="AU350" s="476"/>
    </row>
    <row r="351" spans="1:47" s="398" customFormat="1" ht="13.15" customHeight="1" x14ac:dyDescent="0.2">
      <c r="A351" s="476"/>
      <c r="B351" s="476"/>
      <c r="C351" s="476"/>
      <c r="D351" s="497"/>
      <c r="E351" s="476"/>
      <c r="F351" s="498"/>
      <c r="G351" s="498"/>
      <c r="H351" s="498"/>
      <c r="I351" s="498"/>
      <c r="J351" s="490"/>
      <c r="K351" s="476"/>
      <c r="L351" s="476"/>
      <c r="M351" s="476"/>
      <c r="N351" s="476"/>
      <c r="O351" s="476"/>
      <c r="P351" s="476"/>
      <c r="Q351" s="476"/>
      <c r="R351" s="476"/>
      <c r="S351" s="476"/>
      <c r="T351" s="476"/>
      <c r="U351" s="476"/>
      <c r="V351" s="476"/>
      <c r="W351" s="476"/>
      <c r="X351" s="476"/>
      <c r="Y351" s="476"/>
      <c r="Z351" s="476"/>
      <c r="AA351" s="476"/>
      <c r="AB351" s="476"/>
      <c r="AC351" s="476"/>
      <c r="AD351" s="476"/>
      <c r="AE351" s="476"/>
      <c r="AF351" s="476"/>
      <c r="AG351" s="476"/>
      <c r="AH351" s="476"/>
      <c r="AI351" s="476"/>
      <c r="AJ351" s="476"/>
      <c r="AK351" s="476"/>
      <c r="AL351" s="476"/>
      <c r="AM351" s="476"/>
      <c r="AN351" s="476"/>
      <c r="AO351" s="476"/>
      <c r="AP351" s="476"/>
      <c r="AQ351" s="476"/>
      <c r="AR351" s="476"/>
      <c r="AS351" s="476"/>
      <c r="AT351" s="476"/>
      <c r="AU351" s="476"/>
    </row>
    <row r="352" spans="1:47" s="398" customFormat="1" ht="13.15" customHeight="1" x14ac:dyDescent="0.2">
      <c r="A352" s="476"/>
      <c r="B352" s="476"/>
      <c r="C352" s="476"/>
      <c r="D352" s="497"/>
      <c r="E352" s="476"/>
      <c r="F352" s="498"/>
      <c r="G352" s="498"/>
      <c r="H352" s="498"/>
      <c r="I352" s="498"/>
      <c r="J352" s="490"/>
      <c r="K352" s="476"/>
      <c r="L352" s="476"/>
      <c r="M352" s="476"/>
      <c r="N352" s="476"/>
      <c r="O352" s="476"/>
      <c r="P352" s="476"/>
      <c r="Q352" s="476"/>
      <c r="R352" s="476"/>
      <c r="S352" s="476"/>
      <c r="T352" s="476"/>
      <c r="U352" s="476"/>
      <c r="V352" s="476"/>
      <c r="W352" s="476"/>
      <c r="X352" s="476"/>
      <c r="Y352" s="476"/>
      <c r="Z352" s="476"/>
      <c r="AA352" s="476"/>
      <c r="AB352" s="476"/>
      <c r="AC352" s="476"/>
      <c r="AD352" s="476"/>
      <c r="AE352" s="476"/>
      <c r="AF352" s="476"/>
      <c r="AG352" s="476"/>
      <c r="AH352" s="476"/>
      <c r="AI352" s="476"/>
      <c r="AJ352" s="476"/>
      <c r="AK352" s="476"/>
      <c r="AL352" s="476"/>
      <c r="AM352" s="476"/>
      <c r="AN352" s="476"/>
      <c r="AO352" s="476"/>
      <c r="AP352" s="476"/>
      <c r="AQ352" s="476"/>
      <c r="AR352" s="476"/>
      <c r="AS352" s="476"/>
      <c r="AT352" s="476"/>
      <c r="AU352" s="476"/>
    </row>
    <row r="353" spans="1:47" s="398" customFormat="1" ht="13.15" customHeight="1" x14ac:dyDescent="0.2">
      <c r="A353" s="476"/>
      <c r="B353" s="476"/>
      <c r="C353" s="476"/>
      <c r="D353" s="497"/>
      <c r="E353" s="476"/>
      <c r="F353" s="498"/>
      <c r="G353" s="498"/>
      <c r="H353" s="498"/>
      <c r="I353" s="498"/>
      <c r="J353" s="490"/>
      <c r="K353" s="476"/>
      <c r="L353" s="476"/>
      <c r="M353" s="476"/>
      <c r="N353" s="476"/>
      <c r="O353" s="476"/>
      <c r="P353" s="476"/>
      <c r="Q353" s="476"/>
      <c r="R353" s="476"/>
      <c r="S353" s="476"/>
      <c r="T353" s="476"/>
      <c r="U353" s="476"/>
      <c r="V353" s="476"/>
      <c r="W353" s="476"/>
      <c r="X353" s="476"/>
      <c r="Y353" s="476"/>
      <c r="Z353" s="476"/>
      <c r="AA353" s="476"/>
      <c r="AB353" s="476"/>
      <c r="AC353" s="476"/>
      <c r="AD353" s="476"/>
      <c r="AE353" s="476"/>
      <c r="AF353" s="476"/>
      <c r="AG353" s="476"/>
      <c r="AH353" s="476"/>
      <c r="AI353" s="476"/>
      <c r="AJ353" s="476"/>
      <c r="AK353" s="476"/>
      <c r="AL353" s="476"/>
      <c r="AM353" s="476"/>
      <c r="AN353" s="476"/>
      <c r="AO353" s="476"/>
      <c r="AP353" s="476"/>
      <c r="AQ353" s="476"/>
      <c r="AR353" s="476"/>
      <c r="AS353" s="476"/>
      <c r="AT353" s="476"/>
      <c r="AU353" s="476"/>
    </row>
    <row r="354" spans="1:47" s="398" customFormat="1" ht="13.15" customHeight="1" x14ac:dyDescent="0.2">
      <c r="A354" s="476"/>
      <c r="B354" s="476"/>
      <c r="C354" s="476"/>
      <c r="D354" s="497"/>
      <c r="E354" s="476"/>
      <c r="F354" s="498"/>
      <c r="G354" s="498"/>
      <c r="H354" s="498"/>
      <c r="I354" s="498"/>
      <c r="J354" s="490"/>
      <c r="K354" s="476"/>
      <c r="L354" s="476"/>
      <c r="M354" s="476"/>
      <c r="N354" s="476"/>
      <c r="O354" s="476"/>
      <c r="P354" s="476"/>
      <c r="Q354" s="476"/>
      <c r="R354" s="476"/>
      <c r="S354" s="476"/>
      <c r="T354" s="476"/>
      <c r="U354" s="476"/>
      <c r="V354" s="476"/>
      <c r="W354" s="476"/>
      <c r="X354" s="476"/>
      <c r="Y354" s="476"/>
      <c r="Z354" s="476"/>
      <c r="AA354" s="476"/>
      <c r="AB354" s="476"/>
      <c r="AC354" s="476"/>
      <c r="AD354" s="476"/>
      <c r="AE354" s="476"/>
      <c r="AF354" s="476"/>
      <c r="AG354" s="476"/>
      <c r="AH354" s="476"/>
      <c r="AI354" s="476"/>
      <c r="AJ354" s="476"/>
      <c r="AK354" s="476"/>
      <c r="AL354" s="476"/>
      <c r="AM354" s="476"/>
      <c r="AN354" s="476"/>
      <c r="AO354" s="476"/>
      <c r="AP354" s="476"/>
      <c r="AQ354" s="476"/>
      <c r="AR354" s="476"/>
      <c r="AS354" s="476"/>
      <c r="AT354" s="476"/>
      <c r="AU354" s="476"/>
    </row>
    <row r="355" spans="1:47" s="398" customFormat="1" ht="13.15" customHeight="1" x14ac:dyDescent="0.2">
      <c r="A355" s="476"/>
      <c r="B355" s="476"/>
      <c r="C355" s="476"/>
      <c r="D355" s="497"/>
      <c r="E355" s="476"/>
      <c r="F355" s="498"/>
      <c r="G355" s="498"/>
      <c r="H355" s="498"/>
      <c r="I355" s="498"/>
      <c r="J355" s="490"/>
      <c r="K355" s="476"/>
      <c r="L355" s="476"/>
      <c r="M355" s="476"/>
      <c r="N355" s="476"/>
      <c r="O355" s="476"/>
      <c r="P355" s="476"/>
      <c r="Q355" s="476"/>
      <c r="R355" s="476"/>
      <c r="S355" s="476"/>
      <c r="T355" s="476"/>
      <c r="U355" s="476"/>
      <c r="V355" s="476"/>
      <c r="W355" s="476"/>
      <c r="X355" s="476"/>
      <c r="Y355" s="476"/>
      <c r="Z355" s="476"/>
      <c r="AA355" s="476"/>
      <c r="AB355" s="476"/>
      <c r="AC355" s="476"/>
      <c r="AD355" s="476"/>
      <c r="AE355" s="476"/>
      <c r="AF355" s="476"/>
      <c r="AG355" s="476"/>
      <c r="AH355" s="476"/>
      <c r="AI355" s="476"/>
      <c r="AJ355" s="476"/>
      <c r="AK355" s="476"/>
      <c r="AL355" s="476"/>
      <c r="AM355" s="476"/>
      <c r="AN355" s="476"/>
      <c r="AO355" s="476"/>
      <c r="AP355" s="476"/>
      <c r="AQ355" s="476"/>
      <c r="AR355" s="476"/>
      <c r="AS355" s="476"/>
      <c r="AT355" s="476"/>
      <c r="AU355" s="476"/>
    </row>
    <row r="356" spans="1:47" s="398" customFormat="1" ht="13.15" customHeight="1" x14ac:dyDescent="0.2">
      <c r="A356" s="476"/>
      <c r="B356" s="476"/>
      <c r="C356" s="476"/>
      <c r="D356" s="497"/>
      <c r="E356" s="476"/>
      <c r="F356" s="498"/>
      <c r="G356" s="498"/>
      <c r="H356" s="498"/>
      <c r="I356" s="498"/>
      <c r="J356" s="490"/>
      <c r="K356" s="476"/>
      <c r="L356" s="476"/>
      <c r="M356" s="476"/>
      <c r="N356" s="476"/>
      <c r="O356" s="476"/>
      <c r="P356" s="476"/>
      <c r="Q356" s="476"/>
      <c r="R356" s="476"/>
      <c r="S356" s="476"/>
      <c r="T356" s="476"/>
      <c r="U356" s="476"/>
      <c r="V356" s="476"/>
      <c r="W356" s="476"/>
      <c r="X356" s="476"/>
      <c r="Y356" s="476"/>
      <c r="Z356" s="476"/>
      <c r="AA356" s="476"/>
      <c r="AB356" s="476"/>
      <c r="AC356" s="476"/>
      <c r="AD356" s="476"/>
      <c r="AE356" s="476"/>
      <c r="AF356" s="476"/>
      <c r="AG356" s="476"/>
      <c r="AH356" s="476"/>
      <c r="AI356" s="476"/>
      <c r="AJ356" s="476"/>
      <c r="AK356" s="476"/>
      <c r="AL356" s="476"/>
      <c r="AM356" s="476"/>
      <c r="AN356" s="476"/>
      <c r="AO356" s="476"/>
      <c r="AP356" s="476"/>
      <c r="AQ356" s="476"/>
      <c r="AR356" s="476"/>
      <c r="AS356" s="476"/>
      <c r="AT356" s="476"/>
      <c r="AU356" s="476"/>
    </row>
    <row r="357" spans="1:47" s="398" customFormat="1" ht="13.15" customHeight="1" x14ac:dyDescent="0.2">
      <c r="A357" s="476"/>
      <c r="B357" s="476"/>
      <c r="C357" s="476"/>
      <c r="D357" s="497"/>
      <c r="E357" s="476"/>
      <c r="F357" s="498"/>
      <c r="G357" s="498"/>
      <c r="H357" s="498"/>
      <c r="I357" s="498"/>
      <c r="J357" s="490"/>
      <c r="K357" s="476"/>
      <c r="L357" s="476"/>
      <c r="M357" s="476"/>
      <c r="N357" s="476"/>
      <c r="O357" s="476"/>
      <c r="P357" s="476"/>
      <c r="Q357" s="476"/>
      <c r="R357" s="476"/>
      <c r="S357" s="476"/>
      <c r="T357" s="476"/>
      <c r="U357" s="476"/>
      <c r="V357" s="476"/>
      <c r="W357" s="476"/>
      <c r="X357" s="476"/>
      <c r="Y357" s="476"/>
      <c r="Z357" s="476"/>
      <c r="AA357" s="476"/>
      <c r="AB357" s="476"/>
      <c r="AC357" s="476"/>
      <c r="AD357" s="476"/>
      <c r="AE357" s="476"/>
      <c r="AF357" s="476"/>
      <c r="AG357" s="476"/>
      <c r="AH357" s="476"/>
      <c r="AI357" s="476"/>
      <c r="AJ357" s="476"/>
      <c r="AK357" s="476"/>
      <c r="AL357" s="476"/>
      <c r="AM357" s="476"/>
      <c r="AN357" s="476"/>
      <c r="AO357" s="476"/>
      <c r="AP357" s="476"/>
      <c r="AQ357" s="476"/>
      <c r="AR357" s="476"/>
      <c r="AS357" s="476"/>
      <c r="AT357" s="476"/>
      <c r="AU357" s="476"/>
    </row>
    <row r="358" spans="1:47" s="398" customFormat="1" ht="13.15" customHeight="1" x14ac:dyDescent="0.2">
      <c r="A358" s="476"/>
      <c r="B358" s="476"/>
      <c r="C358" s="476"/>
      <c r="D358" s="497"/>
      <c r="E358" s="476"/>
      <c r="F358" s="498"/>
      <c r="G358" s="498"/>
      <c r="H358" s="498"/>
      <c r="I358" s="498"/>
      <c r="J358" s="490"/>
      <c r="K358" s="476"/>
      <c r="L358" s="476"/>
      <c r="M358" s="476"/>
      <c r="N358" s="476"/>
      <c r="O358" s="476"/>
      <c r="P358" s="476"/>
      <c r="Q358" s="476"/>
      <c r="R358" s="476"/>
      <c r="S358" s="476"/>
      <c r="T358" s="476"/>
      <c r="U358" s="476"/>
      <c r="V358" s="476"/>
      <c r="W358" s="476"/>
      <c r="X358" s="476"/>
      <c r="Y358" s="476"/>
      <c r="Z358" s="476"/>
      <c r="AA358" s="476"/>
      <c r="AB358" s="476"/>
      <c r="AC358" s="476"/>
      <c r="AD358" s="476"/>
      <c r="AE358" s="476"/>
      <c r="AF358" s="476"/>
      <c r="AG358" s="476"/>
      <c r="AH358" s="476"/>
      <c r="AI358" s="476"/>
      <c r="AJ358" s="476"/>
      <c r="AK358" s="476"/>
      <c r="AL358" s="476"/>
      <c r="AM358" s="476"/>
      <c r="AN358" s="476"/>
      <c r="AO358" s="476"/>
      <c r="AP358" s="476"/>
      <c r="AQ358" s="476"/>
      <c r="AR358" s="476"/>
      <c r="AS358" s="476"/>
      <c r="AT358" s="476"/>
      <c r="AU358" s="476"/>
    </row>
    <row r="359" spans="1:47" s="398" customFormat="1" ht="13.15" customHeight="1" x14ac:dyDescent="0.2">
      <c r="A359" s="476"/>
      <c r="B359" s="476"/>
      <c r="C359" s="476"/>
      <c r="D359" s="497"/>
      <c r="E359" s="476"/>
      <c r="F359" s="498"/>
      <c r="G359" s="498"/>
      <c r="H359" s="498"/>
      <c r="I359" s="498"/>
      <c r="J359" s="490"/>
      <c r="K359" s="476"/>
      <c r="L359" s="476"/>
      <c r="M359" s="476"/>
      <c r="N359" s="476"/>
      <c r="O359" s="476"/>
      <c r="P359" s="476"/>
      <c r="Q359" s="476"/>
      <c r="R359" s="476"/>
      <c r="S359" s="476"/>
      <c r="T359" s="476"/>
      <c r="U359" s="476"/>
      <c r="V359" s="476"/>
      <c r="W359" s="476"/>
      <c r="X359" s="476"/>
      <c r="Y359" s="476"/>
      <c r="Z359" s="476"/>
      <c r="AA359" s="476"/>
      <c r="AB359" s="476"/>
      <c r="AC359" s="476"/>
      <c r="AD359" s="476"/>
      <c r="AE359" s="476"/>
      <c r="AF359" s="476"/>
      <c r="AG359" s="476"/>
      <c r="AH359" s="476"/>
      <c r="AI359" s="476"/>
      <c r="AJ359" s="476"/>
      <c r="AK359" s="476"/>
      <c r="AL359" s="476"/>
      <c r="AM359" s="476"/>
      <c r="AN359" s="476"/>
      <c r="AO359" s="476"/>
      <c r="AP359" s="476"/>
      <c r="AQ359" s="476"/>
      <c r="AR359" s="476"/>
      <c r="AS359" s="476"/>
      <c r="AT359" s="476"/>
      <c r="AU359" s="476"/>
    </row>
    <row r="360" spans="1:47" s="398" customFormat="1" ht="13.15" customHeight="1" x14ac:dyDescent="0.2">
      <c r="A360" s="476"/>
      <c r="B360" s="476"/>
      <c r="C360" s="476"/>
      <c r="D360" s="497"/>
      <c r="E360" s="476"/>
      <c r="F360" s="498"/>
      <c r="G360" s="498"/>
      <c r="H360" s="498"/>
      <c r="I360" s="498"/>
      <c r="J360" s="490"/>
      <c r="K360" s="476"/>
      <c r="L360" s="476"/>
      <c r="M360" s="476"/>
      <c r="N360" s="476"/>
      <c r="O360" s="476"/>
      <c r="P360" s="476"/>
      <c r="Q360" s="476"/>
      <c r="R360" s="476"/>
      <c r="S360" s="476"/>
      <c r="T360" s="476"/>
      <c r="U360" s="476"/>
      <c r="V360" s="476"/>
      <c r="W360" s="476"/>
      <c r="X360" s="476"/>
      <c r="Y360" s="476"/>
      <c r="Z360" s="476"/>
      <c r="AA360" s="476"/>
      <c r="AB360" s="476"/>
      <c r="AC360" s="476"/>
      <c r="AD360" s="476"/>
      <c r="AE360" s="476"/>
      <c r="AF360" s="476"/>
      <c r="AG360" s="476"/>
      <c r="AH360" s="476"/>
      <c r="AI360" s="476"/>
      <c r="AJ360" s="476"/>
      <c r="AK360" s="476"/>
      <c r="AL360" s="476"/>
      <c r="AM360" s="476"/>
      <c r="AN360" s="476"/>
      <c r="AO360" s="476"/>
      <c r="AP360" s="476"/>
      <c r="AQ360" s="476"/>
      <c r="AR360" s="476"/>
      <c r="AS360" s="476"/>
      <c r="AT360" s="476"/>
      <c r="AU360" s="476"/>
    </row>
    <row r="361" spans="1:47" s="398" customFormat="1" ht="13.15" customHeight="1" x14ac:dyDescent="0.2">
      <c r="A361" s="476"/>
      <c r="B361" s="476"/>
      <c r="C361" s="476"/>
      <c r="D361" s="497"/>
      <c r="E361" s="476"/>
      <c r="F361" s="498"/>
      <c r="G361" s="498"/>
      <c r="H361" s="498"/>
      <c r="I361" s="498"/>
      <c r="J361" s="490"/>
      <c r="K361" s="476"/>
      <c r="L361" s="476"/>
      <c r="M361" s="476"/>
      <c r="N361" s="476"/>
      <c r="O361" s="476"/>
      <c r="P361" s="476"/>
      <c r="Q361" s="476"/>
      <c r="R361" s="476"/>
      <c r="S361" s="476"/>
      <c r="T361" s="476"/>
      <c r="U361" s="476"/>
      <c r="V361" s="476"/>
      <c r="W361" s="476"/>
      <c r="X361" s="476"/>
      <c r="Y361" s="476"/>
      <c r="Z361" s="476"/>
      <c r="AA361" s="476"/>
      <c r="AB361" s="476"/>
      <c r="AC361" s="476"/>
      <c r="AD361" s="476"/>
      <c r="AE361" s="476"/>
      <c r="AF361" s="476"/>
      <c r="AG361" s="476"/>
      <c r="AH361" s="476"/>
      <c r="AI361" s="476"/>
      <c r="AJ361" s="476"/>
      <c r="AK361" s="476"/>
      <c r="AL361" s="476"/>
      <c r="AM361" s="476"/>
      <c r="AN361" s="476"/>
      <c r="AO361" s="476"/>
      <c r="AP361" s="476"/>
      <c r="AQ361" s="476"/>
      <c r="AR361" s="476"/>
      <c r="AS361" s="476"/>
      <c r="AT361" s="476"/>
      <c r="AU361" s="476"/>
    </row>
    <row r="362" spans="1:47" s="398" customFormat="1" ht="13.15" customHeight="1" x14ac:dyDescent="0.2">
      <c r="A362" s="476"/>
      <c r="B362" s="476"/>
      <c r="C362" s="476"/>
      <c r="D362" s="497"/>
      <c r="E362" s="476"/>
      <c r="F362" s="498"/>
      <c r="G362" s="498"/>
      <c r="H362" s="498"/>
      <c r="I362" s="498"/>
      <c r="J362" s="490"/>
      <c r="K362" s="476"/>
      <c r="L362" s="476"/>
      <c r="M362" s="476"/>
      <c r="N362" s="476"/>
      <c r="O362" s="476"/>
      <c r="P362" s="476"/>
      <c r="Q362" s="476"/>
      <c r="R362" s="476"/>
      <c r="S362" s="476"/>
      <c r="T362" s="476"/>
      <c r="U362" s="476"/>
      <c r="V362" s="476"/>
      <c r="W362" s="476"/>
      <c r="X362" s="476"/>
      <c r="Y362" s="476"/>
      <c r="Z362" s="476"/>
      <c r="AA362" s="476"/>
      <c r="AB362" s="476"/>
      <c r="AC362" s="476"/>
      <c r="AD362" s="476"/>
      <c r="AE362" s="476"/>
      <c r="AF362" s="476"/>
      <c r="AG362" s="476"/>
      <c r="AH362" s="476"/>
      <c r="AI362" s="476"/>
      <c r="AJ362" s="476"/>
      <c r="AK362" s="476"/>
      <c r="AL362" s="476"/>
      <c r="AM362" s="476"/>
      <c r="AN362" s="476"/>
      <c r="AO362" s="476"/>
      <c r="AP362" s="476"/>
      <c r="AQ362" s="476"/>
      <c r="AR362" s="476"/>
      <c r="AS362" s="476"/>
      <c r="AT362" s="476"/>
      <c r="AU362" s="476"/>
    </row>
    <row r="363" spans="1:47" s="398" customFormat="1" ht="13.15" customHeight="1" x14ac:dyDescent="0.2">
      <c r="A363" s="476"/>
      <c r="D363" s="467"/>
      <c r="F363" s="468"/>
      <c r="G363" s="468"/>
      <c r="H363" s="468"/>
      <c r="I363" s="468"/>
      <c r="J363" s="469"/>
      <c r="L363" s="476"/>
      <c r="M363" s="476"/>
      <c r="N363" s="476"/>
      <c r="O363" s="476"/>
      <c r="P363" s="476"/>
      <c r="Q363" s="476"/>
      <c r="R363" s="476"/>
      <c r="S363" s="476"/>
      <c r="T363" s="476"/>
      <c r="U363" s="476"/>
      <c r="V363" s="476"/>
      <c r="W363" s="476"/>
      <c r="X363" s="476"/>
      <c r="Y363" s="476"/>
      <c r="Z363" s="476"/>
      <c r="AA363" s="476"/>
      <c r="AB363" s="476"/>
      <c r="AC363" s="476"/>
      <c r="AD363" s="476"/>
      <c r="AE363" s="476"/>
      <c r="AF363" s="476"/>
      <c r="AG363" s="476"/>
      <c r="AH363" s="476"/>
      <c r="AI363" s="476"/>
      <c r="AJ363" s="476"/>
      <c r="AK363" s="476"/>
      <c r="AL363" s="476"/>
      <c r="AM363" s="476"/>
      <c r="AN363" s="476"/>
      <c r="AO363" s="476"/>
      <c r="AP363" s="476"/>
      <c r="AQ363" s="476"/>
      <c r="AR363" s="476"/>
      <c r="AS363" s="476"/>
      <c r="AT363" s="476"/>
      <c r="AU363" s="476"/>
    </row>
    <row r="364" spans="1:47" s="398" customFormat="1" ht="13.15" customHeight="1" x14ac:dyDescent="0.2">
      <c r="A364" s="476"/>
      <c r="D364" s="467"/>
      <c r="F364" s="468"/>
      <c r="G364" s="468"/>
      <c r="H364" s="468"/>
      <c r="I364" s="468"/>
      <c r="J364" s="469"/>
      <c r="L364" s="476"/>
      <c r="M364" s="476"/>
      <c r="N364" s="476"/>
      <c r="O364" s="476"/>
      <c r="P364" s="476"/>
      <c r="Q364" s="476"/>
      <c r="R364" s="476"/>
      <c r="S364" s="476"/>
      <c r="T364" s="476"/>
      <c r="U364" s="476"/>
      <c r="V364" s="476"/>
      <c r="W364" s="476"/>
      <c r="X364" s="476"/>
      <c r="Y364" s="476"/>
      <c r="Z364" s="476"/>
      <c r="AA364" s="476"/>
      <c r="AB364" s="476"/>
      <c r="AC364" s="476"/>
      <c r="AD364" s="476"/>
      <c r="AE364" s="476"/>
      <c r="AF364" s="476"/>
      <c r="AG364" s="476"/>
      <c r="AH364" s="476"/>
      <c r="AI364" s="476"/>
      <c r="AJ364" s="476"/>
      <c r="AK364" s="476"/>
      <c r="AL364" s="476"/>
      <c r="AM364" s="476"/>
      <c r="AN364" s="476"/>
      <c r="AO364" s="476"/>
      <c r="AP364" s="476"/>
      <c r="AQ364" s="476"/>
      <c r="AR364" s="476"/>
      <c r="AS364" s="476"/>
      <c r="AT364" s="476"/>
      <c r="AU364" s="476"/>
    </row>
    <row r="365" spans="1:47" s="398" customFormat="1" ht="13.15" customHeight="1" x14ac:dyDescent="0.2">
      <c r="A365" s="476"/>
      <c r="D365" s="467"/>
      <c r="F365" s="468"/>
      <c r="G365" s="468"/>
      <c r="H365" s="468"/>
      <c r="I365" s="468"/>
      <c r="J365" s="469"/>
      <c r="L365" s="476"/>
      <c r="M365" s="476"/>
      <c r="N365" s="476"/>
      <c r="O365" s="476"/>
      <c r="P365" s="476"/>
      <c r="Q365" s="476"/>
      <c r="R365" s="476"/>
      <c r="S365" s="476"/>
      <c r="T365" s="476"/>
      <c r="U365" s="476"/>
      <c r="V365" s="476"/>
      <c r="W365" s="476"/>
      <c r="X365" s="476"/>
      <c r="Y365" s="476"/>
      <c r="Z365" s="476"/>
      <c r="AA365" s="476"/>
      <c r="AB365" s="476"/>
      <c r="AC365" s="476"/>
      <c r="AD365" s="476"/>
      <c r="AE365" s="476"/>
      <c r="AF365" s="476"/>
      <c r="AG365" s="476"/>
      <c r="AH365" s="476"/>
      <c r="AI365" s="476"/>
      <c r="AJ365" s="476"/>
      <c r="AK365" s="476"/>
      <c r="AL365" s="476"/>
      <c r="AM365" s="476"/>
      <c r="AN365" s="476"/>
      <c r="AO365" s="476"/>
      <c r="AP365" s="476"/>
      <c r="AQ365" s="476"/>
      <c r="AR365" s="476"/>
      <c r="AS365" s="476"/>
      <c r="AT365" s="476"/>
      <c r="AU365" s="476"/>
    </row>
    <row r="366" spans="1:47" s="398" customFormat="1" ht="13.15" customHeight="1" x14ac:dyDescent="0.2">
      <c r="A366" s="476"/>
      <c r="D366" s="467"/>
      <c r="F366" s="468"/>
      <c r="G366" s="468"/>
      <c r="H366" s="468"/>
      <c r="I366" s="468"/>
      <c r="J366" s="469"/>
      <c r="L366" s="476"/>
      <c r="M366" s="476"/>
      <c r="N366" s="476"/>
      <c r="O366" s="476"/>
      <c r="P366" s="476"/>
      <c r="Q366" s="476"/>
      <c r="R366" s="476"/>
      <c r="S366" s="476"/>
      <c r="T366" s="476"/>
      <c r="U366" s="476"/>
      <c r="V366" s="476"/>
      <c r="W366" s="476"/>
      <c r="X366" s="476"/>
      <c r="Y366" s="476"/>
      <c r="Z366" s="476"/>
      <c r="AA366" s="476"/>
      <c r="AB366" s="476"/>
      <c r="AC366" s="476"/>
      <c r="AD366" s="476"/>
      <c r="AE366" s="476"/>
      <c r="AF366" s="476"/>
      <c r="AG366" s="476"/>
      <c r="AH366" s="476"/>
      <c r="AI366" s="476"/>
      <c r="AJ366" s="476"/>
      <c r="AK366" s="476"/>
      <c r="AL366" s="476"/>
      <c r="AM366" s="476"/>
      <c r="AN366" s="476"/>
      <c r="AO366" s="476"/>
      <c r="AP366" s="476"/>
      <c r="AQ366" s="476"/>
      <c r="AR366" s="476"/>
      <c r="AS366" s="476"/>
      <c r="AT366" s="476"/>
      <c r="AU366" s="476"/>
    </row>
    <row r="367" spans="1:47" s="398" customFormat="1" ht="13.15" customHeight="1" x14ac:dyDescent="0.2">
      <c r="A367" s="476"/>
      <c r="D367" s="467"/>
      <c r="F367" s="468"/>
      <c r="G367" s="468"/>
      <c r="H367" s="468"/>
      <c r="I367" s="468"/>
      <c r="J367" s="469"/>
      <c r="L367" s="476"/>
      <c r="M367" s="476"/>
      <c r="N367" s="476"/>
      <c r="O367" s="476"/>
      <c r="P367" s="476"/>
      <c r="Q367" s="476"/>
      <c r="R367" s="476"/>
      <c r="S367" s="476"/>
      <c r="T367" s="476"/>
      <c r="U367" s="476"/>
      <c r="V367" s="476"/>
      <c r="W367" s="476"/>
      <c r="X367" s="476"/>
      <c r="Y367" s="476"/>
      <c r="Z367" s="476"/>
      <c r="AA367" s="476"/>
      <c r="AB367" s="476"/>
      <c r="AC367" s="476"/>
      <c r="AD367" s="476"/>
      <c r="AE367" s="476"/>
      <c r="AF367" s="476"/>
      <c r="AG367" s="476"/>
      <c r="AH367" s="476"/>
      <c r="AI367" s="476"/>
      <c r="AJ367" s="476"/>
      <c r="AK367" s="476"/>
      <c r="AL367" s="476"/>
      <c r="AM367" s="476"/>
      <c r="AN367" s="476"/>
      <c r="AO367" s="476"/>
      <c r="AP367" s="476"/>
      <c r="AQ367" s="476"/>
      <c r="AR367" s="476"/>
      <c r="AS367" s="476"/>
      <c r="AT367" s="476"/>
      <c r="AU367" s="476"/>
    </row>
    <row r="368" spans="1:47" s="398" customFormat="1" ht="13.15" customHeight="1" x14ac:dyDescent="0.2">
      <c r="A368" s="476"/>
      <c r="D368" s="467"/>
      <c r="F368" s="468"/>
      <c r="G368" s="468"/>
      <c r="H368" s="468"/>
      <c r="I368" s="468"/>
      <c r="J368" s="469"/>
      <c r="L368" s="476"/>
      <c r="M368" s="476"/>
      <c r="N368" s="476"/>
      <c r="O368" s="476"/>
      <c r="P368" s="476"/>
      <c r="Q368" s="476"/>
      <c r="R368" s="476"/>
      <c r="S368" s="476"/>
      <c r="T368" s="476"/>
      <c r="U368" s="476"/>
      <c r="V368" s="476"/>
      <c r="W368" s="476"/>
      <c r="X368" s="476"/>
      <c r="Y368" s="476"/>
      <c r="Z368" s="476"/>
      <c r="AA368" s="476"/>
      <c r="AB368" s="476"/>
      <c r="AC368" s="476"/>
      <c r="AD368" s="476"/>
      <c r="AE368" s="476"/>
      <c r="AF368" s="476"/>
      <c r="AG368" s="476"/>
      <c r="AH368" s="476"/>
      <c r="AI368" s="476"/>
      <c r="AJ368" s="476"/>
      <c r="AK368" s="476"/>
      <c r="AL368" s="476"/>
      <c r="AM368" s="476"/>
      <c r="AN368" s="476"/>
      <c r="AO368" s="476"/>
      <c r="AP368" s="476"/>
      <c r="AQ368" s="476"/>
      <c r="AR368" s="476"/>
      <c r="AS368" s="476"/>
      <c r="AT368" s="476"/>
      <c r="AU368" s="476"/>
    </row>
    <row r="369" spans="1:47" s="398" customFormat="1" ht="13.15" customHeight="1" x14ac:dyDescent="0.2">
      <c r="A369" s="476"/>
      <c r="D369" s="467"/>
      <c r="F369" s="468"/>
      <c r="G369" s="468"/>
      <c r="H369" s="468"/>
      <c r="I369" s="468"/>
      <c r="J369" s="469"/>
      <c r="L369" s="476"/>
      <c r="M369" s="476"/>
      <c r="N369" s="476"/>
      <c r="O369" s="476"/>
      <c r="P369" s="476"/>
      <c r="Q369" s="476"/>
      <c r="R369" s="476"/>
      <c r="S369" s="476"/>
      <c r="T369" s="476"/>
      <c r="U369" s="476"/>
      <c r="V369" s="476"/>
      <c r="W369" s="476"/>
      <c r="X369" s="476"/>
      <c r="Y369" s="476"/>
      <c r="Z369" s="476"/>
      <c r="AA369" s="476"/>
      <c r="AB369" s="476"/>
      <c r="AC369" s="476"/>
      <c r="AD369" s="476"/>
      <c r="AE369" s="476"/>
      <c r="AF369" s="476"/>
      <c r="AG369" s="476"/>
      <c r="AH369" s="476"/>
      <c r="AI369" s="476"/>
      <c r="AJ369" s="476"/>
      <c r="AK369" s="476"/>
      <c r="AL369" s="476"/>
      <c r="AM369" s="476"/>
      <c r="AN369" s="476"/>
      <c r="AO369" s="476"/>
      <c r="AP369" s="476"/>
      <c r="AQ369" s="476"/>
      <c r="AR369" s="476"/>
      <c r="AS369" s="476"/>
      <c r="AT369" s="476"/>
      <c r="AU369" s="476"/>
    </row>
    <row r="370" spans="1:47" s="398" customFormat="1" ht="13.15" customHeight="1" x14ac:dyDescent="0.2">
      <c r="A370" s="476"/>
      <c r="D370" s="467"/>
      <c r="F370" s="468"/>
      <c r="G370" s="468"/>
      <c r="H370" s="468"/>
      <c r="I370" s="468"/>
      <c r="J370" s="469"/>
      <c r="L370" s="476"/>
      <c r="M370" s="476"/>
      <c r="N370" s="476"/>
      <c r="O370" s="476"/>
      <c r="P370" s="476"/>
      <c r="Q370" s="476"/>
      <c r="R370" s="476"/>
      <c r="S370" s="476"/>
      <c r="T370" s="476"/>
      <c r="U370" s="476"/>
      <c r="V370" s="476"/>
      <c r="W370" s="476"/>
      <c r="X370" s="476"/>
      <c r="Y370" s="476"/>
      <c r="Z370" s="476"/>
      <c r="AA370" s="476"/>
      <c r="AB370" s="476"/>
      <c r="AC370" s="476"/>
      <c r="AD370" s="476"/>
      <c r="AE370" s="476"/>
      <c r="AF370" s="476"/>
      <c r="AG370" s="476"/>
      <c r="AH370" s="476"/>
      <c r="AI370" s="476"/>
      <c r="AJ370" s="476"/>
      <c r="AK370" s="476"/>
      <c r="AL370" s="476"/>
      <c r="AM370" s="476"/>
      <c r="AN370" s="476"/>
      <c r="AO370" s="476"/>
      <c r="AP370" s="476"/>
      <c r="AQ370" s="476"/>
      <c r="AR370" s="476"/>
      <c r="AS370" s="476"/>
      <c r="AT370" s="476"/>
      <c r="AU370" s="476"/>
    </row>
    <row r="371" spans="1:47" s="398" customFormat="1" ht="13.15" customHeight="1" x14ac:dyDescent="0.2">
      <c r="A371" s="476"/>
      <c r="D371" s="467"/>
      <c r="F371" s="468"/>
      <c r="G371" s="468"/>
      <c r="H371" s="468"/>
      <c r="I371" s="468"/>
      <c r="J371" s="469"/>
      <c r="L371" s="476"/>
      <c r="M371" s="476"/>
      <c r="N371" s="476"/>
      <c r="O371" s="476"/>
      <c r="P371" s="476"/>
      <c r="Q371" s="476"/>
      <c r="R371" s="476"/>
      <c r="S371" s="476"/>
      <c r="T371" s="476"/>
      <c r="U371" s="476"/>
      <c r="V371" s="476"/>
      <c r="W371" s="476"/>
      <c r="X371" s="476"/>
      <c r="Y371" s="476"/>
      <c r="Z371" s="476"/>
      <c r="AA371" s="476"/>
      <c r="AB371" s="476"/>
      <c r="AC371" s="476"/>
      <c r="AD371" s="476"/>
      <c r="AE371" s="476"/>
      <c r="AF371" s="476"/>
      <c r="AG371" s="476"/>
      <c r="AH371" s="476"/>
      <c r="AI371" s="476"/>
      <c r="AJ371" s="476"/>
      <c r="AK371" s="476"/>
      <c r="AL371" s="476"/>
      <c r="AM371" s="476"/>
      <c r="AN371" s="476"/>
      <c r="AO371" s="476"/>
      <c r="AP371" s="476"/>
      <c r="AQ371" s="476"/>
      <c r="AR371" s="476"/>
      <c r="AS371" s="476"/>
      <c r="AT371" s="476"/>
      <c r="AU371" s="476"/>
    </row>
    <row r="372" spans="1:47" s="398" customFormat="1" ht="13.15" customHeight="1" x14ac:dyDescent="0.2">
      <c r="A372" s="476"/>
      <c r="D372" s="467"/>
      <c r="F372" s="468"/>
      <c r="G372" s="468"/>
      <c r="H372" s="468"/>
      <c r="I372" s="468"/>
      <c r="J372" s="469"/>
      <c r="L372" s="476"/>
      <c r="M372" s="476"/>
      <c r="N372" s="476"/>
      <c r="O372" s="476"/>
      <c r="P372" s="476"/>
      <c r="Q372" s="476"/>
      <c r="R372" s="476"/>
      <c r="S372" s="476"/>
      <c r="T372" s="476"/>
      <c r="U372" s="476"/>
      <c r="V372" s="476"/>
      <c r="W372" s="476"/>
      <c r="X372" s="476"/>
      <c r="Y372" s="476"/>
      <c r="Z372" s="476"/>
      <c r="AA372" s="476"/>
      <c r="AB372" s="476"/>
      <c r="AC372" s="476"/>
      <c r="AD372" s="476"/>
      <c r="AE372" s="476"/>
      <c r="AF372" s="476"/>
      <c r="AG372" s="476"/>
      <c r="AH372" s="476"/>
      <c r="AI372" s="476"/>
      <c r="AJ372" s="476"/>
      <c r="AK372" s="476"/>
      <c r="AL372" s="476"/>
      <c r="AM372" s="476"/>
      <c r="AN372" s="476"/>
      <c r="AO372" s="476"/>
      <c r="AP372" s="476"/>
      <c r="AQ372" s="476"/>
      <c r="AR372" s="476"/>
      <c r="AS372" s="476"/>
      <c r="AT372" s="476"/>
      <c r="AU372" s="476"/>
    </row>
    <row r="373" spans="1:47" s="398" customFormat="1" ht="13.15" customHeight="1" x14ac:dyDescent="0.2">
      <c r="A373" s="476"/>
      <c r="D373" s="467"/>
      <c r="F373" s="468"/>
      <c r="G373" s="468"/>
      <c r="H373" s="468"/>
      <c r="I373" s="468"/>
      <c r="J373" s="469"/>
      <c r="L373" s="476"/>
      <c r="M373" s="476"/>
      <c r="N373" s="476"/>
      <c r="O373" s="476"/>
      <c r="P373" s="476"/>
      <c r="Q373" s="476"/>
      <c r="R373" s="476"/>
      <c r="S373" s="476"/>
      <c r="T373" s="476"/>
      <c r="U373" s="476"/>
      <c r="V373" s="476"/>
      <c r="W373" s="476"/>
      <c r="X373" s="476"/>
      <c r="Y373" s="476"/>
      <c r="Z373" s="476"/>
      <c r="AA373" s="476"/>
      <c r="AB373" s="476"/>
      <c r="AC373" s="476"/>
      <c r="AD373" s="476"/>
      <c r="AE373" s="476"/>
      <c r="AF373" s="476"/>
      <c r="AG373" s="476"/>
      <c r="AH373" s="476"/>
      <c r="AI373" s="476"/>
      <c r="AJ373" s="476"/>
      <c r="AK373" s="476"/>
      <c r="AL373" s="476"/>
      <c r="AM373" s="476"/>
      <c r="AN373" s="476"/>
      <c r="AO373" s="476"/>
      <c r="AP373" s="476"/>
      <c r="AQ373" s="476"/>
      <c r="AR373" s="476"/>
      <c r="AS373" s="476"/>
      <c r="AT373" s="476"/>
      <c r="AU373" s="476"/>
    </row>
    <row r="374" spans="1:47" s="398" customFormat="1" ht="13.15" customHeight="1" x14ac:dyDescent="0.2">
      <c r="A374" s="476"/>
      <c r="D374" s="467"/>
      <c r="F374" s="468"/>
      <c r="G374" s="468"/>
      <c r="H374" s="468"/>
      <c r="I374" s="468"/>
      <c r="J374" s="469"/>
      <c r="L374" s="476"/>
      <c r="M374" s="476"/>
      <c r="N374" s="476"/>
      <c r="O374" s="476"/>
      <c r="P374" s="476"/>
      <c r="Q374" s="476"/>
      <c r="R374" s="476"/>
      <c r="S374" s="476"/>
      <c r="T374" s="476"/>
      <c r="U374" s="476"/>
      <c r="V374" s="476"/>
      <c r="W374" s="476"/>
      <c r="X374" s="476"/>
      <c r="Y374" s="476"/>
      <c r="Z374" s="476"/>
      <c r="AA374" s="476"/>
      <c r="AB374" s="476"/>
      <c r="AC374" s="476"/>
      <c r="AD374" s="476"/>
      <c r="AE374" s="476"/>
      <c r="AF374" s="476"/>
      <c r="AG374" s="476"/>
      <c r="AH374" s="476"/>
      <c r="AI374" s="476"/>
      <c r="AJ374" s="476"/>
      <c r="AK374" s="476"/>
      <c r="AL374" s="476"/>
      <c r="AM374" s="476"/>
      <c r="AN374" s="476"/>
      <c r="AO374" s="476"/>
      <c r="AP374" s="476"/>
      <c r="AQ374" s="476"/>
      <c r="AR374" s="476"/>
      <c r="AS374" s="476"/>
      <c r="AT374" s="476"/>
      <c r="AU374" s="476"/>
    </row>
    <row r="375" spans="1:47" s="398" customFormat="1" ht="13.15" customHeight="1" x14ac:dyDescent="0.2">
      <c r="A375" s="476"/>
      <c r="D375" s="467"/>
      <c r="F375" s="468"/>
      <c r="G375" s="468"/>
      <c r="H375" s="468"/>
      <c r="I375" s="468"/>
      <c r="J375" s="469"/>
      <c r="L375" s="476"/>
      <c r="M375" s="476"/>
      <c r="N375" s="476"/>
      <c r="O375" s="476"/>
      <c r="P375" s="476"/>
      <c r="Q375" s="476"/>
      <c r="R375" s="476"/>
      <c r="S375" s="476"/>
      <c r="T375" s="476"/>
      <c r="U375" s="476"/>
      <c r="V375" s="476"/>
      <c r="W375" s="476"/>
      <c r="X375" s="476"/>
      <c r="Y375" s="476"/>
      <c r="Z375" s="476"/>
      <c r="AA375" s="476"/>
      <c r="AB375" s="476"/>
      <c r="AC375" s="476"/>
      <c r="AD375" s="476"/>
      <c r="AE375" s="476"/>
      <c r="AF375" s="476"/>
      <c r="AG375" s="476"/>
      <c r="AH375" s="476"/>
      <c r="AI375" s="476"/>
      <c r="AJ375" s="476"/>
      <c r="AK375" s="476"/>
      <c r="AL375" s="476"/>
      <c r="AM375" s="476"/>
      <c r="AN375" s="476"/>
      <c r="AO375" s="476"/>
      <c r="AP375" s="476"/>
      <c r="AQ375" s="476"/>
      <c r="AR375" s="476"/>
      <c r="AS375" s="476"/>
      <c r="AT375" s="476"/>
      <c r="AU375" s="476"/>
    </row>
    <row r="376" spans="1:47" s="398" customFormat="1" ht="13.15" customHeight="1" x14ac:dyDescent="0.2">
      <c r="A376" s="476"/>
      <c r="D376" s="467"/>
      <c r="F376" s="468"/>
      <c r="G376" s="468"/>
      <c r="H376" s="468"/>
      <c r="I376" s="468"/>
      <c r="J376" s="469"/>
      <c r="L376" s="476"/>
      <c r="M376" s="476"/>
      <c r="N376" s="476"/>
      <c r="O376" s="476"/>
      <c r="P376" s="476"/>
      <c r="Q376" s="476"/>
      <c r="R376" s="476"/>
      <c r="S376" s="476"/>
      <c r="T376" s="476"/>
      <c r="U376" s="476"/>
      <c r="V376" s="476"/>
      <c r="W376" s="476"/>
      <c r="X376" s="476"/>
      <c r="Y376" s="476"/>
      <c r="Z376" s="476"/>
      <c r="AA376" s="476"/>
      <c r="AB376" s="476"/>
      <c r="AC376" s="476"/>
      <c r="AD376" s="476"/>
      <c r="AE376" s="476"/>
      <c r="AF376" s="476"/>
      <c r="AG376" s="476"/>
      <c r="AH376" s="476"/>
      <c r="AI376" s="476"/>
      <c r="AJ376" s="476"/>
      <c r="AK376" s="476"/>
      <c r="AL376" s="476"/>
      <c r="AM376" s="476"/>
      <c r="AN376" s="476"/>
      <c r="AO376" s="476"/>
      <c r="AP376" s="476"/>
      <c r="AQ376" s="476"/>
      <c r="AR376" s="476"/>
      <c r="AS376" s="476"/>
      <c r="AT376" s="476"/>
      <c r="AU376" s="476"/>
    </row>
    <row r="377" spans="1:47" s="398" customFormat="1" ht="13.15" customHeight="1" x14ac:dyDescent="0.2">
      <c r="A377" s="476"/>
      <c r="D377" s="467"/>
      <c r="F377" s="468"/>
      <c r="G377" s="468"/>
      <c r="H377" s="468"/>
      <c r="I377" s="468"/>
      <c r="J377" s="469"/>
      <c r="L377" s="476"/>
      <c r="M377" s="476"/>
      <c r="N377" s="476"/>
      <c r="O377" s="476"/>
      <c r="P377" s="476"/>
      <c r="Q377" s="476"/>
      <c r="R377" s="476"/>
      <c r="S377" s="476"/>
      <c r="T377" s="476"/>
      <c r="U377" s="476"/>
      <c r="V377" s="476"/>
      <c r="W377" s="476"/>
      <c r="X377" s="476"/>
      <c r="Y377" s="476"/>
      <c r="Z377" s="476"/>
      <c r="AA377" s="476"/>
      <c r="AB377" s="476"/>
      <c r="AC377" s="476"/>
      <c r="AD377" s="476"/>
      <c r="AE377" s="476"/>
      <c r="AF377" s="476"/>
      <c r="AG377" s="476"/>
      <c r="AH377" s="476"/>
      <c r="AI377" s="476"/>
      <c r="AJ377" s="476"/>
      <c r="AK377" s="476"/>
      <c r="AL377" s="476"/>
      <c r="AM377" s="476"/>
      <c r="AN377" s="476"/>
      <c r="AO377" s="476"/>
      <c r="AP377" s="476"/>
      <c r="AQ377" s="476"/>
      <c r="AR377" s="476"/>
      <c r="AS377" s="476"/>
      <c r="AT377" s="476"/>
      <c r="AU377" s="476"/>
    </row>
    <row r="378" spans="1:47" s="398" customFormat="1" ht="13.15" customHeight="1" x14ac:dyDescent="0.2">
      <c r="A378" s="476"/>
      <c r="D378" s="467"/>
      <c r="F378" s="468"/>
      <c r="G378" s="468"/>
      <c r="H378" s="468"/>
      <c r="I378" s="468"/>
      <c r="J378" s="469"/>
      <c r="L378" s="476"/>
      <c r="M378" s="476"/>
      <c r="N378" s="476"/>
      <c r="O378" s="476"/>
      <c r="P378" s="476"/>
      <c r="Q378" s="476"/>
      <c r="R378" s="476"/>
      <c r="S378" s="476"/>
      <c r="T378" s="476"/>
      <c r="U378" s="476"/>
      <c r="V378" s="476"/>
      <c r="W378" s="476"/>
      <c r="X378" s="476"/>
      <c r="Y378" s="476"/>
      <c r="Z378" s="476"/>
      <c r="AA378" s="476"/>
      <c r="AB378" s="476"/>
      <c r="AC378" s="476"/>
      <c r="AD378" s="476"/>
      <c r="AE378" s="476"/>
      <c r="AF378" s="476"/>
      <c r="AG378" s="476"/>
      <c r="AH378" s="476"/>
      <c r="AI378" s="476"/>
      <c r="AJ378" s="476"/>
      <c r="AK378" s="476"/>
      <c r="AL378" s="476"/>
      <c r="AM378" s="476"/>
      <c r="AN378" s="476"/>
      <c r="AO378" s="476"/>
      <c r="AP378" s="476"/>
      <c r="AQ378" s="476"/>
      <c r="AR378" s="476"/>
      <c r="AS378" s="476"/>
      <c r="AT378" s="476"/>
      <c r="AU378" s="476"/>
    </row>
    <row r="379" spans="1:47" s="398" customFormat="1" ht="13.15" customHeight="1" x14ac:dyDescent="0.2">
      <c r="A379" s="476"/>
      <c r="D379" s="467"/>
      <c r="F379" s="468"/>
      <c r="G379" s="468"/>
      <c r="H379" s="468"/>
      <c r="I379" s="468"/>
      <c r="J379" s="469"/>
      <c r="L379" s="476"/>
      <c r="M379" s="476"/>
      <c r="N379" s="476"/>
      <c r="O379" s="476"/>
      <c r="P379" s="476"/>
      <c r="Q379" s="476"/>
      <c r="R379" s="476"/>
      <c r="S379" s="476"/>
      <c r="T379" s="476"/>
      <c r="U379" s="476"/>
      <c r="V379" s="476"/>
      <c r="W379" s="476"/>
      <c r="X379" s="476"/>
      <c r="Y379" s="476"/>
      <c r="Z379" s="476"/>
      <c r="AA379" s="476"/>
      <c r="AB379" s="476"/>
      <c r="AC379" s="476"/>
      <c r="AD379" s="476"/>
      <c r="AE379" s="476"/>
      <c r="AF379" s="476"/>
      <c r="AG379" s="476"/>
      <c r="AH379" s="476"/>
      <c r="AI379" s="476"/>
      <c r="AJ379" s="476"/>
      <c r="AK379" s="476"/>
      <c r="AL379" s="476"/>
      <c r="AM379" s="476"/>
      <c r="AN379" s="476"/>
      <c r="AO379" s="476"/>
      <c r="AP379" s="476"/>
      <c r="AQ379" s="476"/>
      <c r="AR379" s="476"/>
      <c r="AS379" s="476"/>
      <c r="AT379" s="476"/>
      <c r="AU379" s="476"/>
    </row>
    <row r="380" spans="1:47" s="398" customFormat="1" ht="13.15" customHeight="1" x14ac:dyDescent="0.2">
      <c r="A380" s="476"/>
      <c r="D380" s="467"/>
      <c r="F380" s="468"/>
      <c r="G380" s="468"/>
      <c r="H380" s="468"/>
      <c r="I380" s="468"/>
      <c r="J380" s="469"/>
      <c r="L380" s="476"/>
      <c r="M380" s="476"/>
      <c r="N380" s="476"/>
      <c r="O380" s="476"/>
      <c r="P380" s="476"/>
      <c r="Q380" s="476"/>
      <c r="R380" s="476"/>
      <c r="S380" s="476"/>
      <c r="T380" s="476"/>
      <c r="U380" s="476"/>
      <c r="V380" s="476"/>
      <c r="W380" s="476"/>
      <c r="X380" s="476"/>
      <c r="Y380" s="476"/>
      <c r="Z380" s="476"/>
      <c r="AA380" s="476"/>
      <c r="AB380" s="476"/>
      <c r="AC380" s="476"/>
      <c r="AD380" s="476"/>
      <c r="AE380" s="476"/>
      <c r="AF380" s="476"/>
      <c r="AG380" s="476"/>
      <c r="AH380" s="476"/>
      <c r="AI380" s="476"/>
      <c r="AJ380" s="476"/>
      <c r="AK380" s="476"/>
      <c r="AL380" s="476"/>
      <c r="AM380" s="476"/>
      <c r="AN380" s="476"/>
      <c r="AO380" s="476"/>
      <c r="AP380" s="476"/>
      <c r="AQ380" s="476"/>
      <c r="AR380" s="476"/>
      <c r="AS380" s="476"/>
      <c r="AT380" s="476"/>
      <c r="AU380" s="476"/>
    </row>
    <row r="381" spans="1:47" s="398" customFormat="1" ht="13.15" customHeight="1" x14ac:dyDescent="0.2">
      <c r="A381" s="476"/>
      <c r="D381" s="467"/>
      <c r="F381" s="468"/>
      <c r="G381" s="468"/>
      <c r="H381" s="468"/>
      <c r="I381" s="468"/>
      <c r="J381" s="469"/>
      <c r="L381" s="476"/>
      <c r="M381" s="476"/>
      <c r="N381" s="476"/>
      <c r="O381" s="476"/>
      <c r="P381" s="476"/>
      <c r="Q381" s="476"/>
      <c r="R381" s="476"/>
      <c r="S381" s="476"/>
      <c r="T381" s="476"/>
      <c r="U381" s="476"/>
      <c r="V381" s="476"/>
      <c r="W381" s="476"/>
      <c r="X381" s="476"/>
      <c r="Y381" s="476"/>
      <c r="Z381" s="476"/>
      <c r="AA381" s="476"/>
      <c r="AB381" s="476"/>
      <c r="AC381" s="476"/>
      <c r="AD381" s="476"/>
      <c r="AE381" s="476"/>
      <c r="AF381" s="476"/>
      <c r="AG381" s="476"/>
      <c r="AH381" s="476"/>
      <c r="AI381" s="476"/>
      <c r="AJ381" s="476"/>
      <c r="AK381" s="476"/>
      <c r="AL381" s="476"/>
      <c r="AM381" s="476"/>
      <c r="AN381" s="476"/>
      <c r="AO381" s="476"/>
      <c r="AP381" s="476"/>
      <c r="AQ381" s="476"/>
      <c r="AR381" s="476"/>
      <c r="AS381" s="476"/>
      <c r="AT381" s="476"/>
      <c r="AU381" s="476"/>
    </row>
    <row r="382" spans="1:47" s="398" customFormat="1" ht="13.15" customHeight="1" x14ac:dyDescent="0.2">
      <c r="A382" s="476"/>
      <c r="D382" s="467"/>
      <c r="F382" s="468"/>
      <c r="G382" s="468"/>
      <c r="H382" s="468"/>
      <c r="I382" s="468"/>
      <c r="J382" s="469"/>
      <c r="L382" s="476"/>
      <c r="M382" s="476"/>
      <c r="N382" s="476"/>
      <c r="O382" s="476"/>
      <c r="P382" s="476"/>
      <c r="Q382" s="476"/>
      <c r="R382" s="476"/>
      <c r="S382" s="476"/>
      <c r="T382" s="476"/>
      <c r="U382" s="476"/>
      <c r="V382" s="476"/>
      <c r="W382" s="476"/>
      <c r="X382" s="476"/>
      <c r="Y382" s="476"/>
      <c r="Z382" s="476"/>
      <c r="AA382" s="476"/>
      <c r="AB382" s="476"/>
      <c r="AC382" s="476"/>
      <c r="AD382" s="476"/>
      <c r="AE382" s="476"/>
      <c r="AF382" s="476"/>
      <c r="AG382" s="476"/>
      <c r="AH382" s="476"/>
      <c r="AI382" s="476"/>
      <c r="AJ382" s="476"/>
      <c r="AK382" s="476"/>
      <c r="AL382" s="476"/>
      <c r="AM382" s="476"/>
      <c r="AN382" s="476"/>
      <c r="AO382" s="476"/>
      <c r="AP382" s="476"/>
      <c r="AQ382" s="476"/>
      <c r="AR382" s="476"/>
      <c r="AS382" s="476"/>
      <c r="AT382" s="476"/>
      <c r="AU382" s="476"/>
    </row>
    <row r="383" spans="1:47" s="398" customFormat="1" ht="13.15" customHeight="1" x14ac:dyDescent="0.2">
      <c r="A383" s="476"/>
      <c r="D383" s="467"/>
      <c r="F383" s="468"/>
      <c r="G383" s="468"/>
      <c r="H383" s="468"/>
      <c r="I383" s="468"/>
      <c r="J383" s="469"/>
      <c r="L383" s="476"/>
      <c r="M383" s="476"/>
      <c r="N383" s="476"/>
      <c r="O383" s="476"/>
      <c r="P383" s="476"/>
      <c r="Q383" s="476"/>
      <c r="R383" s="476"/>
      <c r="S383" s="476"/>
      <c r="T383" s="476"/>
      <c r="U383" s="476"/>
      <c r="V383" s="476"/>
      <c r="W383" s="476"/>
      <c r="X383" s="476"/>
      <c r="Y383" s="476"/>
      <c r="Z383" s="476"/>
      <c r="AA383" s="476"/>
      <c r="AB383" s="476"/>
      <c r="AC383" s="476"/>
      <c r="AD383" s="476"/>
      <c r="AE383" s="476"/>
      <c r="AF383" s="476"/>
      <c r="AG383" s="476"/>
      <c r="AH383" s="476"/>
      <c r="AI383" s="476"/>
      <c r="AJ383" s="476"/>
      <c r="AK383" s="476"/>
      <c r="AL383" s="476"/>
      <c r="AM383" s="476"/>
      <c r="AN383" s="476"/>
      <c r="AO383" s="476"/>
      <c r="AP383" s="476"/>
      <c r="AQ383" s="476"/>
      <c r="AR383" s="476"/>
      <c r="AS383" s="476"/>
      <c r="AT383" s="476"/>
      <c r="AU383" s="476"/>
    </row>
    <row r="384" spans="1:47" s="398" customFormat="1" ht="13.15" customHeight="1" x14ac:dyDescent="0.2">
      <c r="A384" s="476"/>
      <c r="D384" s="467"/>
      <c r="F384" s="468"/>
      <c r="G384" s="468"/>
      <c r="H384" s="468"/>
      <c r="I384" s="468"/>
      <c r="J384" s="469"/>
      <c r="L384" s="476"/>
      <c r="M384" s="476"/>
      <c r="N384" s="476"/>
      <c r="O384" s="476"/>
      <c r="P384" s="476"/>
      <c r="Q384" s="476"/>
      <c r="R384" s="476"/>
      <c r="S384" s="476"/>
      <c r="T384" s="476"/>
      <c r="U384" s="476"/>
      <c r="V384" s="476"/>
      <c r="W384" s="476"/>
      <c r="X384" s="476"/>
      <c r="Y384" s="476"/>
      <c r="Z384" s="476"/>
      <c r="AA384" s="476"/>
      <c r="AB384" s="476"/>
      <c r="AC384" s="476"/>
      <c r="AD384" s="476"/>
      <c r="AE384" s="476"/>
      <c r="AF384" s="476"/>
      <c r="AG384" s="476"/>
      <c r="AH384" s="476"/>
      <c r="AI384" s="476"/>
      <c r="AJ384" s="476"/>
      <c r="AK384" s="476"/>
      <c r="AL384" s="476"/>
      <c r="AM384" s="476"/>
      <c r="AN384" s="476"/>
      <c r="AO384" s="476"/>
      <c r="AP384" s="476"/>
      <c r="AQ384" s="476"/>
      <c r="AR384" s="476"/>
      <c r="AS384" s="476"/>
      <c r="AT384" s="476"/>
      <c r="AU384" s="476"/>
    </row>
    <row r="385" spans="1:47" s="398" customFormat="1" ht="13.15" customHeight="1" x14ac:dyDescent="0.2">
      <c r="A385" s="476"/>
      <c r="D385" s="467"/>
      <c r="F385" s="468"/>
      <c r="G385" s="468"/>
      <c r="H385" s="468"/>
      <c r="I385" s="468"/>
      <c r="J385" s="469"/>
      <c r="L385" s="476"/>
      <c r="M385" s="476"/>
      <c r="N385" s="476"/>
      <c r="O385" s="476"/>
      <c r="P385" s="476"/>
      <c r="Q385" s="476"/>
      <c r="R385" s="476"/>
      <c r="S385" s="476"/>
      <c r="T385" s="476"/>
      <c r="U385" s="476"/>
      <c r="V385" s="476"/>
      <c r="W385" s="476"/>
      <c r="X385" s="476"/>
      <c r="Y385" s="476"/>
      <c r="Z385" s="476"/>
      <c r="AA385" s="476"/>
      <c r="AB385" s="476"/>
      <c r="AC385" s="476"/>
      <c r="AD385" s="476"/>
      <c r="AE385" s="476"/>
      <c r="AF385" s="476"/>
      <c r="AG385" s="476"/>
      <c r="AH385" s="476"/>
      <c r="AI385" s="476"/>
      <c r="AJ385" s="476"/>
      <c r="AK385" s="476"/>
      <c r="AL385" s="476"/>
      <c r="AM385" s="476"/>
      <c r="AN385" s="476"/>
      <c r="AO385" s="476"/>
      <c r="AP385" s="476"/>
      <c r="AQ385" s="476"/>
      <c r="AR385" s="476"/>
      <c r="AS385" s="476"/>
      <c r="AT385" s="476"/>
      <c r="AU385" s="476"/>
    </row>
    <row r="386" spans="1:47" s="398" customFormat="1" ht="13.15" customHeight="1" x14ac:dyDescent="0.2">
      <c r="A386" s="476"/>
      <c r="D386" s="467"/>
      <c r="F386" s="468"/>
      <c r="G386" s="468"/>
      <c r="H386" s="468"/>
      <c r="I386" s="468"/>
      <c r="J386" s="469"/>
      <c r="L386" s="476"/>
      <c r="M386" s="476"/>
      <c r="N386" s="476"/>
      <c r="O386" s="476"/>
      <c r="P386" s="476"/>
      <c r="Q386" s="476"/>
      <c r="R386" s="476"/>
      <c r="S386" s="476"/>
      <c r="T386" s="476"/>
      <c r="U386" s="476"/>
      <c r="V386" s="476"/>
      <c r="W386" s="476"/>
      <c r="X386" s="476"/>
      <c r="Y386" s="476"/>
      <c r="Z386" s="476"/>
      <c r="AA386" s="476"/>
      <c r="AB386" s="476"/>
      <c r="AC386" s="476"/>
      <c r="AD386" s="476"/>
      <c r="AE386" s="476"/>
      <c r="AF386" s="476"/>
      <c r="AG386" s="476"/>
      <c r="AH386" s="476"/>
      <c r="AI386" s="476"/>
      <c r="AJ386" s="476"/>
      <c r="AK386" s="476"/>
      <c r="AL386" s="476"/>
      <c r="AM386" s="476"/>
      <c r="AN386" s="476"/>
      <c r="AO386" s="476"/>
      <c r="AP386" s="476"/>
      <c r="AQ386" s="476"/>
      <c r="AR386" s="476"/>
      <c r="AS386" s="476"/>
      <c r="AT386" s="476"/>
      <c r="AU386" s="476"/>
    </row>
    <row r="387" spans="1:47" s="398" customFormat="1" ht="13.15" customHeight="1" x14ac:dyDescent="0.2">
      <c r="A387" s="476"/>
      <c r="D387" s="467"/>
      <c r="F387" s="468"/>
      <c r="G387" s="468"/>
      <c r="H387" s="468"/>
      <c r="I387" s="468"/>
      <c r="J387" s="469"/>
      <c r="L387" s="476"/>
      <c r="M387" s="476"/>
      <c r="N387" s="476"/>
      <c r="O387" s="476"/>
      <c r="P387" s="476"/>
      <c r="Q387" s="476"/>
      <c r="R387" s="476"/>
      <c r="S387" s="476"/>
      <c r="T387" s="476"/>
      <c r="U387" s="476"/>
      <c r="V387" s="476"/>
      <c r="W387" s="476"/>
      <c r="X387" s="476"/>
      <c r="Y387" s="476"/>
      <c r="Z387" s="476"/>
      <c r="AA387" s="476"/>
      <c r="AB387" s="476"/>
      <c r="AC387" s="476"/>
      <c r="AD387" s="476"/>
      <c r="AE387" s="476"/>
      <c r="AF387" s="476"/>
      <c r="AG387" s="476"/>
      <c r="AH387" s="476"/>
      <c r="AI387" s="476"/>
      <c r="AJ387" s="476"/>
      <c r="AK387" s="476"/>
      <c r="AL387" s="476"/>
      <c r="AM387" s="476"/>
      <c r="AN387" s="476"/>
      <c r="AO387" s="476"/>
      <c r="AP387" s="476"/>
      <c r="AQ387" s="476"/>
      <c r="AR387" s="476"/>
      <c r="AS387" s="476"/>
      <c r="AT387" s="476"/>
      <c r="AU387" s="476"/>
    </row>
    <row r="388" spans="1:47" s="398" customFormat="1" ht="13.15" customHeight="1" x14ac:dyDescent="0.2">
      <c r="A388" s="476"/>
      <c r="D388" s="467"/>
      <c r="F388" s="468"/>
      <c r="G388" s="468"/>
      <c r="H388" s="468"/>
      <c r="I388" s="468"/>
      <c r="J388" s="469"/>
      <c r="L388" s="476"/>
      <c r="M388" s="476"/>
      <c r="N388" s="476"/>
      <c r="O388" s="476"/>
      <c r="P388" s="476"/>
      <c r="Q388" s="476"/>
      <c r="R388" s="476"/>
      <c r="S388" s="476"/>
      <c r="T388" s="476"/>
      <c r="U388" s="476"/>
      <c r="V388" s="476"/>
      <c r="W388" s="476"/>
      <c r="X388" s="476"/>
      <c r="Y388" s="476"/>
      <c r="Z388" s="476"/>
      <c r="AA388" s="476"/>
      <c r="AB388" s="476"/>
      <c r="AC388" s="476"/>
      <c r="AD388" s="476"/>
      <c r="AE388" s="476"/>
      <c r="AF388" s="476"/>
      <c r="AG388" s="476"/>
      <c r="AH388" s="476"/>
      <c r="AI388" s="476"/>
      <c r="AJ388" s="476"/>
      <c r="AK388" s="476"/>
      <c r="AL388" s="476"/>
      <c r="AM388" s="476"/>
      <c r="AN388" s="476"/>
      <c r="AO388" s="476"/>
      <c r="AP388" s="476"/>
      <c r="AQ388" s="476"/>
      <c r="AR388" s="476"/>
      <c r="AS388" s="476"/>
      <c r="AT388" s="476"/>
      <c r="AU388" s="476"/>
    </row>
    <row r="389" spans="1:47" s="398" customFormat="1" ht="13.15" customHeight="1" x14ac:dyDescent="0.2">
      <c r="A389" s="476"/>
      <c r="D389" s="467"/>
      <c r="F389" s="468"/>
      <c r="G389" s="468"/>
      <c r="H389" s="468"/>
      <c r="I389" s="468"/>
      <c r="J389" s="469"/>
      <c r="L389" s="476"/>
      <c r="M389" s="476"/>
      <c r="N389" s="476"/>
      <c r="O389" s="476"/>
      <c r="P389" s="476"/>
      <c r="Q389" s="476"/>
      <c r="R389" s="476"/>
      <c r="S389" s="476"/>
      <c r="T389" s="476"/>
      <c r="U389" s="476"/>
      <c r="V389" s="476"/>
      <c r="W389" s="476"/>
      <c r="X389" s="476"/>
      <c r="Y389" s="476"/>
      <c r="Z389" s="476"/>
      <c r="AA389" s="476"/>
      <c r="AB389" s="476"/>
      <c r="AC389" s="476"/>
      <c r="AD389" s="476"/>
      <c r="AE389" s="476"/>
      <c r="AF389" s="476"/>
      <c r="AG389" s="476"/>
      <c r="AH389" s="476"/>
      <c r="AI389" s="476"/>
      <c r="AJ389" s="476"/>
      <c r="AK389" s="476"/>
      <c r="AL389" s="476"/>
      <c r="AM389" s="476"/>
      <c r="AN389" s="476"/>
      <c r="AO389" s="476"/>
      <c r="AP389" s="476"/>
      <c r="AQ389" s="476"/>
      <c r="AR389" s="476"/>
      <c r="AS389" s="476"/>
      <c r="AT389" s="476"/>
      <c r="AU389" s="476"/>
    </row>
    <row r="390" spans="1:47" s="398" customFormat="1" ht="13.15" customHeight="1" x14ac:dyDescent="0.2">
      <c r="A390" s="476"/>
      <c r="D390" s="467"/>
      <c r="F390" s="468"/>
      <c r="G390" s="468"/>
      <c r="H390" s="468"/>
      <c r="I390" s="468"/>
      <c r="J390" s="469"/>
      <c r="L390" s="476"/>
      <c r="M390" s="476"/>
      <c r="N390" s="476"/>
      <c r="O390" s="476"/>
      <c r="P390" s="476"/>
      <c r="Q390" s="476"/>
      <c r="R390" s="476"/>
      <c r="S390" s="476"/>
      <c r="T390" s="476"/>
      <c r="U390" s="476"/>
      <c r="V390" s="476"/>
      <c r="W390" s="476"/>
      <c r="X390" s="476"/>
      <c r="Y390" s="476"/>
      <c r="Z390" s="476"/>
      <c r="AA390" s="476"/>
      <c r="AB390" s="476"/>
      <c r="AC390" s="476"/>
      <c r="AD390" s="476"/>
      <c r="AE390" s="476"/>
      <c r="AF390" s="476"/>
      <c r="AG390" s="476"/>
      <c r="AH390" s="476"/>
      <c r="AI390" s="476"/>
      <c r="AJ390" s="476"/>
      <c r="AK390" s="476"/>
      <c r="AL390" s="476"/>
      <c r="AM390" s="476"/>
      <c r="AN390" s="476"/>
      <c r="AO390" s="476"/>
      <c r="AP390" s="476"/>
      <c r="AQ390" s="476"/>
      <c r="AR390" s="476"/>
      <c r="AS390" s="476"/>
      <c r="AT390" s="476"/>
      <c r="AU390" s="476"/>
    </row>
    <row r="391" spans="1:47" s="398" customFormat="1" ht="13.15" customHeight="1" x14ac:dyDescent="0.2">
      <c r="A391" s="476"/>
      <c r="D391" s="467"/>
      <c r="F391" s="468"/>
      <c r="G391" s="468"/>
      <c r="H391" s="468"/>
      <c r="I391" s="468"/>
      <c r="J391" s="469"/>
      <c r="L391" s="476"/>
      <c r="M391" s="476"/>
      <c r="N391" s="476"/>
      <c r="O391" s="476"/>
      <c r="P391" s="476"/>
      <c r="Q391" s="476"/>
      <c r="R391" s="476"/>
      <c r="S391" s="476"/>
      <c r="T391" s="476"/>
      <c r="U391" s="476"/>
      <c r="V391" s="476"/>
      <c r="W391" s="476"/>
      <c r="X391" s="476"/>
      <c r="Y391" s="476"/>
      <c r="Z391" s="476"/>
      <c r="AA391" s="476"/>
      <c r="AB391" s="476"/>
      <c r="AC391" s="476"/>
      <c r="AD391" s="476"/>
      <c r="AE391" s="476"/>
      <c r="AF391" s="476"/>
      <c r="AG391" s="476"/>
      <c r="AH391" s="476"/>
      <c r="AI391" s="476"/>
      <c r="AJ391" s="476"/>
      <c r="AK391" s="476"/>
      <c r="AL391" s="476"/>
      <c r="AM391" s="476"/>
      <c r="AN391" s="476"/>
      <c r="AO391" s="476"/>
      <c r="AP391" s="476"/>
      <c r="AQ391" s="476"/>
      <c r="AR391" s="476"/>
      <c r="AS391" s="476"/>
      <c r="AT391" s="476"/>
      <c r="AU391" s="476"/>
    </row>
    <row r="392" spans="1:47" s="398" customFormat="1" ht="13.15" customHeight="1" x14ac:dyDescent="0.2">
      <c r="A392" s="476"/>
      <c r="D392" s="467"/>
      <c r="F392" s="468"/>
      <c r="G392" s="468"/>
      <c r="H392" s="468"/>
      <c r="I392" s="468"/>
      <c r="J392" s="469"/>
      <c r="L392" s="476"/>
      <c r="M392" s="476"/>
      <c r="N392" s="476"/>
      <c r="O392" s="476"/>
      <c r="P392" s="476"/>
      <c r="Q392" s="476"/>
      <c r="R392" s="476"/>
      <c r="S392" s="476"/>
      <c r="T392" s="476"/>
      <c r="U392" s="476"/>
      <c r="V392" s="476"/>
      <c r="W392" s="476"/>
      <c r="X392" s="476"/>
      <c r="Y392" s="476"/>
      <c r="Z392" s="476"/>
      <c r="AA392" s="476"/>
      <c r="AB392" s="476"/>
      <c r="AC392" s="476"/>
      <c r="AD392" s="476"/>
      <c r="AE392" s="476"/>
      <c r="AF392" s="476"/>
      <c r="AG392" s="476"/>
      <c r="AH392" s="476"/>
      <c r="AI392" s="476"/>
      <c r="AJ392" s="476"/>
      <c r="AK392" s="476"/>
      <c r="AL392" s="476"/>
      <c r="AM392" s="476"/>
      <c r="AN392" s="476"/>
      <c r="AO392" s="476"/>
      <c r="AP392" s="476"/>
      <c r="AQ392" s="476"/>
      <c r="AR392" s="476"/>
      <c r="AS392" s="476"/>
      <c r="AT392" s="476"/>
      <c r="AU392" s="476"/>
    </row>
    <row r="393" spans="1:47" s="398" customFormat="1" ht="13.15" customHeight="1" x14ac:dyDescent="0.2">
      <c r="A393" s="476"/>
      <c r="D393" s="467"/>
      <c r="F393" s="468"/>
      <c r="G393" s="468"/>
      <c r="H393" s="468"/>
      <c r="I393" s="468"/>
      <c r="J393" s="469"/>
      <c r="L393" s="476"/>
      <c r="M393" s="476"/>
      <c r="N393" s="476"/>
      <c r="O393" s="476"/>
      <c r="P393" s="476"/>
      <c r="Q393" s="476"/>
      <c r="R393" s="476"/>
      <c r="S393" s="476"/>
      <c r="T393" s="476"/>
      <c r="U393" s="476"/>
      <c r="V393" s="476"/>
      <c r="W393" s="476"/>
      <c r="X393" s="476"/>
      <c r="Y393" s="476"/>
      <c r="Z393" s="476"/>
      <c r="AA393" s="476"/>
      <c r="AB393" s="476"/>
      <c r="AC393" s="476"/>
      <c r="AD393" s="476"/>
      <c r="AE393" s="476"/>
      <c r="AF393" s="476"/>
      <c r="AG393" s="476"/>
      <c r="AH393" s="476"/>
      <c r="AI393" s="476"/>
      <c r="AJ393" s="476"/>
      <c r="AK393" s="476"/>
      <c r="AL393" s="476"/>
      <c r="AM393" s="476"/>
      <c r="AN393" s="476"/>
      <c r="AO393" s="476"/>
      <c r="AP393" s="476"/>
      <c r="AQ393" s="476"/>
      <c r="AR393" s="476"/>
      <c r="AS393" s="476"/>
      <c r="AT393" s="476"/>
      <c r="AU393" s="476"/>
    </row>
    <row r="394" spans="1:47" s="398" customFormat="1" ht="13.15" customHeight="1" x14ac:dyDescent="0.2">
      <c r="A394" s="476"/>
      <c r="D394" s="467"/>
      <c r="F394" s="468"/>
      <c r="G394" s="468"/>
      <c r="H394" s="468"/>
      <c r="I394" s="468"/>
      <c r="J394" s="469"/>
      <c r="L394" s="476"/>
      <c r="M394" s="476"/>
      <c r="N394" s="476"/>
      <c r="O394" s="476"/>
      <c r="P394" s="476"/>
      <c r="Q394" s="476"/>
      <c r="R394" s="476"/>
      <c r="S394" s="476"/>
      <c r="T394" s="476"/>
      <c r="U394" s="476"/>
      <c r="V394" s="476"/>
      <c r="W394" s="476"/>
      <c r="X394" s="476"/>
      <c r="Y394" s="476"/>
      <c r="Z394" s="476"/>
      <c r="AA394" s="476"/>
      <c r="AB394" s="476"/>
      <c r="AC394" s="476"/>
      <c r="AD394" s="476"/>
      <c r="AE394" s="476"/>
      <c r="AF394" s="476"/>
      <c r="AG394" s="476"/>
      <c r="AH394" s="476"/>
      <c r="AI394" s="476"/>
      <c r="AJ394" s="476"/>
      <c r="AK394" s="476"/>
      <c r="AL394" s="476"/>
      <c r="AM394" s="476"/>
      <c r="AN394" s="476"/>
      <c r="AO394" s="476"/>
      <c r="AP394" s="476"/>
      <c r="AQ394" s="476"/>
      <c r="AR394" s="476"/>
      <c r="AS394" s="476"/>
      <c r="AT394" s="476"/>
      <c r="AU394" s="476"/>
    </row>
    <row r="395" spans="1:47" s="398" customFormat="1" ht="13.15" customHeight="1" x14ac:dyDescent="0.2">
      <c r="A395" s="476"/>
      <c r="D395" s="467"/>
      <c r="F395" s="468"/>
      <c r="G395" s="468"/>
      <c r="H395" s="468"/>
      <c r="I395" s="468"/>
      <c r="J395" s="469"/>
      <c r="L395" s="476"/>
      <c r="M395" s="476"/>
      <c r="N395" s="476"/>
      <c r="O395" s="476"/>
      <c r="P395" s="476"/>
      <c r="Q395" s="476"/>
      <c r="R395" s="476"/>
      <c r="S395" s="476"/>
      <c r="T395" s="476"/>
      <c r="U395" s="476"/>
      <c r="V395" s="476"/>
      <c r="W395" s="476"/>
      <c r="X395" s="476"/>
      <c r="Y395" s="476"/>
      <c r="Z395" s="476"/>
      <c r="AA395" s="476"/>
      <c r="AB395" s="476"/>
      <c r="AC395" s="476"/>
      <c r="AD395" s="476"/>
      <c r="AE395" s="476"/>
      <c r="AF395" s="476"/>
      <c r="AG395" s="476"/>
      <c r="AH395" s="476"/>
      <c r="AI395" s="476"/>
      <c r="AJ395" s="476"/>
      <c r="AK395" s="476"/>
      <c r="AL395" s="476"/>
      <c r="AM395" s="476"/>
      <c r="AN395" s="476"/>
      <c r="AO395" s="476"/>
      <c r="AP395" s="476"/>
      <c r="AQ395" s="476"/>
      <c r="AR395" s="476"/>
      <c r="AS395" s="476"/>
      <c r="AT395" s="476"/>
      <c r="AU395" s="476"/>
    </row>
    <row r="396" spans="1:47" s="398" customFormat="1" ht="13.15" customHeight="1" x14ac:dyDescent="0.2">
      <c r="A396" s="476"/>
      <c r="D396" s="467"/>
      <c r="F396" s="468"/>
      <c r="G396" s="468"/>
      <c r="H396" s="468"/>
      <c r="I396" s="468"/>
      <c r="J396" s="469"/>
      <c r="L396" s="476"/>
      <c r="M396" s="476"/>
      <c r="N396" s="476"/>
      <c r="O396" s="476"/>
      <c r="P396" s="476"/>
      <c r="Q396" s="476"/>
      <c r="R396" s="476"/>
      <c r="S396" s="476"/>
      <c r="T396" s="476"/>
      <c r="U396" s="476"/>
      <c r="V396" s="476"/>
      <c r="W396" s="476"/>
      <c r="X396" s="476"/>
      <c r="Y396" s="476"/>
      <c r="Z396" s="476"/>
      <c r="AA396" s="476"/>
      <c r="AB396" s="476"/>
      <c r="AC396" s="476"/>
      <c r="AD396" s="476"/>
      <c r="AE396" s="476"/>
      <c r="AF396" s="476"/>
      <c r="AG396" s="476"/>
      <c r="AH396" s="476"/>
      <c r="AI396" s="476"/>
      <c r="AJ396" s="476"/>
      <c r="AK396" s="476"/>
      <c r="AL396" s="476"/>
      <c r="AM396" s="476"/>
      <c r="AN396" s="476"/>
      <c r="AO396" s="476"/>
      <c r="AP396" s="476"/>
      <c r="AQ396" s="476"/>
      <c r="AR396" s="476"/>
      <c r="AS396" s="476"/>
      <c r="AT396" s="476"/>
      <c r="AU396" s="476"/>
    </row>
    <row r="397" spans="1:47" s="398" customFormat="1" ht="13.15" customHeight="1" x14ac:dyDescent="0.2">
      <c r="A397" s="476"/>
      <c r="D397" s="467"/>
      <c r="F397" s="468"/>
      <c r="G397" s="468"/>
      <c r="H397" s="468"/>
      <c r="I397" s="468"/>
      <c r="J397" s="469"/>
      <c r="L397" s="476"/>
      <c r="M397" s="476"/>
      <c r="N397" s="476"/>
      <c r="O397" s="476"/>
      <c r="P397" s="476"/>
      <c r="Q397" s="476"/>
      <c r="R397" s="476"/>
      <c r="S397" s="476"/>
      <c r="T397" s="476"/>
      <c r="U397" s="476"/>
      <c r="V397" s="476"/>
      <c r="W397" s="476"/>
      <c r="X397" s="476"/>
      <c r="Y397" s="476"/>
      <c r="Z397" s="476"/>
      <c r="AA397" s="476"/>
      <c r="AB397" s="476"/>
      <c r="AC397" s="476"/>
      <c r="AD397" s="476"/>
      <c r="AE397" s="476"/>
      <c r="AF397" s="476"/>
      <c r="AG397" s="476"/>
      <c r="AH397" s="476"/>
      <c r="AI397" s="476"/>
      <c r="AJ397" s="476"/>
      <c r="AK397" s="476"/>
      <c r="AL397" s="476"/>
      <c r="AM397" s="476"/>
      <c r="AN397" s="476"/>
      <c r="AO397" s="476"/>
      <c r="AP397" s="476"/>
      <c r="AQ397" s="476"/>
      <c r="AR397" s="476"/>
      <c r="AS397" s="476"/>
      <c r="AT397" s="476"/>
      <c r="AU397" s="476"/>
    </row>
    <row r="398" spans="1:47" s="398" customFormat="1" ht="13.15" customHeight="1" x14ac:dyDescent="0.2">
      <c r="A398" s="476"/>
      <c r="D398" s="467"/>
      <c r="F398" s="468"/>
      <c r="G398" s="468"/>
      <c r="H398" s="468"/>
      <c r="I398" s="468"/>
      <c r="J398" s="469"/>
      <c r="L398" s="476"/>
      <c r="M398" s="476"/>
      <c r="N398" s="476"/>
      <c r="O398" s="476"/>
      <c r="P398" s="476"/>
      <c r="Q398" s="476"/>
      <c r="R398" s="476"/>
      <c r="S398" s="476"/>
      <c r="T398" s="476"/>
      <c r="U398" s="476"/>
      <c r="V398" s="476"/>
      <c r="W398" s="476"/>
      <c r="X398" s="476"/>
      <c r="Y398" s="476"/>
      <c r="Z398" s="476"/>
      <c r="AA398" s="476"/>
      <c r="AB398" s="476"/>
      <c r="AC398" s="476"/>
      <c r="AD398" s="476"/>
      <c r="AE398" s="476"/>
      <c r="AF398" s="476"/>
      <c r="AG398" s="476"/>
      <c r="AH398" s="476"/>
      <c r="AI398" s="476"/>
      <c r="AJ398" s="476"/>
      <c r="AK398" s="476"/>
      <c r="AL398" s="476"/>
      <c r="AM398" s="476"/>
      <c r="AN398" s="476"/>
      <c r="AO398" s="476"/>
      <c r="AP398" s="476"/>
      <c r="AQ398" s="476"/>
      <c r="AR398" s="476"/>
      <c r="AS398" s="476"/>
      <c r="AT398" s="476"/>
      <c r="AU398" s="476"/>
    </row>
    <row r="399" spans="1:47" s="398" customFormat="1" ht="13.15" customHeight="1" x14ac:dyDescent="0.2">
      <c r="A399" s="476"/>
      <c r="D399" s="467"/>
      <c r="F399" s="468"/>
      <c r="G399" s="468"/>
      <c r="H399" s="468"/>
      <c r="I399" s="468"/>
      <c r="J399" s="469"/>
      <c r="L399" s="476"/>
      <c r="M399" s="476"/>
      <c r="N399" s="476"/>
      <c r="O399" s="476"/>
      <c r="P399" s="476"/>
      <c r="Q399" s="476"/>
      <c r="R399" s="476"/>
      <c r="S399" s="476"/>
      <c r="T399" s="476"/>
      <c r="U399" s="476"/>
      <c r="V399" s="476"/>
      <c r="W399" s="476"/>
      <c r="X399" s="476"/>
      <c r="Y399" s="476"/>
      <c r="Z399" s="476"/>
      <c r="AA399" s="476"/>
      <c r="AB399" s="476"/>
      <c r="AC399" s="476"/>
      <c r="AD399" s="476"/>
      <c r="AE399" s="476"/>
      <c r="AF399" s="476"/>
      <c r="AG399" s="476"/>
      <c r="AH399" s="476"/>
      <c r="AI399" s="476"/>
      <c r="AJ399" s="476"/>
      <c r="AK399" s="476"/>
      <c r="AL399" s="476"/>
      <c r="AM399" s="476"/>
      <c r="AN399" s="476"/>
      <c r="AO399" s="476"/>
      <c r="AP399" s="476"/>
      <c r="AQ399" s="476"/>
      <c r="AR399" s="476"/>
      <c r="AS399" s="476"/>
      <c r="AT399" s="476"/>
      <c r="AU399" s="476"/>
    </row>
    <row r="400" spans="1:47" s="398" customFormat="1" ht="13.15" customHeight="1" x14ac:dyDescent="0.2">
      <c r="A400" s="476"/>
      <c r="D400" s="467"/>
      <c r="F400" s="468"/>
      <c r="G400" s="468"/>
      <c r="H400" s="468"/>
      <c r="I400" s="468"/>
      <c r="J400" s="469"/>
      <c r="L400" s="476"/>
      <c r="M400" s="476"/>
      <c r="N400" s="476"/>
      <c r="O400" s="476"/>
      <c r="P400" s="476"/>
      <c r="Q400" s="476"/>
      <c r="R400" s="476"/>
      <c r="S400" s="476"/>
      <c r="T400" s="476"/>
      <c r="U400" s="476"/>
      <c r="V400" s="476"/>
      <c r="W400" s="476"/>
      <c r="X400" s="476"/>
      <c r="Y400" s="476"/>
      <c r="Z400" s="476"/>
      <c r="AA400" s="476"/>
      <c r="AB400" s="476"/>
      <c r="AC400" s="476"/>
      <c r="AD400" s="476"/>
      <c r="AE400" s="476"/>
      <c r="AF400" s="476"/>
      <c r="AG400" s="476"/>
      <c r="AH400" s="476"/>
      <c r="AI400" s="476"/>
      <c r="AJ400" s="476"/>
      <c r="AK400" s="476"/>
      <c r="AL400" s="476"/>
      <c r="AM400" s="476"/>
      <c r="AN400" s="476"/>
      <c r="AO400" s="476"/>
      <c r="AP400" s="476"/>
      <c r="AQ400" s="476"/>
      <c r="AR400" s="476"/>
      <c r="AS400" s="476"/>
      <c r="AT400" s="476"/>
      <c r="AU400" s="476"/>
    </row>
    <row r="401" spans="1:47" s="398" customFormat="1" ht="13.15" customHeight="1" x14ac:dyDescent="0.2">
      <c r="A401" s="476"/>
      <c r="D401" s="467"/>
      <c r="F401" s="468"/>
      <c r="G401" s="468"/>
      <c r="H401" s="468"/>
      <c r="I401" s="468"/>
      <c r="J401" s="469"/>
      <c r="L401" s="476"/>
      <c r="M401" s="476"/>
      <c r="N401" s="476"/>
      <c r="O401" s="476"/>
      <c r="P401" s="476"/>
      <c r="Q401" s="476"/>
      <c r="R401" s="476"/>
      <c r="S401" s="476"/>
      <c r="T401" s="476"/>
      <c r="U401" s="476"/>
      <c r="V401" s="476"/>
      <c r="W401" s="476"/>
      <c r="X401" s="476"/>
      <c r="Y401" s="476"/>
      <c r="Z401" s="476"/>
      <c r="AA401" s="476"/>
      <c r="AB401" s="476"/>
      <c r="AC401" s="476"/>
      <c r="AD401" s="476"/>
      <c r="AE401" s="476"/>
      <c r="AF401" s="476"/>
      <c r="AG401" s="476"/>
      <c r="AH401" s="476"/>
      <c r="AI401" s="476"/>
      <c r="AJ401" s="476"/>
      <c r="AK401" s="476"/>
      <c r="AL401" s="476"/>
      <c r="AM401" s="476"/>
      <c r="AN401" s="476"/>
      <c r="AO401" s="476"/>
      <c r="AP401" s="476"/>
      <c r="AQ401" s="476"/>
      <c r="AR401" s="476"/>
      <c r="AS401" s="476"/>
      <c r="AT401" s="476"/>
      <c r="AU401" s="476"/>
    </row>
    <row r="402" spans="1:47" s="398" customFormat="1" ht="13.15" customHeight="1" x14ac:dyDescent="0.2">
      <c r="A402" s="476"/>
      <c r="D402" s="467"/>
      <c r="F402" s="468"/>
      <c r="G402" s="468"/>
      <c r="H402" s="468"/>
      <c r="I402" s="468"/>
      <c r="J402" s="469"/>
      <c r="L402" s="476"/>
      <c r="M402" s="476"/>
      <c r="N402" s="476"/>
      <c r="O402" s="476"/>
      <c r="P402" s="476"/>
      <c r="Q402" s="476"/>
      <c r="R402" s="476"/>
      <c r="S402" s="476"/>
      <c r="T402" s="476"/>
      <c r="U402" s="476"/>
      <c r="V402" s="476"/>
      <c r="W402" s="476"/>
      <c r="X402" s="476"/>
      <c r="Y402" s="476"/>
      <c r="Z402" s="476"/>
      <c r="AA402" s="476"/>
      <c r="AB402" s="476"/>
      <c r="AC402" s="476"/>
      <c r="AD402" s="476"/>
      <c r="AE402" s="476"/>
      <c r="AF402" s="476"/>
      <c r="AG402" s="476"/>
      <c r="AH402" s="476"/>
      <c r="AI402" s="476"/>
      <c r="AJ402" s="476"/>
      <c r="AK402" s="476"/>
      <c r="AL402" s="476"/>
      <c r="AM402" s="476"/>
      <c r="AN402" s="476"/>
      <c r="AO402" s="476"/>
      <c r="AP402" s="476"/>
      <c r="AQ402" s="476"/>
      <c r="AR402" s="476"/>
      <c r="AS402" s="476"/>
      <c r="AT402" s="476"/>
      <c r="AU402" s="476"/>
    </row>
    <row r="403" spans="1:47" s="398" customFormat="1" ht="13.15" customHeight="1" x14ac:dyDescent="0.2">
      <c r="A403" s="476"/>
      <c r="D403" s="467"/>
      <c r="F403" s="468"/>
      <c r="G403" s="468"/>
      <c r="H403" s="468"/>
      <c r="I403" s="468"/>
      <c r="J403" s="469"/>
      <c r="L403" s="476"/>
      <c r="M403" s="476"/>
      <c r="N403" s="476"/>
      <c r="O403" s="476"/>
      <c r="P403" s="476"/>
      <c r="Q403" s="476"/>
      <c r="R403" s="476"/>
      <c r="S403" s="476"/>
      <c r="T403" s="476"/>
      <c r="U403" s="476"/>
      <c r="V403" s="476"/>
      <c r="W403" s="476"/>
      <c r="X403" s="476"/>
      <c r="Y403" s="476"/>
      <c r="Z403" s="476"/>
      <c r="AA403" s="476"/>
      <c r="AB403" s="476"/>
      <c r="AC403" s="476"/>
      <c r="AD403" s="476"/>
      <c r="AE403" s="476"/>
      <c r="AF403" s="476"/>
      <c r="AG403" s="476"/>
      <c r="AH403" s="476"/>
      <c r="AI403" s="476"/>
      <c r="AJ403" s="476"/>
      <c r="AK403" s="476"/>
      <c r="AL403" s="476"/>
      <c r="AM403" s="476"/>
      <c r="AN403" s="476"/>
      <c r="AO403" s="476"/>
      <c r="AP403" s="476"/>
      <c r="AQ403" s="476"/>
      <c r="AR403" s="476"/>
      <c r="AS403" s="476"/>
      <c r="AT403" s="476"/>
      <c r="AU403" s="476"/>
    </row>
    <row r="404" spans="1:47" s="398" customFormat="1" ht="13.15" customHeight="1" x14ac:dyDescent="0.2">
      <c r="A404" s="476"/>
      <c r="D404" s="467"/>
      <c r="F404" s="468"/>
      <c r="G404" s="468"/>
      <c r="H404" s="468"/>
      <c r="I404" s="468"/>
      <c r="J404" s="469"/>
      <c r="L404" s="476"/>
      <c r="M404" s="476"/>
      <c r="N404" s="476"/>
      <c r="O404" s="476"/>
      <c r="P404" s="476"/>
      <c r="Q404" s="476"/>
      <c r="R404" s="476"/>
      <c r="S404" s="476"/>
      <c r="T404" s="476"/>
      <c r="U404" s="476"/>
      <c r="V404" s="476"/>
      <c r="W404" s="476"/>
      <c r="X404" s="476"/>
      <c r="Y404" s="476"/>
      <c r="Z404" s="476"/>
      <c r="AA404" s="476"/>
      <c r="AB404" s="476"/>
      <c r="AC404" s="476"/>
      <c r="AD404" s="476"/>
      <c r="AE404" s="476"/>
      <c r="AF404" s="476"/>
      <c r="AG404" s="476"/>
      <c r="AH404" s="476"/>
      <c r="AI404" s="476"/>
      <c r="AJ404" s="476"/>
      <c r="AK404" s="476"/>
      <c r="AL404" s="476"/>
      <c r="AM404" s="476"/>
      <c r="AN404" s="476"/>
      <c r="AO404" s="476"/>
      <c r="AP404" s="476"/>
      <c r="AQ404" s="476"/>
      <c r="AR404" s="476"/>
      <c r="AS404" s="476"/>
      <c r="AT404" s="476"/>
      <c r="AU404" s="476"/>
    </row>
    <row r="405" spans="1:47" s="398" customFormat="1" ht="13.15" customHeight="1" x14ac:dyDescent="0.2">
      <c r="A405" s="476"/>
      <c r="D405" s="467"/>
      <c r="F405" s="468"/>
      <c r="G405" s="468"/>
      <c r="H405" s="468"/>
      <c r="I405" s="468"/>
      <c r="J405" s="469"/>
      <c r="L405" s="476"/>
      <c r="M405" s="476"/>
      <c r="N405" s="476"/>
      <c r="O405" s="476"/>
      <c r="P405" s="476"/>
      <c r="Q405" s="476"/>
      <c r="R405" s="476"/>
      <c r="S405" s="476"/>
      <c r="T405" s="476"/>
      <c r="U405" s="476"/>
      <c r="V405" s="476"/>
      <c r="W405" s="476"/>
      <c r="X405" s="476"/>
      <c r="Y405" s="476"/>
      <c r="Z405" s="476"/>
      <c r="AA405" s="476"/>
      <c r="AB405" s="476"/>
      <c r="AC405" s="476"/>
      <c r="AD405" s="476"/>
      <c r="AE405" s="476"/>
      <c r="AF405" s="476"/>
      <c r="AG405" s="476"/>
      <c r="AH405" s="476"/>
      <c r="AI405" s="476"/>
      <c r="AJ405" s="476"/>
      <c r="AK405" s="476"/>
      <c r="AL405" s="476"/>
      <c r="AM405" s="476"/>
      <c r="AN405" s="476"/>
      <c r="AO405" s="476"/>
      <c r="AP405" s="476"/>
      <c r="AQ405" s="476"/>
      <c r="AR405" s="476"/>
      <c r="AS405" s="476"/>
      <c r="AT405" s="476"/>
      <c r="AU405" s="476"/>
    </row>
    <row r="406" spans="1:47" s="398" customFormat="1" ht="13.15" customHeight="1" x14ac:dyDescent="0.2">
      <c r="A406" s="476"/>
      <c r="D406" s="467"/>
      <c r="F406" s="468"/>
      <c r="G406" s="468"/>
      <c r="H406" s="468"/>
      <c r="I406" s="468"/>
      <c r="J406" s="469"/>
      <c r="L406" s="476"/>
      <c r="M406" s="476"/>
      <c r="N406" s="476"/>
      <c r="O406" s="476"/>
      <c r="P406" s="476"/>
      <c r="Q406" s="476"/>
      <c r="R406" s="476"/>
      <c r="S406" s="476"/>
      <c r="T406" s="476"/>
      <c r="U406" s="476"/>
      <c r="V406" s="476"/>
      <c r="W406" s="476"/>
      <c r="X406" s="476"/>
      <c r="Y406" s="476"/>
      <c r="Z406" s="476"/>
      <c r="AA406" s="476"/>
      <c r="AB406" s="476"/>
      <c r="AC406" s="476"/>
      <c r="AD406" s="476"/>
      <c r="AE406" s="476"/>
      <c r="AF406" s="476"/>
      <c r="AG406" s="476"/>
      <c r="AH406" s="476"/>
      <c r="AI406" s="476"/>
      <c r="AJ406" s="476"/>
      <c r="AK406" s="476"/>
      <c r="AL406" s="476"/>
      <c r="AM406" s="476"/>
      <c r="AN406" s="476"/>
      <c r="AO406" s="476"/>
      <c r="AP406" s="476"/>
      <c r="AQ406" s="476"/>
      <c r="AR406" s="476"/>
      <c r="AS406" s="476"/>
      <c r="AT406" s="476"/>
      <c r="AU406" s="476"/>
    </row>
    <row r="407" spans="1:47" s="398" customFormat="1" ht="13.15" customHeight="1" x14ac:dyDescent="0.2">
      <c r="A407" s="476"/>
      <c r="D407" s="467"/>
      <c r="F407" s="468"/>
      <c r="G407" s="468"/>
      <c r="H407" s="468"/>
      <c r="I407" s="468"/>
      <c r="J407" s="469"/>
      <c r="L407" s="476"/>
      <c r="M407" s="476"/>
      <c r="N407" s="476"/>
      <c r="O407" s="476"/>
      <c r="P407" s="476"/>
      <c r="Q407" s="476"/>
      <c r="R407" s="476"/>
      <c r="S407" s="476"/>
      <c r="T407" s="476"/>
      <c r="U407" s="476"/>
      <c r="V407" s="476"/>
      <c r="W407" s="476"/>
      <c r="X407" s="476"/>
      <c r="Y407" s="476"/>
      <c r="Z407" s="476"/>
      <c r="AA407" s="476"/>
      <c r="AB407" s="476"/>
      <c r="AC407" s="476"/>
      <c r="AD407" s="476"/>
      <c r="AE407" s="476"/>
      <c r="AF407" s="476"/>
      <c r="AG407" s="476"/>
      <c r="AH407" s="476"/>
      <c r="AI407" s="476"/>
      <c r="AJ407" s="476"/>
      <c r="AK407" s="476"/>
      <c r="AL407" s="476"/>
      <c r="AM407" s="476"/>
      <c r="AN407" s="476"/>
      <c r="AO407" s="476"/>
      <c r="AP407" s="476"/>
      <c r="AQ407" s="476"/>
      <c r="AR407" s="476"/>
      <c r="AS407" s="476"/>
      <c r="AT407" s="476"/>
      <c r="AU407" s="476"/>
    </row>
    <row r="408" spans="1:47" s="398" customFormat="1" ht="13.15" customHeight="1" x14ac:dyDescent="0.2">
      <c r="A408" s="476"/>
      <c r="D408" s="467"/>
      <c r="F408" s="468"/>
      <c r="G408" s="468"/>
      <c r="H408" s="468"/>
      <c r="I408" s="468"/>
      <c r="J408" s="469"/>
      <c r="L408" s="476"/>
      <c r="M408" s="476"/>
      <c r="N408" s="476"/>
      <c r="O408" s="476"/>
      <c r="P408" s="476"/>
      <c r="Q408" s="476"/>
      <c r="R408" s="476"/>
      <c r="S408" s="476"/>
      <c r="T408" s="476"/>
      <c r="U408" s="476"/>
      <c r="V408" s="476"/>
      <c r="W408" s="476"/>
      <c r="X408" s="476"/>
      <c r="Y408" s="476"/>
      <c r="Z408" s="476"/>
      <c r="AA408" s="476"/>
      <c r="AB408" s="476"/>
      <c r="AC408" s="476"/>
      <c r="AD408" s="476"/>
      <c r="AE408" s="476"/>
      <c r="AF408" s="476"/>
      <c r="AG408" s="476"/>
      <c r="AH408" s="476"/>
      <c r="AI408" s="476"/>
      <c r="AJ408" s="476"/>
      <c r="AK408" s="476"/>
      <c r="AL408" s="476"/>
      <c r="AM408" s="476"/>
      <c r="AN408" s="476"/>
      <c r="AO408" s="476"/>
      <c r="AP408" s="476"/>
      <c r="AQ408" s="476"/>
      <c r="AR408" s="476"/>
      <c r="AS408" s="476"/>
      <c r="AT408" s="476"/>
      <c r="AU408" s="476"/>
    </row>
    <row r="409" spans="1:47" s="398" customFormat="1" ht="13.15" customHeight="1" x14ac:dyDescent="0.2">
      <c r="A409" s="476"/>
      <c r="D409" s="467"/>
      <c r="F409" s="468"/>
      <c r="G409" s="468"/>
      <c r="H409" s="468"/>
      <c r="I409" s="468"/>
      <c r="J409" s="469"/>
      <c r="L409" s="476"/>
      <c r="M409" s="476"/>
      <c r="N409" s="476"/>
      <c r="O409" s="476"/>
      <c r="P409" s="476"/>
      <c r="Q409" s="476"/>
      <c r="R409" s="476"/>
      <c r="S409" s="476"/>
      <c r="T409" s="476"/>
      <c r="U409" s="476"/>
      <c r="V409" s="476"/>
      <c r="W409" s="476"/>
      <c r="X409" s="476"/>
      <c r="Y409" s="476"/>
      <c r="Z409" s="476"/>
      <c r="AA409" s="476"/>
      <c r="AB409" s="476"/>
      <c r="AC409" s="476"/>
      <c r="AD409" s="476"/>
      <c r="AE409" s="476"/>
      <c r="AF409" s="476"/>
      <c r="AG409" s="476"/>
      <c r="AH409" s="476"/>
      <c r="AI409" s="476"/>
      <c r="AJ409" s="476"/>
      <c r="AK409" s="476"/>
      <c r="AL409" s="476"/>
      <c r="AM409" s="476"/>
      <c r="AN409" s="476"/>
      <c r="AO409" s="476"/>
      <c r="AP409" s="476"/>
      <c r="AQ409" s="476"/>
      <c r="AR409" s="476"/>
      <c r="AS409" s="476"/>
      <c r="AT409" s="476"/>
      <c r="AU409" s="476"/>
    </row>
    <row r="410" spans="1:47" s="398" customFormat="1" ht="13.15" customHeight="1" x14ac:dyDescent="0.2">
      <c r="A410" s="476"/>
      <c r="D410" s="467"/>
      <c r="F410" s="468"/>
      <c r="G410" s="468"/>
      <c r="H410" s="468"/>
      <c r="I410" s="468"/>
      <c r="J410" s="469"/>
      <c r="L410" s="476"/>
      <c r="M410" s="476"/>
      <c r="N410" s="476"/>
      <c r="O410" s="476"/>
      <c r="P410" s="476"/>
      <c r="Q410" s="476"/>
      <c r="R410" s="476"/>
      <c r="S410" s="476"/>
      <c r="T410" s="476"/>
      <c r="U410" s="476"/>
      <c r="V410" s="476"/>
      <c r="W410" s="476"/>
      <c r="X410" s="476"/>
      <c r="Y410" s="476"/>
      <c r="Z410" s="476"/>
      <c r="AA410" s="476"/>
      <c r="AB410" s="476"/>
      <c r="AC410" s="476"/>
      <c r="AD410" s="476"/>
      <c r="AE410" s="476"/>
      <c r="AF410" s="476"/>
      <c r="AG410" s="476"/>
      <c r="AH410" s="476"/>
      <c r="AI410" s="476"/>
      <c r="AJ410" s="476"/>
      <c r="AK410" s="476"/>
      <c r="AL410" s="476"/>
      <c r="AM410" s="476"/>
      <c r="AN410" s="476"/>
      <c r="AO410" s="476"/>
      <c r="AP410" s="476"/>
      <c r="AQ410" s="476"/>
      <c r="AR410" s="476"/>
      <c r="AS410" s="476"/>
      <c r="AT410" s="476"/>
      <c r="AU410" s="476"/>
    </row>
    <row r="411" spans="1:47" s="398" customFormat="1" ht="13.15" customHeight="1" x14ac:dyDescent="0.2">
      <c r="A411" s="476"/>
      <c r="D411" s="467"/>
      <c r="F411" s="468"/>
      <c r="G411" s="468"/>
      <c r="H411" s="468"/>
      <c r="I411" s="468"/>
      <c r="J411" s="469"/>
      <c r="L411" s="476"/>
      <c r="M411" s="476"/>
      <c r="N411" s="476"/>
      <c r="O411" s="476"/>
      <c r="P411" s="476"/>
      <c r="Q411" s="476"/>
      <c r="R411" s="476"/>
      <c r="S411" s="476"/>
      <c r="T411" s="476"/>
      <c r="U411" s="476"/>
      <c r="V411" s="476"/>
      <c r="W411" s="476"/>
      <c r="X411" s="476"/>
      <c r="Y411" s="476"/>
      <c r="Z411" s="476"/>
      <c r="AA411" s="476"/>
      <c r="AB411" s="476"/>
      <c r="AC411" s="476"/>
      <c r="AD411" s="476"/>
      <c r="AE411" s="476"/>
      <c r="AF411" s="476"/>
      <c r="AG411" s="476"/>
      <c r="AH411" s="476"/>
      <c r="AI411" s="476"/>
      <c r="AJ411" s="476"/>
      <c r="AK411" s="476"/>
      <c r="AL411" s="476"/>
      <c r="AM411" s="476"/>
      <c r="AN411" s="476"/>
      <c r="AO411" s="476"/>
      <c r="AP411" s="476"/>
      <c r="AQ411" s="476"/>
      <c r="AR411" s="476"/>
      <c r="AS411" s="476"/>
      <c r="AT411" s="476"/>
      <c r="AU411" s="476"/>
    </row>
    <row r="412" spans="1:47" s="398" customFormat="1" ht="13.15" customHeight="1" x14ac:dyDescent="0.2">
      <c r="A412" s="476"/>
      <c r="D412" s="467"/>
      <c r="F412" s="468"/>
      <c r="G412" s="468"/>
      <c r="H412" s="468"/>
      <c r="I412" s="468"/>
      <c r="J412" s="469"/>
      <c r="L412" s="476"/>
      <c r="M412" s="476"/>
      <c r="N412" s="476"/>
      <c r="O412" s="476"/>
      <c r="P412" s="476"/>
      <c r="Q412" s="476"/>
      <c r="R412" s="476"/>
      <c r="S412" s="476"/>
      <c r="T412" s="476"/>
      <c r="U412" s="476"/>
      <c r="V412" s="476"/>
      <c r="W412" s="476"/>
      <c r="X412" s="476"/>
      <c r="Y412" s="476"/>
      <c r="Z412" s="476"/>
      <c r="AA412" s="476"/>
      <c r="AB412" s="476"/>
      <c r="AC412" s="476"/>
      <c r="AD412" s="476"/>
      <c r="AE412" s="476"/>
      <c r="AF412" s="476"/>
      <c r="AG412" s="476"/>
      <c r="AH412" s="476"/>
      <c r="AI412" s="476"/>
      <c r="AJ412" s="476"/>
      <c r="AK412" s="476"/>
      <c r="AL412" s="476"/>
      <c r="AM412" s="476"/>
      <c r="AN412" s="476"/>
      <c r="AO412" s="476"/>
      <c r="AP412" s="476"/>
      <c r="AQ412" s="476"/>
      <c r="AR412" s="476"/>
      <c r="AS412" s="476"/>
      <c r="AT412" s="476"/>
      <c r="AU412" s="476"/>
    </row>
    <row r="413" spans="1:47" s="398" customFormat="1" ht="13.15" customHeight="1" x14ac:dyDescent="0.2">
      <c r="A413" s="476"/>
      <c r="D413" s="467"/>
      <c r="F413" s="468"/>
      <c r="G413" s="468"/>
      <c r="H413" s="468"/>
      <c r="I413" s="468"/>
      <c r="J413" s="469"/>
      <c r="L413" s="476"/>
      <c r="M413" s="476"/>
      <c r="N413" s="476"/>
      <c r="O413" s="476"/>
      <c r="P413" s="476"/>
      <c r="Q413" s="476"/>
      <c r="R413" s="476"/>
      <c r="S413" s="476"/>
      <c r="T413" s="476"/>
      <c r="U413" s="476"/>
      <c r="V413" s="476"/>
      <c r="W413" s="476"/>
      <c r="X413" s="476"/>
      <c r="Y413" s="476"/>
      <c r="Z413" s="476"/>
      <c r="AA413" s="476"/>
      <c r="AB413" s="476"/>
      <c r="AC413" s="476"/>
      <c r="AD413" s="476"/>
      <c r="AE413" s="476"/>
      <c r="AF413" s="476"/>
      <c r="AG413" s="476"/>
      <c r="AH413" s="476"/>
      <c r="AI413" s="476"/>
      <c r="AJ413" s="476"/>
      <c r="AK413" s="476"/>
      <c r="AL413" s="476"/>
      <c r="AM413" s="476"/>
      <c r="AN413" s="476"/>
      <c r="AO413" s="476"/>
      <c r="AP413" s="476"/>
      <c r="AQ413" s="476"/>
      <c r="AR413" s="476"/>
      <c r="AS413" s="476"/>
      <c r="AT413" s="476"/>
      <c r="AU413" s="476"/>
    </row>
    <row r="414" spans="1:47" s="398" customFormat="1" ht="13.15" customHeight="1" x14ac:dyDescent="0.2">
      <c r="A414" s="476"/>
      <c r="D414" s="467"/>
      <c r="F414" s="468"/>
      <c r="G414" s="468"/>
      <c r="H414" s="468"/>
      <c r="I414" s="468"/>
      <c r="J414" s="469"/>
      <c r="L414" s="476"/>
      <c r="M414" s="476"/>
      <c r="N414" s="476"/>
      <c r="O414" s="476"/>
      <c r="P414" s="476"/>
      <c r="Q414" s="476"/>
      <c r="R414" s="476"/>
      <c r="S414" s="476"/>
      <c r="T414" s="476"/>
      <c r="U414" s="476"/>
      <c r="V414" s="476"/>
      <c r="W414" s="476"/>
      <c r="X414" s="476"/>
      <c r="Y414" s="476"/>
      <c r="Z414" s="476"/>
      <c r="AA414" s="476"/>
      <c r="AB414" s="476"/>
      <c r="AC414" s="476"/>
      <c r="AD414" s="476"/>
      <c r="AE414" s="476"/>
      <c r="AF414" s="476"/>
      <c r="AG414" s="476"/>
      <c r="AH414" s="476"/>
      <c r="AI414" s="476"/>
      <c r="AJ414" s="476"/>
      <c r="AK414" s="476"/>
      <c r="AL414" s="476"/>
      <c r="AM414" s="476"/>
      <c r="AN414" s="476"/>
      <c r="AO414" s="476"/>
      <c r="AP414" s="476"/>
      <c r="AQ414" s="476"/>
      <c r="AR414" s="476"/>
      <c r="AS414" s="476"/>
      <c r="AT414" s="476"/>
      <c r="AU414" s="476"/>
    </row>
    <row r="415" spans="1:47" s="398" customFormat="1" ht="13.15" customHeight="1" x14ac:dyDescent="0.2">
      <c r="A415" s="476"/>
      <c r="D415" s="467"/>
      <c r="F415" s="468"/>
      <c r="G415" s="468"/>
      <c r="H415" s="468"/>
      <c r="I415" s="468"/>
      <c r="J415" s="469"/>
      <c r="L415" s="476"/>
      <c r="M415" s="476"/>
      <c r="N415" s="476"/>
      <c r="O415" s="476"/>
      <c r="P415" s="476"/>
      <c r="Q415" s="476"/>
      <c r="R415" s="476"/>
      <c r="S415" s="476"/>
      <c r="T415" s="476"/>
      <c r="U415" s="476"/>
      <c r="V415" s="476"/>
      <c r="W415" s="476"/>
      <c r="X415" s="476"/>
      <c r="Y415" s="476"/>
      <c r="Z415" s="476"/>
      <c r="AA415" s="476"/>
      <c r="AB415" s="476"/>
      <c r="AC415" s="476"/>
      <c r="AD415" s="476"/>
      <c r="AE415" s="476"/>
      <c r="AF415" s="476"/>
      <c r="AG415" s="476"/>
      <c r="AH415" s="476"/>
      <c r="AI415" s="476"/>
      <c r="AJ415" s="476"/>
      <c r="AK415" s="476"/>
      <c r="AL415" s="476"/>
      <c r="AM415" s="476"/>
      <c r="AN415" s="476"/>
      <c r="AO415" s="476"/>
      <c r="AP415" s="476"/>
      <c r="AQ415" s="476"/>
      <c r="AR415" s="476"/>
      <c r="AS415" s="476"/>
      <c r="AT415" s="476"/>
      <c r="AU415" s="476"/>
    </row>
    <row r="416" spans="1:47" s="398" customFormat="1" ht="13.15" customHeight="1" x14ac:dyDescent="0.2">
      <c r="A416" s="476"/>
      <c r="D416" s="467"/>
      <c r="F416" s="468"/>
      <c r="G416" s="468"/>
      <c r="H416" s="468"/>
      <c r="I416" s="468"/>
      <c r="J416" s="469"/>
      <c r="L416" s="476"/>
      <c r="M416" s="476"/>
      <c r="N416" s="476"/>
      <c r="O416" s="476"/>
      <c r="P416" s="476"/>
      <c r="Q416" s="476"/>
      <c r="R416" s="476"/>
      <c r="S416" s="476"/>
      <c r="T416" s="476"/>
      <c r="U416" s="476"/>
      <c r="V416" s="476"/>
      <c r="W416" s="476"/>
      <c r="X416" s="476"/>
      <c r="Y416" s="476"/>
      <c r="Z416" s="476"/>
      <c r="AA416" s="476"/>
      <c r="AB416" s="476"/>
      <c r="AC416" s="476"/>
      <c r="AD416" s="476"/>
      <c r="AE416" s="476"/>
      <c r="AF416" s="476"/>
      <c r="AG416" s="476"/>
      <c r="AH416" s="476"/>
      <c r="AI416" s="476"/>
      <c r="AJ416" s="476"/>
      <c r="AK416" s="476"/>
      <c r="AL416" s="476"/>
      <c r="AM416" s="476"/>
      <c r="AN416" s="476"/>
      <c r="AO416" s="476"/>
      <c r="AP416" s="476"/>
      <c r="AQ416" s="476"/>
      <c r="AR416" s="476"/>
      <c r="AS416" s="476"/>
      <c r="AT416" s="476"/>
      <c r="AU416" s="476"/>
    </row>
    <row r="417" spans="1:47" s="398" customFormat="1" ht="13.15" customHeight="1" x14ac:dyDescent="0.2">
      <c r="A417" s="476"/>
      <c r="D417" s="467"/>
      <c r="F417" s="468"/>
      <c r="G417" s="468"/>
      <c r="H417" s="468"/>
      <c r="I417" s="468"/>
      <c r="J417" s="469"/>
      <c r="L417" s="476"/>
      <c r="M417" s="476"/>
      <c r="N417" s="476"/>
      <c r="O417" s="476"/>
      <c r="P417" s="476"/>
      <c r="Q417" s="476"/>
      <c r="R417" s="476"/>
      <c r="S417" s="476"/>
      <c r="T417" s="476"/>
      <c r="U417" s="476"/>
      <c r="V417" s="476"/>
      <c r="W417" s="476"/>
      <c r="X417" s="476"/>
      <c r="Y417" s="476"/>
      <c r="Z417" s="476"/>
      <c r="AA417" s="476"/>
      <c r="AB417" s="476"/>
      <c r="AC417" s="476"/>
      <c r="AD417" s="476"/>
      <c r="AE417" s="476"/>
      <c r="AF417" s="476"/>
      <c r="AG417" s="476"/>
      <c r="AH417" s="476"/>
      <c r="AI417" s="476"/>
      <c r="AJ417" s="476"/>
      <c r="AK417" s="476"/>
      <c r="AL417" s="476"/>
      <c r="AM417" s="476"/>
      <c r="AN417" s="476"/>
      <c r="AO417" s="476"/>
      <c r="AP417" s="476"/>
      <c r="AQ417" s="476"/>
      <c r="AR417" s="476"/>
      <c r="AS417" s="476"/>
      <c r="AT417" s="476"/>
      <c r="AU417" s="476"/>
    </row>
    <row r="418" spans="1:47" s="398" customFormat="1" ht="13.15" customHeight="1" x14ac:dyDescent="0.2">
      <c r="A418" s="476"/>
      <c r="D418" s="467"/>
      <c r="F418" s="468"/>
      <c r="G418" s="468"/>
      <c r="H418" s="468"/>
      <c r="I418" s="468"/>
      <c r="J418" s="469"/>
      <c r="L418" s="476"/>
      <c r="M418" s="476"/>
      <c r="N418" s="476"/>
      <c r="O418" s="476"/>
      <c r="P418" s="476"/>
      <c r="Q418" s="476"/>
      <c r="R418" s="476"/>
      <c r="S418" s="476"/>
      <c r="T418" s="476"/>
      <c r="U418" s="476"/>
      <c r="V418" s="476"/>
      <c r="W418" s="476"/>
      <c r="X418" s="476"/>
      <c r="Y418" s="476"/>
      <c r="Z418" s="476"/>
      <c r="AA418" s="476"/>
      <c r="AB418" s="476"/>
      <c r="AC418" s="476"/>
      <c r="AD418" s="476"/>
      <c r="AE418" s="476"/>
      <c r="AF418" s="476"/>
      <c r="AG418" s="476"/>
      <c r="AH418" s="476"/>
      <c r="AI418" s="476"/>
      <c r="AJ418" s="476"/>
      <c r="AK418" s="476"/>
      <c r="AL418" s="476"/>
      <c r="AM418" s="476"/>
      <c r="AN418" s="476"/>
      <c r="AO418" s="476"/>
      <c r="AP418" s="476"/>
      <c r="AQ418" s="476"/>
      <c r="AR418" s="476"/>
      <c r="AS418" s="476"/>
      <c r="AT418" s="476"/>
      <c r="AU418" s="476"/>
    </row>
    <row r="419" spans="1:47" s="398" customFormat="1" ht="13.15" customHeight="1" x14ac:dyDescent="0.2">
      <c r="A419" s="476"/>
      <c r="D419" s="467"/>
      <c r="F419" s="468"/>
      <c r="G419" s="468"/>
      <c r="H419" s="468"/>
      <c r="I419" s="468"/>
      <c r="J419" s="469"/>
      <c r="L419" s="476"/>
      <c r="M419" s="476"/>
      <c r="N419" s="476"/>
      <c r="O419" s="476"/>
      <c r="P419" s="476"/>
      <c r="Q419" s="476"/>
      <c r="R419" s="476"/>
      <c r="S419" s="476"/>
      <c r="T419" s="476"/>
      <c r="U419" s="476"/>
      <c r="V419" s="476"/>
      <c r="W419" s="476"/>
      <c r="X419" s="476"/>
      <c r="Y419" s="476"/>
      <c r="Z419" s="476"/>
      <c r="AA419" s="476"/>
      <c r="AB419" s="476"/>
      <c r="AC419" s="476"/>
      <c r="AD419" s="476"/>
      <c r="AE419" s="476"/>
      <c r="AF419" s="476"/>
      <c r="AG419" s="476"/>
      <c r="AH419" s="476"/>
      <c r="AI419" s="476"/>
      <c r="AJ419" s="476"/>
      <c r="AK419" s="476"/>
      <c r="AL419" s="476"/>
      <c r="AM419" s="476"/>
      <c r="AN419" s="476"/>
      <c r="AO419" s="476"/>
      <c r="AP419" s="476"/>
      <c r="AQ419" s="476"/>
      <c r="AR419" s="476"/>
      <c r="AS419" s="476"/>
      <c r="AT419" s="476"/>
      <c r="AU419" s="476"/>
    </row>
    <row r="420" spans="1:47" s="398" customFormat="1" ht="13.15" customHeight="1" x14ac:dyDescent="0.2">
      <c r="A420" s="476"/>
      <c r="D420" s="467"/>
      <c r="F420" s="468"/>
      <c r="G420" s="468"/>
      <c r="H420" s="468"/>
      <c r="I420" s="468"/>
      <c r="J420" s="469"/>
      <c r="L420" s="476"/>
      <c r="M420" s="476"/>
      <c r="N420" s="476"/>
      <c r="O420" s="476"/>
      <c r="P420" s="476"/>
      <c r="Q420" s="476"/>
      <c r="R420" s="476"/>
      <c r="S420" s="476"/>
      <c r="T420" s="476"/>
      <c r="U420" s="476"/>
      <c r="V420" s="476"/>
      <c r="W420" s="476"/>
      <c r="X420" s="476"/>
      <c r="Y420" s="476"/>
      <c r="Z420" s="476"/>
      <c r="AA420" s="476"/>
      <c r="AB420" s="476"/>
      <c r="AC420" s="476"/>
      <c r="AD420" s="476"/>
      <c r="AE420" s="476"/>
      <c r="AF420" s="476"/>
      <c r="AG420" s="476"/>
      <c r="AH420" s="476"/>
      <c r="AI420" s="476"/>
      <c r="AJ420" s="476"/>
      <c r="AK420" s="476"/>
      <c r="AL420" s="476"/>
      <c r="AM420" s="476"/>
      <c r="AN420" s="476"/>
      <c r="AO420" s="476"/>
      <c r="AP420" s="476"/>
      <c r="AQ420" s="476"/>
      <c r="AR420" s="476"/>
      <c r="AS420" s="476"/>
      <c r="AT420" s="476"/>
      <c r="AU420" s="476"/>
    </row>
    <row r="421" spans="1:47" s="398" customFormat="1" ht="13.15" customHeight="1" x14ac:dyDescent="0.2">
      <c r="A421" s="476"/>
      <c r="D421" s="467"/>
      <c r="F421" s="468"/>
      <c r="G421" s="468"/>
      <c r="H421" s="468"/>
      <c r="I421" s="468"/>
      <c r="J421" s="469"/>
      <c r="L421" s="476"/>
      <c r="M421" s="476"/>
      <c r="N421" s="476"/>
      <c r="O421" s="476"/>
      <c r="P421" s="476"/>
      <c r="Q421" s="476"/>
      <c r="R421" s="476"/>
      <c r="S421" s="476"/>
      <c r="T421" s="476"/>
      <c r="U421" s="476"/>
      <c r="V421" s="476"/>
      <c r="W421" s="476"/>
      <c r="X421" s="476"/>
      <c r="Y421" s="476"/>
      <c r="Z421" s="476"/>
      <c r="AA421" s="476"/>
      <c r="AB421" s="476"/>
      <c r="AC421" s="476"/>
      <c r="AD421" s="476"/>
      <c r="AE421" s="476"/>
      <c r="AF421" s="476"/>
      <c r="AG421" s="476"/>
      <c r="AH421" s="476"/>
      <c r="AI421" s="476"/>
      <c r="AJ421" s="476"/>
      <c r="AK421" s="476"/>
      <c r="AL421" s="476"/>
      <c r="AM421" s="476"/>
      <c r="AN421" s="476"/>
      <c r="AO421" s="476"/>
      <c r="AP421" s="476"/>
      <c r="AQ421" s="476"/>
      <c r="AR421" s="476"/>
      <c r="AS421" s="476"/>
      <c r="AT421" s="476"/>
      <c r="AU421" s="476"/>
    </row>
    <row r="422" spans="1:47" s="398" customFormat="1" ht="13.15" customHeight="1" x14ac:dyDescent="0.2">
      <c r="A422" s="476"/>
      <c r="D422" s="467"/>
      <c r="F422" s="468"/>
      <c r="G422" s="468"/>
      <c r="H422" s="468"/>
      <c r="I422" s="468"/>
      <c r="J422" s="469"/>
      <c r="L422" s="476"/>
      <c r="M422" s="476"/>
      <c r="N422" s="476"/>
      <c r="O422" s="476"/>
      <c r="P422" s="476"/>
      <c r="Q422" s="476"/>
      <c r="R422" s="476"/>
      <c r="S422" s="476"/>
      <c r="T422" s="476"/>
      <c r="U422" s="476"/>
      <c r="V422" s="476"/>
      <c r="W422" s="476"/>
      <c r="X422" s="476"/>
      <c r="Y422" s="476"/>
      <c r="Z422" s="476"/>
      <c r="AA422" s="476"/>
      <c r="AB422" s="476"/>
      <c r="AC422" s="476"/>
      <c r="AD422" s="476"/>
      <c r="AE422" s="476"/>
      <c r="AF422" s="476"/>
      <c r="AG422" s="476"/>
      <c r="AH422" s="476"/>
      <c r="AI422" s="476"/>
      <c r="AJ422" s="476"/>
      <c r="AK422" s="476"/>
      <c r="AL422" s="476"/>
      <c r="AM422" s="476"/>
      <c r="AN422" s="476"/>
      <c r="AO422" s="476"/>
      <c r="AP422" s="476"/>
      <c r="AQ422" s="476"/>
      <c r="AR422" s="476"/>
      <c r="AS422" s="476"/>
      <c r="AT422" s="476"/>
      <c r="AU422" s="476"/>
    </row>
    <row r="423" spans="1:47" s="398" customFormat="1" ht="13.15" customHeight="1" x14ac:dyDescent="0.2">
      <c r="A423" s="476"/>
      <c r="D423" s="467"/>
      <c r="F423" s="468"/>
      <c r="G423" s="468"/>
      <c r="H423" s="468"/>
      <c r="I423" s="468"/>
      <c r="J423" s="469"/>
      <c r="L423" s="476"/>
      <c r="M423" s="476"/>
      <c r="N423" s="476"/>
      <c r="O423" s="476"/>
      <c r="P423" s="476"/>
      <c r="Q423" s="476"/>
      <c r="R423" s="476"/>
      <c r="S423" s="476"/>
      <c r="T423" s="476"/>
      <c r="U423" s="476"/>
      <c r="V423" s="476"/>
      <c r="W423" s="476"/>
      <c r="X423" s="476"/>
      <c r="Y423" s="476"/>
      <c r="Z423" s="476"/>
      <c r="AA423" s="476"/>
      <c r="AB423" s="476"/>
      <c r="AC423" s="476"/>
      <c r="AD423" s="476"/>
      <c r="AE423" s="476"/>
      <c r="AF423" s="476"/>
      <c r="AG423" s="476"/>
      <c r="AH423" s="476"/>
      <c r="AI423" s="476"/>
      <c r="AJ423" s="476"/>
      <c r="AK423" s="476"/>
      <c r="AL423" s="476"/>
      <c r="AM423" s="476"/>
      <c r="AN423" s="476"/>
      <c r="AO423" s="476"/>
      <c r="AP423" s="476"/>
      <c r="AQ423" s="476"/>
      <c r="AR423" s="476"/>
      <c r="AS423" s="476"/>
      <c r="AT423" s="476"/>
      <c r="AU423" s="476"/>
    </row>
    <row r="424" spans="1:47" s="398" customFormat="1" ht="13.15" customHeight="1" x14ac:dyDescent="0.2">
      <c r="A424" s="476"/>
      <c r="D424" s="467"/>
      <c r="F424" s="468"/>
      <c r="G424" s="468"/>
      <c r="H424" s="468"/>
      <c r="I424" s="468"/>
      <c r="J424" s="469"/>
      <c r="L424" s="476"/>
      <c r="M424" s="476"/>
      <c r="N424" s="476"/>
      <c r="O424" s="476"/>
      <c r="P424" s="476"/>
      <c r="Q424" s="476"/>
      <c r="R424" s="476"/>
      <c r="S424" s="476"/>
      <c r="T424" s="476"/>
      <c r="U424" s="476"/>
      <c r="V424" s="476"/>
      <c r="W424" s="476"/>
      <c r="X424" s="476"/>
      <c r="Y424" s="476"/>
      <c r="Z424" s="476"/>
      <c r="AA424" s="476"/>
      <c r="AB424" s="476"/>
      <c r="AC424" s="476"/>
      <c r="AD424" s="476"/>
      <c r="AE424" s="476"/>
      <c r="AF424" s="476"/>
      <c r="AG424" s="476"/>
      <c r="AH424" s="476"/>
      <c r="AI424" s="476"/>
      <c r="AJ424" s="476"/>
      <c r="AK424" s="476"/>
      <c r="AL424" s="476"/>
      <c r="AM424" s="476"/>
      <c r="AN424" s="476"/>
      <c r="AO424" s="476"/>
      <c r="AP424" s="476"/>
      <c r="AQ424" s="476"/>
      <c r="AR424" s="476"/>
      <c r="AS424" s="476"/>
      <c r="AT424" s="476"/>
      <c r="AU424" s="476"/>
    </row>
    <row r="425" spans="1:47" s="398" customFormat="1" ht="13.15" customHeight="1" x14ac:dyDescent="0.2">
      <c r="A425" s="476"/>
      <c r="D425" s="467"/>
      <c r="F425" s="468"/>
      <c r="G425" s="468"/>
      <c r="H425" s="468"/>
      <c r="I425" s="468"/>
      <c r="J425" s="469"/>
      <c r="L425" s="476"/>
      <c r="M425" s="476"/>
      <c r="N425" s="476"/>
      <c r="O425" s="476"/>
      <c r="P425" s="476"/>
      <c r="Q425" s="476"/>
      <c r="R425" s="476"/>
      <c r="S425" s="476"/>
      <c r="T425" s="476"/>
      <c r="U425" s="476"/>
      <c r="V425" s="476"/>
      <c r="W425" s="476"/>
      <c r="X425" s="476"/>
      <c r="Y425" s="476"/>
      <c r="Z425" s="476"/>
      <c r="AA425" s="476"/>
      <c r="AB425" s="476"/>
      <c r="AC425" s="476"/>
      <c r="AD425" s="476"/>
      <c r="AE425" s="476"/>
      <c r="AF425" s="476"/>
      <c r="AG425" s="476"/>
      <c r="AH425" s="476"/>
      <c r="AI425" s="476"/>
      <c r="AJ425" s="476"/>
      <c r="AK425" s="476"/>
      <c r="AL425" s="476"/>
      <c r="AM425" s="476"/>
      <c r="AN425" s="476"/>
      <c r="AO425" s="476"/>
      <c r="AP425" s="476"/>
      <c r="AQ425" s="476"/>
      <c r="AR425" s="476"/>
      <c r="AS425" s="476"/>
      <c r="AT425" s="476"/>
      <c r="AU425" s="476"/>
    </row>
    <row r="426" spans="1:47" s="398" customFormat="1" ht="13.15" customHeight="1" x14ac:dyDescent="0.2">
      <c r="A426" s="476"/>
      <c r="D426" s="467"/>
      <c r="F426" s="468"/>
      <c r="G426" s="468"/>
      <c r="H426" s="468"/>
      <c r="I426" s="468"/>
      <c r="J426" s="469"/>
      <c r="L426" s="476"/>
      <c r="M426" s="476"/>
      <c r="N426" s="476"/>
      <c r="O426" s="476"/>
      <c r="P426" s="476"/>
      <c r="Q426" s="476"/>
      <c r="R426" s="476"/>
      <c r="S426" s="476"/>
      <c r="T426" s="476"/>
      <c r="U426" s="476"/>
      <c r="V426" s="476"/>
      <c r="W426" s="476"/>
      <c r="X426" s="476"/>
      <c r="Y426" s="476"/>
      <c r="Z426" s="476"/>
      <c r="AA426" s="476"/>
      <c r="AB426" s="476"/>
      <c r="AC426" s="476"/>
      <c r="AD426" s="476"/>
      <c r="AE426" s="476"/>
      <c r="AF426" s="476"/>
      <c r="AG426" s="476"/>
      <c r="AH426" s="476"/>
      <c r="AI426" s="476"/>
      <c r="AJ426" s="476"/>
      <c r="AK426" s="476"/>
      <c r="AL426" s="476"/>
      <c r="AM426" s="476"/>
      <c r="AN426" s="476"/>
      <c r="AO426" s="476"/>
      <c r="AP426" s="476"/>
      <c r="AQ426" s="476"/>
      <c r="AR426" s="476"/>
      <c r="AS426" s="476"/>
      <c r="AT426" s="476"/>
      <c r="AU426" s="476"/>
    </row>
    <row r="427" spans="1:47" s="398" customFormat="1" ht="13.15" customHeight="1" x14ac:dyDescent="0.2">
      <c r="A427" s="476"/>
      <c r="D427" s="467"/>
      <c r="F427" s="468"/>
      <c r="G427" s="468"/>
      <c r="H427" s="468"/>
      <c r="I427" s="468"/>
      <c r="J427" s="469"/>
      <c r="L427" s="476"/>
      <c r="M427" s="476"/>
      <c r="N427" s="476"/>
      <c r="O427" s="476"/>
      <c r="P427" s="476"/>
      <c r="Q427" s="476"/>
      <c r="R427" s="476"/>
      <c r="S427" s="476"/>
      <c r="T427" s="476"/>
      <c r="U427" s="476"/>
      <c r="V427" s="476"/>
      <c r="W427" s="476"/>
      <c r="X427" s="476"/>
      <c r="Y427" s="476"/>
      <c r="Z427" s="476"/>
      <c r="AA427" s="476"/>
      <c r="AB427" s="476"/>
      <c r="AC427" s="476"/>
      <c r="AD427" s="476"/>
      <c r="AE427" s="476"/>
      <c r="AF427" s="476"/>
      <c r="AG427" s="476"/>
      <c r="AH427" s="476"/>
      <c r="AI427" s="476"/>
      <c r="AJ427" s="476"/>
      <c r="AK427" s="476"/>
      <c r="AL427" s="476"/>
      <c r="AM427" s="476"/>
      <c r="AN427" s="476"/>
      <c r="AO427" s="476"/>
      <c r="AP427" s="476"/>
      <c r="AQ427" s="476"/>
      <c r="AR427" s="476"/>
      <c r="AS427" s="476"/>
      <c r="AT427" s="476"/>
      <c r="AU427" s="476"/>
    </row>
    <row r="428" spans="1:47" s="398" customFormat="1" ht="13.15" customHeight="1" x14ac:dyDescent="0.2">
      <c r="A428" s="476"/>
      <c r="D428" s="467"/>
      <c r="F428" s="468"/>
      <c r="G428" s="468"/>
      <c r="H428" s="468"/>
      <c r="I428" s="468"/>
      <c r="J428" s="469"/>
      <c r="L428" s="476"/>
      <c r="M428" s="476"/>
      <c r="N428" s="476"/>
      <c r="O428" s="476"/>
      <c r="P428" s="476"/>
      <c r="Q428" s="476"/>
      <c r="R428" s="476"/>
      <c r="S428" s="476"/>
      <c r="T428" s="476"/>
      <c r="U428" s="476"/>
      <c r="V428" s="476"/>
      <c r="W428" s="476"/>
      <c r="X428" s="476"/>
      <c r="Y428" s="476"/>
      <c r="Z428" s="476"/>
      <c r="AA428" s="476"/>
      <c r="AB428" s="476"/>
      <c r="AC428" s="476"/>
      <c r="AD428" s="476"/>
      <c r="AE428" s="476"/>
      <c r="AF428" s="476"/>
      <c r="AG428" s="476"/>
      <c r="AH428" s="476"/>
      <c r="AI428" s="476"/>
      <c r="AJ428" s="476"/>
      <c r="AK428" s="476"/>
      <c r="AL428" s="476"/>
      <c r="AM428" s="476"/>
      <c r="AN428" s="476"/>
      <c r="AO428" s="476"/>
      <c r="AP428" s="476"/>
      <c r="AQ428" s="476"/>
      <c r="AR428" s="476"/>
      <c r="AS428" s="476"/>
      <c r="AT428" s="476"/>
      <c r="AU428" s="476"/>
    </row>
    <row r="429" spans="1:47" s="398" customFormat="1" ht="13.15" customHeight="1" x14ac:dyDescent="0.2">
      <c r="A429" s="476"/>
      <c r="D429" s="467"/>
      <c r="F429" s="468"/>
      <c r="G429" s="468"/>
      <c r="H429" s="468"/>
      <c r="I429" s="468"/>
      <c r="J429" s="469"/>
      <c r="L429" s="476"/>
      <c r="M429" s="476"/>
      <c r="N429" s="476"/>
      <c r="O429" s="476"/>
      <c r="P429" s="476"/>
      <c r="Q429" s="476"/>
      <c r="R429" s="476"/>
      <c r="S429" s="476"/>
      <c r="T429" s="476"/>
      <c r="U429" s="476"/>
      <c r="V429" s="476"/>
      <c r="W429" s="476"/>
      <c r="X429" s="476"/>
      <c r="Y429" s="476"/>
      <c r="Z429" s="476"/>
      <c r="AA429" s="476"/>
      <c r="AB429" s="476"/>
      <c r="AC429" s="476"/>
      <c r="AD429" s="476"/>
      <c r="AE429" s="476"/>
      <c r="AF429" s="476"/>
      <c r="AG429" s="476"/>
      <c r="AH429" s="476"/>
      <c r="AI429" s="476"/>
      <c r="AJ429" s="476"/>
      <c r="AK429" s="476"/>
      <c r="AL429" s="476"/>
      <c r="AM429" s="476"/>
      <c r="AN429" s="476"/>
      <c r="AO429" s="476"/>
      <c r="AP429" s="476"/>
      <c r="AQ429" s="476"/>
      <c r="AR429" s="476"/>
      <c r="AS429" s="476"/>
      <c r="AT429" s="476"/>
      <c r="AU429" s="476"/>
    </row>
    <row r="430" spans="1:47" s="398" customFormat="1" ht="13.15" customHeight="1" x14ac:dyDescent="0.2">
      <c r="A430" s="476"/>
      <c r="D430" s="467"/>
      <c r="F430" s="468"/>
      <c r="G430" s="468"/>
      <c r="H430" s="468"/>
      <c r="I430" s="468"/>
      <c r="J430" s="469"/>
      <c r="L430" s="476"/>
      <c r="M430" s="476"/>
      <c r="N430" s="476"/>
      <c r="O430" s="476"/>
      <c r="P430" s="476"/>
      <c r="Q430" s="476"/>
      <c r="R430" s="476"/>
      <c r="S430" s="476"/>
      <c r="T430" s="476"/>
      <c r="U430" s="476"/>
      <c r="V430" s="476"/>
      <c r="W430" s="476"/>
      <c r="X430" s="476"/>
      <c r="Y430" s="476"/>
      <c r="Z430" s="476"/>
      <c r="AA430" s="476"/>
      <c r="AB430" s="476"/>
      <c r="AC430" s="476"/>
      <c r="AD430" s="476"/>
      <c r="AE430" s="476"/>
      <c r="AF430" s="476"/>
      <c r="AG430" s="476"/>
      <c r="AH430" s="476"/>
      <c r="AI430" s="476"/>
      <c r="AJ430" s="476"/>
      <c r="AK430" s="476"/>
      <c r="AL430" s="476"/>
      <c r="AM430" s="476"/>
      <c r="AN430" s="476"/>
      <c r="AO430" s="476"/>
      <c r="AP430" s="476"/>
      <c r="AQ430" s="476"/>
      <c r="AR430" s="476"/>
      <c r="AS430" s="476"/>
      <c r="AT430" s="476"/>
      <c r="AU430" s="476"/>
    </row>
    <row r="431" spans="1:47" s="398" customFormat="1" ht="13.15" customHeight="1" x14ac:dyDescent="0.2">
      <c r="A431" s="476"/>
      <c r="D431" s="467"/>
      <c r="F431" s="468"/>
      <c r="G431" s="468"/>
      <c r="H431" s="468"/>
      <c r="I431" s="468"/>
      <c r="J431" s="469"/>
      <c r="L431" s="476"/>
      <c r="M431" s="476"/>
      <c r="N431" s="476"/>
      <c r="O431" s="476"/>
      <c r="P431" s="476"/>
      <c r="Q431" s="476"/>
      <c r="R431" s="476"/>
      <c r="S431" s="476"/>
      <c r="T431" s="476"/>
      <c r="U431" s="476"/>
      <c r="V431" s="476"/>
      <c r="W431" s="476"/>
      <c r="X431" s="476"/>
      <c r="Y431" s="476"/>
      <c r="Z431" s="476"/>
      <c r="AA431" s="476"/>
      <c r="AB431" s="476"/>
      <c r="AC431" s="476"/>
      <c r="AD431" s="476"/>
      <c r="AE431" s="476"/>
      <c r="AF431" s="476"/>
      <c r="AG431" s="476"/>
      <c r="AH431" s="476"/>
      <c r="AI431" s="476"/>
      <c r="AJ431" s="476"/>
      <c r="AK431" s="476"/>
      <c r="AL431" s="476"/>
      <c r="AM431" s="476"/>
      <c r="AN431" s="476"/>
      <c r="AO431" s="476"/>
      <c r="AP431" s="476"/>
      <c r="AQ431" s="476"/>
      <c r="AR431" s="476"/>
      <c r="AS431" s="476"/>
      <c r="AT431" s="476"/>
      <c r="AU431" s="476"/>
    </row>
    <row r="432" spans="1:47" s="398" customFormat="1" ht="13.15" customHeight="1" x14ac:dyDescent="0.2">
      <c r="A432" s="476"/>
      <c r="D432" s="467"/>
      <c r="F432" s="468"/>
      <c r="G432" s="468"/>
      <c r="H432" s="468"/>
      <c r="I432" s="468"/>
      <c r="J432" s="469"/>
      <c r="L432" s="476"/>
      <c r="M432" s="476"/>
      <c r="N432" s="476"/>
      <c r="O432" s="476"/>
      <c r="P432" s="476"/>
      <c r="Q432" s="476"/>
      <c r="R432" s="476"/>
      <c r="S432" s="476"/>
      <c r="T432" s="476"/>
      <c r="U432" s="476"/>
      <c r="V432" s="476"/>
      <c r="W432" s="476"/>
      <c r="X432" s="476"/>
      <c r="Y432" s="476"/>
      <c r="Z432" s="476"/>
      <c r="AA432" s="476"/>
      <c r="AB432" s="476"/>
      <c r="AC432" s="476"/>
      <c r="AD432" s="476"/>
      <c r="AE432" s="476"/>
      <c r="AF432" s="476"/>
      <c r="AG432" s="476"/>
      <c r="AH432" s="476"/>
      <c r="AI432" s="476"/>
      <c r="AJ432" s="476"/>
      <c r="AK432" s="476"/>
      <c r="AL432" s="476"/>
      <c r="AM432" s="476"/>
      <c r="AN432" s="476"/>
      <c r="AO432" s="476"/>
      <c r="AP432" s="476"/>
      <c r="AQ432" s="476"/>
      <c r="AR432" s="476"/>
      <c r="AS432" s="476"/>
      <c r="AT432" s="476"/>
      <c r="AU432" s="476"/>
    </row>
    <row r="433" spans="1:47" s="398" customFormat="1" ht="13.15" customHeight="1" x14ac:dyDescent="0.2">
      <c r="A433" s="476"/>
      <c r="D433" s="467"/>
      <c r="F433" s="468"/>
      <c r="G433" s="468"/>
      <c r="H433" s="468"/>
      <c r="I433" s="468"/>
      <c r="J433" s="469"/>
      <c r="L433" s="476"/>
      <c r="M433" s="476"/>
      <c r="N433" s="476"/>
      <c r="O433" s="476"/>
      <c r="P433" s="476"/>
      <c r="Q433" s="476"/>
      <c r="R433" s="476"/>
      <c r="S433" s="476"/>
      <c r="T433" s="476"/>
      <c r="U433" s="476"/>
      <c r="V433" s="476"/>
      <c r="W433" s="476"/>
      <c r="X433" s="476"/>
      <c r="Y433" s="476"/>
      <c r="Z433" s="476"/>
      <c r="AA433" s="476"/>
      <c r="AB433" s="476"/>
      <c r="AC433" s="476"/>
      <c r="AD433" s="476"/>
      <c r="AE433" s="476"/>
      <c r="AF433" s="476"/>
      <c r="AG433" s="476"/>
      <c r="AH433" s="476"/>
      <c r="AI433" s="476"/>
      <c r="AJ433" s="476"/>
      <c r="AK433" s="476"/>
      <c r="AL433" s="476"/>
      <c r="AM433" s="476"/>
      <c r="AN433" s="476"/>
      <c r="AO433" s="476"/>
      <c r="AP433" s="476"/>
      <c r="AQ433" s="476"/>
      <c r="AR433" s="476"/>
      <c r="AS433" s="476"/>
      <c r="AT433" s="476"/>
      <c r="AU433" s="476"/>
    </row>
    <row r="434" spans="1:47" s="398" customFormat="1" ht="13.15" customHeight="1" x14ac:dyDescent="0.2">
      <c r="A434" s="476"/>
      <c r="D434" s="467"/>
      <c r="F434" s="468"/>
      <c r="G434" s="468"/>
      <c r="H434" s="468"/>
      <c r="I434" s="468"/>
      <c r="J434" s="469"/>
      <c r="L434" s="476"/>
      <c r="M434" s="476"/>
      <c r="N434" s="476"/>
      <c r="O434" s="476"/>
      <c r="P434" s="476"/>
      <c r="Q434" s="476"/>
      <c r="R434" s="476"/>
      <c r="S434" s="476"/>
      <c r="T434" s="476"/>
      <c r="U434" s="476"/>
      <c r="V434" s="476"/>
      <c r="W434" s="476"/>
      <c r="X434" s="476"/>
      <c r="Y434" s="476"/>
      <c r="Z434" s="476"/>
      <c r="AA434" s="476"/>
      <c r="AB434" s="476"/>
      <c r="AC434" s="476"/>
      <c r="AD434" s="476"/>
      <c r="AE434" s="476"/>
      <c r="AF434" s="476"/>
      <c r="AG434" s="476"/>
      <c r="AH434" s="476"/>
      <c r="AI434" s="476"/>
      <c r="AJ434" s="476"/>
      <c r="AK434" s="476"/>
      <c r="AL434" s="476"/>
      <c r="AM434" s="476"/>
      <c r="AN434" s="476"/>
      <c r="AO434" s="476"/>
      <c r="AP434" s="476"/>
      <c r="AQ434" s="476"/>
      <c r="AR434" s="476"/>
      <c r="AS434" s="476"/>
      <c r="AT434" s="476"/>
      <c r="AU434" s="476"/>
    </row>
    <row r="435" spans="1:47" s="398" customFormat="1" ht="13.15" customHeight="1" x14ac:dyDescent="0.2">
      <c r="A435" s="476"/>
      <c r="D435" s="467"/>
      <c r="F435" s="468"/>
      <c r="G435" s="468"/>
      <c r="H435" s="468"/>
      <c r="I435" s="468"/>
      <c r="J435" s="469"/>
      <c r="L435" s="476"/>
      <c r="M435" s="476"/>
      <c r="N435" s="476"/>
      <c r="O435" s="476"/>
      <c r="P435" s="476"/>
      <c r="Q435" s="476"/>
      <c r="R435" s="476"/>
      <c r="S435" s="476"/>
      <c r="T435" s="476"/>
      <c r="U435" s="476"/>
      <c r="V435" s="476"/>
      <c r="W435" s="476"/>
      <c r="X435" s="476"/>
      <c r="Y435" s="476"/>
      <c r="Z435" s="476"/>
      <c r="AA435" s="476"/>
      <c r="AB435" s="476"/>
      <c r="AC435" s="476"/>
      <c r="AD435" s="476"/>
      <c r="AE435" s="476"/>
      <c r="AF435" s="476"/>
      <c r="AG435" s="476"/>
      <c r="AH435" s="476"/>
      <c r="AI435" s="476"/>
      <c r="AJ435" s="476"/>
      <c r="AK435" s="476"/>
      <c r="AL435" s="476"/>
      <c r="AM435" s="476"/>
      <c r="AN435" s="476"/>
      <c r="AO435" s="476"/>
      <c r="AP435" s="476"/>
      <c r="AQ435" s="476"/>
      <c r="AR435" s="476"/>
      <c r="AS435" s="476"/>
      <c r="AT435" s="476"/>
      <c r="AU435" s="476"/>
    </row>
    <row r="436" spans="1:47" s="398" customFormat="1" ht="13.15" customHeight="1" x14ac:dyDescent="0.2">
      <c r="A436" s="476"/>
      <c r="D436" s="467"/>
      <c r="F436" s="468"/>
      <c r="G436" s="468"/>
      <c r="H436" s="468"/>
      <c r="I436" s="468"/>
      <c r="J436" s="469"/>
      <c r="L436" s="476"/>
      <c r="M436" s="476"/>
      <c r="N436" s="476"/>
      <c r="O436" s="476"/>
      <c r="P436" s="476"/>
      <c r="Q436" s="476"/>
      <c r="R436" s="476"/>
      <c r="S436" s="476"/>
      <c r="T436" s="476"/>
      <c r="U436" s="476"/>
      <c r="V436" s="476"/>
      <c r="W436" s="476"/>
      <c r="X436" s="476"/>
      <c r="Y436" s="476"/>
      <c r="Z436" s="476"/>
      <c r="AA436" s="476"/>
      <c r="AB436" s="476"/>
      <c r="AC436" s="476"/>
      <c r="AD436" s="476"/>
      <c r="AE436" s="476"/>
      <c r="AF436" s="476"/>
      <c r="AG436" s="476"/>
      <c r="AH436" s="476"/>
      <c r="AI436" s="476"/>
      <c r="AJ436" s="476"/>
      <c r="AK436" s="476"/>
      <c r="AL436" s="476"/>
      <c r="AM436" s="476"/>
      <c r="AN436" s="476"/>
      <c r="AO436" s="476"/>
      <c r="AP436" s="476"/>
      <c r="AQ436" s="476"/>
      <c r="AR436" s="476"/>
      <c r="AS436" s="476"/>
      <c r="AT436" s="476"/>
      <c r="AU436" s="476"/>
    </row>
    <row r="437" spans="1:47" s="398" customFormat="1" ht="13.15" customHeight="1" x14ac:dyDescent="0.2">
      <c r="A437" s="476"/>
      <c r="D437" s="467"/>
      <c r="F437" s="468"/>
      <c r="G437" s="468"/>
      <c r="H437" s="468"/>
      <c r="I437" s="468"/>
      <c r="J437" s="469"/>
      <c r="L437" s="476"/>
      <c r="M437" s="476"/>
      <c r="N437" s="476"/>
      <c r="O437" s="476"/>
      <c r="P437" s="476"/>
      <c r="Q437" s="476"/>
      <c r="R437" s="476"/>
      <c r="S437" s="476"/>
      <c r="T437" s="476"/>
      <c r="U437" s="476"/>
      <c r="V437" s="476"/>
      <c r="W437" s="476"/>
      <c r="X437" s="476"/>
      <c r="Y437" s="476"/>
      <c r="Z437" s="476"/>
      <c r="AA437" s="476"/>
      <c r="AB437" s="476"/>
      <c r="AC437" s="476"/>
      <c r="AD437" s="476"/>
      <c r="AE437" s="476"/>
      <c r="AF437" s="476"/>
      <c r="AG437" s="476"/>
      <c r="AH437" s="476"/>
      <c r="AI437" s="476"/>
      <c r="AJ437" s="476"/>
      <c r="AK437" s="476"/>
      <c r="AL437" s="476"/>
      <c r="AM437" s="476"/>
      <c r="AN437" s="476"/>
      <c r="AO437" s="476"/>
      <c r="AP437" s="476"/>
      <c r="AQ437" s="476"/>
      <c r="AR437" s="476"/>
      <c r="AS437" s="476"/>
      <c r="AT437" s="476"/>
      <c r="AU437" s="476"/>
    </row>
    <row r="438" spans="1:47" s="398" customFormat="1" ht="13.15" customHeight="1" x14ac:dyDescent="0.2">
      <c r="A438" s="476"/>
      <c r="D438" s="467"/>
      <c r="F438" s="468"/>
      <c r="G438" s="468"/>
      <c r="H438" s="468"/>
      <c r="I438" s="468"/>
      <c r="J438" s="469"/>
      <c r="L438" s="476"/>
      <c r="M438" s="476"/>
      <c r="N438" s="476"/>
      <c r="O438" s="476"/>
      <c r="P438" s="476"/>
      <c r="Q438" s="476"/>
      <c r="R438" s="476"/>
      <c r="S438" s="476"/>
      <c r="T438" s="476"/>
      <c r="U438" s="476"/>
      <c r="V438" s="476"/>
      <c r="W438" s="476"/>
      <c r="X438" s="476"/>
      <c r="Y438" s="476"/>
      <c r="Z438" s="476"/>
      <c r="AA438" s="476"/>
      <c r="AB438" s="476"/>
      <c r="AC438" s="476"/>
      <c r="AD438" s="476"/>
      <c r="AE438" s="476"/>
      <c r="AF438" s="476"/>
      <c r="AG438" s="476"/>
      <c r="AH438" s="476"/>
      <c r="AI438" s="476"/>
      <c r="AJ438" s="476"/>
      <c r="AK438" s="476"/>
      <c r="AL438" s="476"/>
      <c r="AM438" s="476"/>
      <c r="AN438" s="476"/>
      <c r="AO438" s="476"/>
      <c r="AP438" s="476"/>
      <c r="AQ438" s="476"/>
      <c r="AR438" s="476"/>
      <c r="AS438" s="476"/>
      <c r="AT438" s="476"/>
      <c r="AU438" s="476"/>
    </row>
    <row r="439" spans="1:47" s="398" customFormat="1" ht="13.15" customHeight="1" x14ac:dyDescent="0.2">
      <c r="A439" s="476"/>
      <c r="D439" s="467"/>
      <c r="F439" s="468"/>
      <c r="G439" s="468"/>
      <c r="H439" s="468"/>
      <c r="I439" s="468"/>
      <c r="J439" s="469"/>
      <c r="L439" s="476"/>
      <c r="M439" s="476"/>
      <c r="N439" s="476"/>
      <c r="O439" s="476"/>
      <c r="P439" s="476"/>
      <c r="Q439" s="476"/>
      <c r="R439" s="476"/>
      <c r="S439" s="476"/>
      <c r="T439" s="476"/>
      <c r="U439" s="476"/>
      <c r="V439" s="476"/>
      <c r="W439" s="476"/>
      <c r="X439" s="476"/>
      <c r="Y439" s="476"/>
      <c r="Z439" s="476"/>
      <c r="AA439" s="476"/>
      <c r="AB439" s="476"/>
      <c r="AC439" s="476"/>
      <c r="AD439" s="476"/>
      <c r="AE439" s="476"/>
      <c r="AF439" s="476"/>
      <c r="AG439" s="476"/>
      <c r="AH439" s="476"/>
      <c r="AI439" s="476"/>
      <c r="AJ439" s="476"/>
      <c r="AK439" s="476"/>
      <c r="AL439" s="476"/>
      <c r="AM439" s="476"/>
      <c r="AN439" s="476"/>
      <c r="AO439" s="476"/>
      <c r="AP439" s="476"/>
      <c r="AQ439" s="476"/>
      <c r="AR439" s="476"/>
      <c r="AS439" s="476"/>
      <c r="AT439" s="476"/>
      <c r="AU439" s="476"/>
    </row>
    <row r="440" spans="1:47" s="398" customFormat="1" ht="13.15" customHeight="1" x14ac:dyDescent="0.2">
      <c r="A440" s="476"/>
      <c r="D440" s="467"/>
      <c r="F440" s="468"/>
      <c r="G440" s="468"/>
      <c r="H440" s="468"/>
      <c r="I440" s="468"/>
      <c r="J440" s="469"/>
      <c r="L440" s="476"/>
      <c r="M440" s="476"/>
      <c r="N440" s="476"/>
      <c r="O440" s="476"/>
      <c r="P440" s="476"/>
      <c r="Q440" s="476"/>
      <c r="R440" s="476"/>
      <c r="S440" s="476"/>
      <c r="T440" s="476"/>
      <c r="U440" s="476"/>
      <c r="V440" s="476"/>
      <c r="W440" s="476"/>
      <c r="X440" s="476"/>
      <c r="Y440" s="476"/>
      <c r="Z440" s="476"/>
      <c r="AA440" s="476"/>
      <c r="AB440" s="476"/>
      <c r="AC440" s="476"/>
      <c r="AD440" s="476"/>
      <c r="AE440" s="476"/>
      <c r="AF440" s="476"/>
      <c r="AG440" s="476"/>
      <c r="AH440" s="476"/>
      <c r="AI440" s="476"/>
      <c r="AJ440" s="476"/>
      <c r="AK440" s="476"/>
      <c r="AL440" s="476"/>
      <c r="AM440" s="476"/>
      <c r="AN440" s="476"/>
      <c r="AO440" s="476"/>
      <c r="AP440" s="476"/>
      <c r="AQ440" s="476"/>
      <c r="AR440" s="476"/>
      <c r="AS440" s="476"/>
      <c r="AT440" s="476"/>
      <c r="AU440" s="476"/>
    </row>
    <row r="441" spans="1:47" s="398" customFormat="1" ht="13.15" customHeight="1" x14ac:dyDescent="0.2">
      <c r="A441" s="476"/>
      <c r="D441" s="467"/>
      <c r="F441" s="468"/>
      <c r="G441" s="468"/>
      <c r="H441" s="468"/>
      <c r="I441" s="468"/>
      <c r="J441" s="469"/>
      <c r="L441" s="476"/>
      <c r="M441" s="476"/>
      <c r="N441" s="476"/>
      <c r="O441" s="476"/>
      <c r="P441" s="476"/>
      <c r="Q441" s="476"/>
      <c r="R441" s="476"/>
      <c r="S441" s="476"/>
      <c r="T441" s="476"/>
      <c r="U441" s="476"/>
      <c r="V441" s="476"/>
      <c r="W441" s="476"/>
      <c r="X441" s="476"/>
      <c r="Y441" s="476"/>
      <c r="Z441" s="476"/>
      <c r="AA441" s="476"/>
      <c r="AB441" s="476"/>
      <c r="AC441" s="476"/>
      <c r="AD441" s="476"/>
      <c r="AE441" s="476"/>
      <c r="AF441" s="476"/>
      <c r="AG441" s="476"/>
      <c r="AH441" s="476"/>
      <c r="AI441" s="476"/>
      <c r="AJ441" s="476"/>
      <c r="AK441" s="476"/>
      <c r="AL441" s="476"/>
      <c r="AM441" s="476"/>
      <c r="AN441" s="476"/>
      <c r="AO441" s="476"/>
      <c r="AP441" s="476"/>
      <c r="AQ441" s="476"/>
      <c r="AR441" s="476"/>
      <c r="AS441" s="476"/>
      <c r="AT441" s="476"/>
      <c r="AU441" s="476"/>
    </row>
    <row r="442" spans="1:47" s="398" customFormat="1" ht="13.15" customHeight="1" x14ac:dyDescent="0.2">
      <c r="A442" s="476"/>
      <c r="D442" s="467"/>
      <c r="F442" s="468"/>
      <c r="G442" s="468"/>
      <c r="H442" s="468"/>
      <c r="I442" s="468"/>
      <c r="J442" s="469"/>
      <c r="L442" s="476"/>
      <c r="M442" s="476"/>
      <c r="N442" s="476"/>
      <c r="O442" s="476"/>
      <c r="P442" s="476"/>
      <c r="Q442" s="476"/>
      <c r="R442" s="476"/>
      <c r="S442" s="476"/>
      <c r="T442" s="476"/>
      <c r="U442" s="476"/>
      <c r="V442" s="476"/>
      <c r="W442" s="476"/>
      <c r="X442" s="476"/>
      <c r="Y442" s="476"/>
      <c r="Z442" s="476"/>
      <c r="AA442" s="476"/>
      <c r="AB442" s="476"/>
      <c r="AC442" s="476"/>
      <c r="AD442" s="476"/>
      <c r="AE442" s="476"/>
      <c r="AF442" s="476"/>
      <c r="AG442" s="476"/>
      <c r="AH442" s="476"/>
      <c r="AI442" s="476"/>
      <c r="AJ442" s="476"/>
      <c r="AK442" s="476"/>
      <c r="AL442" s="476"/>
      <c r="AM442" s="476"/>
      <c r="AN442" s="476"/>
      <c r="AO442" s="476"/>
      <c r="AP442" s="476"/>
      <c r="AQ442" s="476"/>
      <c r="AR442" s="476"/>
      <c r="AS442" s="476"/>
      <c r="AT442" s="476"/>
      <c r="AU442" s="476"/>
    </row>
    <row r="443" spans="1:47" s="398" customFormat="1" ht="13.15" customHeight="1" x14ac:dyDescent="0.2">
      <c r="A443" s="476"/>
      <c r="D443" s="467"/>
      <c r="F443" s="468"/>
      <c r="G443" s="468"/>
      <c r="H443" s="468"/>
      <c r="I443" s="468"/>
      <c r="J443" s="469"/>
      <c r="L443" s="476"/>
      <c r="M443" s="476"/>
      <c r="N443" s="476"/>
      <c r="O443" s="476"/>
      <c r="P443" s="476"/>
      <c r="Q443" s="476"/>
      <c r="R443" s="476"/>
      <c r="S443" s="476"/>
      <c r="T443" s="476"/>
      <c r="U443" s="476"/>
      <c r="V443" s="476"/>
      <c r="W443" s="476"/>
      <c r="X443" s="476"/>
      <c r="Y443" s="476"/>
      <c r="Z443" s="476"/>
      <c r="AA443" s="476"/>
      <c r="AB443" s="476"/>
      <c r="AC443" s="476"/>
      <c r="AD443" s="476"/>
      <c r="AE443" s="476"/>
      <c r="AF443" s="476"/>
      <c r="AG443" s="476"/>
      <c r="AH443" s="476"/>
      <c r="AI443" s="476"/>
      <c r="AJ443" s="476"/>
      <c r="AK443" s="476"/>
      <c r="AL443" s="476"/>
      <c r="AM443" s="476"/>
      <c r="AN443" s="476"/>
      <c r="AO443" s="476"/>
      <c r="AP443" s="476"/>
      <c r="AQ443" s="476"/>
      <c r="AR443" s="476"/>
      <c r="AS443" s="476"/>
      <c r="AT443" s="476"/>
      <c r="AU443" s="476"/>
    </row>
    <row r="444" spans="1:47" s="398" customFormat="1" ht="13.15" customHeight="1" x14ac:dyDescent="0.2">
      <c r="A444" s="476"/>
      <c r="D444" s="467"/>
      <c r="F444" s="468"/>
      <c r="G444" s="468"/>
      <c r="H444" s="468"/>
      <c r="I444" s="468"/>
      <c r="J444" s="469"/>
      <c r="L444" s="476"/>
      <c r="M444" s="476"/>
      <c r="N444" s="476"/>
      <c r="O444" s="476"/>
      <c r="P444" s="476"/>
      <c r="Q444" s="476"/>
      <c r="R444" s="476"/>
      <c r="S444" s="476"/>
      <c r="T444" s="476"/>
      <c r="U444" s="476"/>
      <c r="V444" s="476"/>
      <c r="W444" s="476"/>
      <c r="X444" s="476"/>
      <c r="Y444" s="476"/>
      <c r="Z444" s="476"/>
      <c r="AA444" s="476"/>
      <c r="AB444" s="476"/>
      <c r="AC444" s="476"/>
      <c r="AD444" s="476"/>
      <c r="AE444" s="476"/>
      <c r="AF444" s="476"/>
      <c r="AG444" s="476"/>
      <c r="AH444" s="476"/>
      <c r="AI444" s="476"/>
      <c r="AJ444" s="476"/>
      <c r="AK444" s="476"/>
      <c r="AL444" s="476"/>
      <c r="AM444" s="476"/>
      <c r="AN444" s="476"/>
      <c r="AO444" s="476"/>
      <c r="AP444" s="476"/>
      <c r="AQ444" s="476"/>
      <c r="AR444" s="476"/>
      <c r="AS444" s="476"/>
      <c r="AT444" s="476"/>
      <c r="AU444" s="476"/>
    </row>
    <row r="445" spans="1:47" s="398" customFormat="1" ht="13.15" customHeight="1" x14ac:dyDescent="0.2">
      <c r="A445" s="476"/>
      <c r="D445" s="467"/>
      <c r="F445" s="468"/>
      <c r="G445" s="468"/>
      <c r="H445" s="468"/>
      <c r="I445" s="468"/>
      <c r="J445" s="469"/>
      <c r="L445" s="476"/>
      <c r="M445" s="476"/>
      <c r="N445" s="476"/>
      <c r="O445" s="476"/>
      <c r="P445" s="476"/>
      <c r="Q445" s="476"/>
      <c r="R445" s="476"/>
      <c r="S445" s="476"/>
      <c r="T445" s="476"/>
      <c r="U445" s="476"/>
      <c r="V445" s="476"/>
      <c r="W445" s="476"/>
      <c r="X445" s="476"/>
      <c r="Y445" s="476"/>
      <c r="Z445" s="476"/>
      <c r="AA445" s="476"/>
      <c r="AB445" s="476"/>
      <c r="AC445" s="476"/>
      <c r="AD445" s="476"/>
      <c r="AE445" s="476"/>
      <c r="AF445" s="476"/>
      <c r="AG445" s="476"/>
      <c r="AH445" s="476"/>
      <c r="AI445" s="476"/>
      <c r="AJ445" s="476"/>
      <c r="AK445" s="476"/>
      <c r="AL445" s="476"/>
      <c r="AM445" s="476"/>
      <c r="AN445" s="476"/>
      <c r="AO445" s="476"/>
      <c r="AP445" s="476"/>
      <c r="AQ445" s="476"/>
      <c r="AR445" s="476"/>
      <c r="AS445" s="476"/>
      <c r="AT445" s="476"/>
      <c r="AU445" s="476"/>
    </row>
    <row r="446" spans="1:47" s="398" customFormat="1" ht="13.15" customHeight="1" x14ac:dyDescent="0.2">
      <c r="A446" s="476"/>
      <c r="D446" s="467"/>
      <c r="F446" s="468"/>
      <c r="G446" s="468"/>
      <c r="H446" s="468"/>
      <c r="I446" s="468"/>
      <c r="J446" s="469"/>
      <c r="L446" s="476"/>
      <c r="M446" s="476"/>
      <c r="N446" s="476"/>
      <c r="O446" s="476"/>
      <c r="P446" s="476"/>
      <c r="Q446" s="476"/>
      <c r="R446" s="476"/>
      <c r="S446" s="476"/>
      <c r="T446" s="476"/>
      <c r="U446" s="476"/>
      <c r="V446" s="476"/>
      <c r="W446" s="476"/>
      <c r="X446" s="476"/>
      <c r="Y446" s="476"/>
      <c r="Z446" s="476"/>
      <c r="AA446" s="476"/>
      <c r="AB446" s="476"/>
      <c r="AC446" s="476"/>
      <c r="AD446" s="476"/>
      <c r="AE446" s="476"/>
      <c r="AF446" s="476"/>
      <c r="AG446" s="476"/>
      <c r="AH446" s="476"/>
      <c r="AI446" s="476"/>
      <c r="AJ446" s="476"/>
      <c r="AK446" s="476"/>
      <c r="AL446" s="476"/>
      <c r="AM446" s="476"/>
      <c r="AN446" s="476"/>
      <c r="AO446" s="476"/>
      <c r="AP446" s="476"/>
      <c r="AQ446" s="476"/>
      <c r="AR446" s="476"/>
      <c r="AS446" s="476"/>
      <c r="AT446" s="476"/>
      <c r="AU446" s="476"/>
    </row>
    <row r="447" spans="1:47" s="398" customFormat="1" ht="13.15" customHeight="1" x14ac:dyDescent="0.2">
      <c r="A447" s="476"/>
      <c r="D447" s="467"/>
      <c r="F447" s="468"/>
      <c r="G447" s="468"/>
      <c r="H447" s="468"/>
      <c r="I447" s="468"/>
      <c r="J447" s="469"/>
      <c r="L447" s="476"/>
      <c r="M447" s="476"/>
      <c r="N447" s="476"/>
      <c r="O447" s="476"/>
      <c r="P447" s="476"/>
      <c r="Q447" s="476"/>
      <c r="R447" s="476"/>
      <c r="S447" s="476"/>
      <c r="T447" s="476"/>
      <c r="U447" s="476"/>
      <c r="V447" s="476"/>
      <c r="W447" s="476"/>
      <c r="X447" s="476"/>
      <c r="Y447" s="476"/>
      <c r="Z447" s="476"/>
      <c r="AA447" s="476"/>
      <c r="AB447" s="476"/>
      <c r="AC447" s="476"/>
      <c r="AD447" s="476"/>
      <c r="AE447" s="476"/>
      <c r="AF447" s="476"/>
      <c r="AG447" s="476"/>
      <c r="AH447" s="476"/>
      <c r="AI447" s="476"/>
      <c r="AJ447" s="476"/>
      <c r="AK447" s="476"/>
      <c r="AL447" s="476"/>
      <c r="AM447" s="476"/>
      <c r="AN447" s="476"/>
      <c r="AO447" s="476"/>
      <c r="AP447" s="476"/>
      <c r="AQ447" s="476"/>
      <c r="AR447" s="476"/>
      <c r="AS447" s="476"/>
      <c r="AT447" s="476"/>
      <c r="AU447" s="476"/>
    </row>
    <row r="448" spans="1:47" s="398" customFormat="1" ht="13.15" customHeight="1" x14ac:dyDescent="0.2">
      <c r="A448" s="476"/>
      <c r="D448" s="467"/>
      <c r="F448" s="468"/>
      <c r="G448" s="468"/>
      <c r="H448" s="468"/>
      <c r="I448" s="468"/>
      <c r="J448" s="469"/>
      <c r="L448" s="476"/>
      <c r="M448" s="476"/>
      <c r="N448" s="476"/>
      <c r="O448" s="476"/>
      <c r="P448" s="476"/>
      <c r="Q448" s="476"/>
      <c r="R448" s="476"/>
      <c r="S448" s="476"/>
      <c r="T448" s="476"/>
      <c r="U448" s="476"/>
      <c r="V448" s="476"/>
      <c r="W448" s="476"/>
      <c r="X448" s="476"/>
      <c r="Y448" s="476"/>
      <c r="Z448" s="476"/>
      <c r="AA448" s="476"/>
      <c r="AB448" s="476"/>
      <c r="AC448" s="476"/>
      <c r="AD448" s="476"/>
      <c r="AE448" s="476"/>
      <c r="AF448" s="476"/>
      <c r="AG448" s="476"/>
      <c r="AH448" s="476"/>
      <c r="AI448" s="476"/>
      <c r="AJ448" s="476"/>
      <c r="AK448" s="476"/>
      <c r="AL448" s="476"/>
      <c r="AM448" s="476"/>
      <c r="AN448" s="476"/>
      <c r="AO448" s="476"/>
      <c r="AP448" s="476"/>
      <c r="AQ448" s="476"/>
      <c r="AR448" s="476"/>
      <c r="AS448" s="476"/>
      <c r="AT448" s="476"/>
      <c r="AU448" s="476"/>
    </row>
    <row r="449" spans="1:47" s="398" customFormat="1" ht="13.15" customHeight="1" x14ac:dyDescent="0.2">
      <c r="A449" s="476"/>
      <c r="D449" s="467"/>
      <c r="F449" s="468"/>
      <c r="G449" s="468"/>
      <c r="H449" s="468"/>
      <c r="I449" s="468"/>
      <c r="J449" s="469"/>
      <c r="L449" s="476"/>
      <c r="M449" s="476"/>
      <c r="N449" s="476"/>
      <c r="O449" s="476"/>
      <c r="P449" s="476"/>
      <c r="Q449" s="476"/>
      <c r="R449" s="476"/>
      <c r="S449" s="476"/>
      <c r="T449" s="476"/>
      <c r="U449" s="476"/>
      <c r="V449" s="476"/>
      <c r="W449" s="476"/>
      <c r="X449" s="476"/>
      <c r="Y449" s="476"/>
      <c r="Z449" s="476"/>
      <c r="AA449" s="476"/>
      <c r="AB449" s="476"/>
      <c r="AC449" s="476"/>
      <c r="AD449" s="476"/>
      <c r="AE449" s="476"/>
      <c r="AF449" s="476"/>
      <c r="AG449" s="476"/>
      <c r="AH449" s="476"/>
      <c r="AI449" s="476"/>
      <c r="AJ449" s="476"/>
      <c r="AK449" s="476"/>
      <c r="AL449" s="476"/>
      <c r="AM449" s="476"/>
      <c r="AN449" s="476"/>
      <c r="AO449" s="476"/>
      <c r="AP449" s="476"/>
      <c r="AQ449" s="476"/>
      <c r="AR449" s="476"/>
      <c r="AS449" s="476"/>
      <c r="AT449" s="476"/>
      <c r="AU449" s="476"/>
    </row>
    <row r="450" spans="1:47" s="398" customFormat="1" ht="13.15" customHeight="1" x14ac:dyDescent="0.2">
      <c r="A450" s="476"/>
      <c r="D450" s="467"/>
      <c r="F450" s="468"/>
      <c r="G450" s="468"/>
      <c r="H450" s="468"/>
      <c r="I450" s="468"/>
      <c r="J450" s="469"/>
      <c r="L450" s="476"/>
      <c r="M450" s="476"/>
      <c r="N450" s="476"/>
      <c r="O450" s="476"/>
      <c r="P450" s="476"/>
      <c r="Q450" s="476"/>
      <c r="R450" s="476"/>
      <c r="S450" s="476"/>
      <c r="T450" s="476"/>
      <c r="U450" s="476"/>
      <c r="V450" s="476"/>
      <c r="W450" s="476"/>
      <c r="X450" s="476"/>
      <c r="Y450" s="476"/>
      <c r="Z450" s="476"/>
      <c r="AA450" s="476"/>
      <c r="AB450" s="476"/>
      <c r="AC450" s="476"/>
      <c r="AD450" s="476"/>
      <c r="AE450" s="476"/>
      <c r="AF450" s="476"/>
      <c r="AG450" s="476"/>
      <c r="AH450" s="476"/>
      <c r="AI450" s="476"/>
      <c r="AJ450" s="476"/>
      <c r="AK450" s="476"/>
      <c r="AL450" s="476"/>
      <c r="AM450" s="476"/>
      <c r="AN450" s="476"/>
      <c r="AO450" s="476"/>
      <c r="AP450" s="476"/>
      <c r="AQ450" s="476"/>
      <c r="AR450" s="476"/>
      <c r="AS450" s="476"/>
      <c r="AT450" s="476"/>
      <c r="AU450" s="476"/>
    </row>
    <row r="451" spans="1:47" s="398" customFormat="1" ht="13.15" customHeight="1" x14ac:dyDescent="0.2">
      <c r="A451" s="476"/>
      <c r="D451" s="467"/>
      <c r="F451" s="468"/>
      <c r="G451" s="468"/>
      <c r="H451" s="468"/>
      <c r="I451" s="468"/>
      <c r="J451" s="469"/>
      <c r="L451" s="476"/>
      <c r="M451" s="476"/>
      <c r="N451" s="476"/>
      <c r="O451" s="476"/>
      <c r="P451" s="476"/>
      <c r="Q451" s="476"/>
      <c r="R451" s="476"/>
      <c r="S451" s="476"/>
      <c r="T451" s="476"/>
      <c r="U451" s="476"/>
      <c r="V451" s="476"/>
      <c r="W451" s="476"/>
      <c r="X451" s="476"/>
      <c r="Y451" s="476"/>
      <c r="Z451" s="476"/>
      <c r="AA451" s="476"/>
      <c r="AB451" s="476"/>
      <c r="AC451" s="476"/>
      <c r="AD451" s="476"/>
      <c r="AE451" s="476"/>
      <c r="AF451" s="476"/>
      <c r="AG451" s="476"/>
      <c r="AH451" s="476"/>
      <c r="AI451" s="476"/>
      <c r="AJ451" s="476"/>
      <c r="AK451" s="476"/>
      <c r="AL451" s="476"/>
      <c r="AM451" s="476"/>
      <c r="AN451" s="476"/>
      <c r="AO451" s="476"/>
      <c r="AP451" s="476"/>
      <c r="AQ451" s="476"/>
      <c r="AR451" s="476"/>
      <c r="AS451" s="476"/>
      <c r="AT451" s="476"/>
      <c r="AU451" s="476"/>
    </row>
    <row r="452" spans="1:47" s="398" customFormat="1" ht="13.15" customHeight="1" x14ac:dyDescent="0.2">
      <c r="A452" s="476"/>
      <c r="D452" s="467"/>
      <c r="F452" s="468"/>
      <c r="G452" s="468"/>
      <c r="H452" s="468"/>
      <c r="I452" s="468"/>
      <c r="J452" s="469"/>
      <c r="L452" s="476"/>
      <c r="M452" s="476"/>
      <c r="N452" s="476"/>
      <c r="O452" s="476"/>
      <c r="P452" s="476"/>
      <c r="Q452" s="476"/>
      <c r="R452" s="476"/>
      <c r="S452" s="476"/>
      <c r="T452" s="476"/>
      <c r="U452" s="476"/>
      <c r="V452" s="476"/>
      <c r="W452" s="476"/>
      <c r="X452" s="476"/>
      <c r="Y452" s="476"/>
      <c r="Z452" s="476"/>
      <c r="AA452" s="476"/>
      <c r="AB452" s="476"/>
      <c r="AC452" s="476"/>
      <c r="AD452" s="476"/>
      <c r="AE452" s="476"/>
      <c r="AF452" s="476"/>
      <c r="AG452" s="476"/>
      <c r="AH452" s="476"/>
      <c r="AI452" s="476"/>
      <c r="AJ452" s="476"/>
      <c r="AK452" s="476"/>
      <c r="AL452" s="476"/>
      <c r="AM452" s="476"/>
      <c r="AN452" s="476"/>
      <c r="AO452" s="476"/>
      <c r="AP452" s="476"/>
      <c r="AQ452" s="476"/>
      <c r="AR452" s="476"/>
      <c r="AS452" s="476"/>
      <c r="AT452" s="476"/>
      <c r="AU452" s="476"/>
    </row>
    <row r="453" spans="1:47" s="398" customFormat="1" ht="13.15" customHeight="1" x14ac:dyDescent="0.2">
      <c r="A453" s="476"/>
      <c r="D453" s="467"/>
      <c r="F453" s="468"/>
      <c r="G453" s="468"/>
      <c r="H453" s="468"/>
      <c r="I453" s="468"/>
      <c r="J453" s="469"/>
      <c r="L453" s="476"/>
      <c r="M453" s="476"/>
      <c r="N453" s="476"/>
      <c r="O453" s="476"/>
      <c r="P453" s="476"/>
      <c r="Q453" s="476"/>
      <c r="R453" s="476"/>
      <c r="S453" s="476"/>
      <c r="T453" s="476"/>
      <c r="U453" s="476"/>
      <c r="V453" s="476"/>
      <c r="W453" s="476"/>
      <c r="X453" s="476"/>
      <c r="Y453" s="476"/>
      <c r="Z453" s="476"/>
      <c r="AA453" s="476"/>
      <c r="AB453" s="476"/>
      <c r="AC453" s="476"/>
      <c r="AD453" s="476"/>
      <c r="AE453" s="476"/>
      <c r="AF453" s="476"/>
      <c r="AG453" s="476"/>
      <c r="AH453" s="476"/>
      <c r="AI453" s="476"/>
      <c r="AJ453" s="476"/>
      <c r="AK453" s="476"/>
      <c r="AL453" s="476"/>
      <c r="AM453" s="476"/>
      <c r="AN453" s="476"/>
      <c r="AO453" s="476"/>
      <c r="AP453" s="476"/>
      <c r="AQ453" s="476"/>
      <c r="AR453" s="476"/>
      <c r="AS453" s="476"/>
      <c r="AT453" s="476"/>
      <c r="AU453" s="476"/>
    </row>
    <row r="454" spans="1:47" s="398" customFormat="1" ht="13.15" customHeight="1" x14ac:dyDescent="0.2">
      <c r="A454" s="476"/>
      <c r="D454" s="467"/>
      <c r="F454" s="468"/>
      <c r="G454" s="468"/>
      <c r="H454" s="468"/>
      <c r="I454" s="468"/>
      <c r="J454" s="469"/>
      <c r="L454" s="476"/>
      <c r="M454" s="476"/>
      <c r="N454" s="476"/>
      <c r="O454" s="476"/>
      <c r="P454" s="476"/>
      <c r="Q454" s="476"/>
      <c r="R454" s="476"/>
      <c r="S454" s="476"/>
      <c r="T454" s="476"/>
      <c r="U454" s="476"/>
      <c r="V454" s="476"/>
      <c r="W454" s="476"/>
      <c r="X454" s="476"/>
      <c r="Y454" s="476"/>
      <c r="Z454" s="476"/>
      <c r="AA454" s="476"/>
      <c r="AB454" s="476"/>
      <c r="AC454" s="476"/>
      <c r="AD454" s="476"/>
      <c r="AE454" s="476"/>
      <c r="AF454" s="476"/>
      <c r="AG454" s="476"/>
      <c r="AH454" s="476"/>
      <c r="AI454" s="476"/>
      <c r="AJ454" s="476"/>
      <c r="AK454" s="476"/>
      <c r="AL454" s="476"/>
      <c r="AM454" s="476"/>
      <c r="AN454" s="476"/>
      <c r="AO454" s="476"/>
      <c r="AP454" s="476"/>
      <c r="AQ454" s="476"/>
      <c r="AR454" s="476"/>
      <c r="AS454" s="476"/>
      <c r="AT454" s="476"/>
      <c r="AU454" s="476"/>
    </row>
    <row r="455" spans="1:47" s="398" customFormat="1" ht="13.15" customHeight="1" x14ac:dyDescent="0.2">
      <c r="A455" s="476"/>
      <c r="D455" s="467"/>
      <c r="F455" s="468"/>
      <c r="G455" s="468"/>
      <c r="H455" s="468"/>
      <c r="I455" s="468"/>
      <c r="J455" s="469"/>
      <c r="L455" s="476"/>
      <c r="M455" s="476"/>
      <c r="N455" s="476"/>
      <c r="O455" s="476"/>
      <c r="P455" s="476"/>
      <c r="Q455" s="476"/>
      <c r="R455" s="476"/>
      <c r="S455" s="476"/>
      <c r="T455" s="476"/>
      <c r="U455" s="476"/>
      <c r="V455" s="476"/>
      <c r="W455" s="476"/>
      <c r="X455" s="476"/>
      <c r="Y455" s="476"/>
      <c r="Z455" s="476"/>
      <c r="AA455" s="476"/>
      <c r="AB455" s="476"/>
      <c r="AC455" s="476"/>
      <c r="AD455" s="476"/>
      <c r="AE455" s="476"/>
      <c r="AF455" s="476"/>
      <c r="AG455" s="476"/>
      <c r="AH455" s="476"/>
      <c r="AI455" s="476"/>
      <c r="AJ455" s="476"/>
      <c r="AK455" s="476"/>
      <c r="AL455" s="476"/>
      <c r="AM455" s="476"/>
      <c r="AN455" s="476"/>
      <c r="AO455" s="476"/>
      <c r="AP455" s="476"/>
      <c r="AQ455" s="476"/>
      <c r="AR455" s="476"/>
      <c r="AS455" s="476"/>
      <c r="AT455" s="476"/>
      <c r="AU455" s="476"/>
    </row>
    <row r="456" spans="1:47" s="398" customFormat="1" ht="13.15" customHeight="1" x14ac:dyDescent="0.2">
      <c r="A456" s="476"/>
      <c r="D456" s="467"/>
      <c r="F456" s="468"/>
      <c r="G456" s="468"/>
      <c r="H456" s="468"/>
      <c r="I456" s="468"/>
      <c r="J456" s="469"/>
      <c r="L456" s="476"/>
      <c r="M456" s="476"/>
      <c r="N456" s="476"/>
      <c r="O456" s="476"/>
      <c r="P456" s="476"/>
      <c r="Q456" s="476"/>
      <c r="R456" s="476"/>
      <c r="S456" s="476"/>
      <c r="T456" s="476"/>
      <c r="U456" s="476"/>
      <c r="V456" s="476"/>
      <c r="W456" s="476"/>
      <c r="X456" s="476"/>
      <c r="Y456" s="476"/>
      <c r="Z456" s="476"/>
      <c r="AA456" s="476"/>
      <c r="AB456" s="476"/>
      <c r="AC456" s="476"/>
      <c r="AD456" s="476"/>
      <c r="AE456" s="476"/>
      <c r="AF456" s="476"/>
      <c r="AG456" s="476"/>
      <c r="AH456" s="476"/>
      <c r="AI456" s="476"/>
      <c r="AJ456" s="476"/>
      <c r="AK456" s="476"/>
      <c r="AL456" s="476"/>
      <c r="AM456" s="476"/>
      <c r="AN456" s="476"/>
      <c r="AO456" s="476"/>
      <c r="AP456" s="476"/>
      <c r="AQ456" s="476"/>
      <c r="AR456" s="476"/>
      <c r="AS456" s="476"/>
      <c r="AT456" s="476"/>
      <c r="AU456" s="476"/>
    </row>
    <row r="457" spans="1:47" s="398" customFormat="1" ht="13.15" customHeight="1" x14ac:dyDescent="0.2">
      <c r="A457" s="476"/>
      <c r="D457" s="467"/>
      <c r="F457" s="468"/>
      <c r="G457" s="468"/>
      <c r="H457" s="468"/>
      <c r="I457" s="468"/>
      <c r="J457" s="469"/>
      <c r="L457" s="476"/>
      <c r="M457" s="476"/>
      <c r="N457" s="476"/>
      <c r="O457" s="476"/>
      <c r="P457" s="476"/>
      <c r="Q457" s="476"/>
      <c r="R457" s="476"/>
      <c r="S457" s="476"/>
      <c r="T457" s="476"/>
      <c r="U457" s="476"/>
      <c r="V457" s="476"/>
      <c r="W457" s="476"/>
      <c r="X457" s="476"/>
      <c r="Y457" s="476"/>
      <c r="Z457" s="476"/>
      <c r="AA457" s="476"/>
      <c r="AB457" s="476"/>
      <c r="AC457" s="476"/>
      <c r="AD457" s="476"/>
      <c r="AE457" s="476"/>
      <c r="AF457" s="476"/>
      <c r="AG457" s="476"/>
      <c r="AH457" s="476"/>
      <c r="AI457" s="476"/>
      <c r="AJ457" s="476"/>
      <c r="AK457" s="476"/>
      <c r="AL457" s="476"/>
      <c r="AM457" s="476"/>
      <c r="AN457" s="476"/>
      <c r="AO457" s="476"/>
      <c r="AP457" s="476"/>
      <c r="AQ457" s="476"/>
      <c r="AR457" s="476"/>
      <c r="AS457" s="476"/>
      <c r="AT457" s="476"/>
      <c r="AU457" s="476"/>
    </row>
    <row r="458" spans="1:47" s="398" customFormat="1" ht="13.15" customHeight="1" x14ac:dyDescent="0.2">
      <c r="A458" s="476"/>
      <c r="D458" s="467"/>
      <c r="F458" s="468"/>
      <c r="G458" s="468"/>
      <c r="H458" s="468"/>
      <c r="I458" s="468"/>
      <c r="J458" s="469"/>
      <c r="L458" s="476"/>
      <c r="M458" s="476"/>
      <c r="N458" s="476"/>
      <c r="O458" s="476"/>
      <c r="P458" s="476"/>
      <c r="Q458" s="476"/>
      <c r="R458" s="476"/>
      <c r="S458" s="476"/>
      <c r="T458" s="476"/>
      <c r="U458" s="476"/>
      <c r="V458" s="476"/>
      <c r="W458" s="476"/>
      <c r="X458" s="476"/>
      <c r="Y458" s="476"/>
      <c r="Z458" s="476"/>
      <c r="AA458" s="476"/>
      <c r="AB458" s="476"/>
      <c r="AC458" s="476"/>
      <c r="AD458" s="476"/>
      <c r="AE458" s="476"/>
      <c r="AF458" s="476"/>
      <c r="AG458" s="476"/>
      <c r="AH458" s="476"/>
      <c r="AI458" s="476"/>
      <c r="AJ458" s="476"/>
      <c r="AK458" s="476"/>
      <c r="AL458" s="476"/>
      <c r="AM458" s="476"/>
      <c r="AN458" s="476"/>
      <c r="AO458" s="476"/>
      <c r="AP458" s="476"/>
      <c r="AQ458" s="476"/>
      <c r="AR458" s="476"/>
      <c r="AS458" s="476"/>
      <c r="AT458" s="476"/>
      <c r="AU458" s="476"/>
    </row>
    <row r="459" spans="1:47" s="398" customFormat="1" ht="13.15" customHeight="1" x14ac:dyDescent="0.2">
      <c r="A459" s="476"/>
      <c r="D459" s="467"/>
      <c r="F459" s="468"/>
      <c r="G459" s="468"/>
      <c r="H459" s="468"/>
      <c r="I459" s="468"/>
      <c r="J459" s="469"/>
      <c r="L459" s="476"/>
      <c r="M459" s="476"/>
      <c r="N459" s="476"/>
      <c r="O459" s="476"/>
      <c r="P459" s="476"/>
      <c r="Q459" s="476"/>
      <c r="R459" s="476"/>
      <c r="S459" s="476"/>
      <c r="T459" s="476"/>
      <c r="U459" s="476"/>
      <c r="V459" s="476"/>
      <c r="W459" s="476"/>
      <c r="X459" s="476"/>
      <c r="Y459" s="476"/>
      <c r="Z459" s="476"/>
      <c r="AA459" s="476"/>
      <c r="AB459" s="476"/>
      <c r="AC459" s="476"/>
      <c r="AD459" s="476"/>
      <c r="AE459" s="476"/>
      <c r="AF459" s="476"/>
      <c r="AG459" s="476"/>
      <c r="AH459" s="476"/>
      <c r="AI459" s="476"/>
      <c r="AJ459" s="476"/>
      <c r="AK459" s="476"/>
      <c r="AL459" s="476"/>
      <c r="AM459" s="476"/>
      <c r="AN459" s="476"/>
      <c r="AO459" s="476"/>
      <c r="AP459" s="476"/>
      <c r="AQ459" s="476"/>
      <c r="AR459" s="476"/>
      <c r="AS459" s="476"/>
      <c r="AT459" s="476"/>
      <c r="AU459" s="476"/>
    </row>
    <row r="460" spans="1:47" s="398" customFormat="1" ht="13.15" customHeight="1" x14ac:dyDescent="0.2">
      <c r="A460" s="476"/>
      <c r="D460" s="467"/>
      <c r="F460" s="468"/>
      <c r="G460" s="468"/>
      <c r="H460" s="468"/>
      <c r="I460" s="468"/>
      <c r="J460" s="469"/>
      <c r="L460" s="476"/>
      <c r="M460" s="476"/>
      <c r="N460" s="476"/>
      <c r="O460" s="476"/>
      <c r="P460" s="476"/>
      <c r="Q460" s="476"/>
      <c r="R460" s="476"/>
      <c r="S460" s="476"/>
      <c r="T460" s="476"/>
      <c r="U460" s="476"/>
      <c r="V460" s="476"/>
      <c r="W460" s="476"/>
      <c r="X460" s="476"/>
      <c r="Y460" s="476"/>
      <c r="Z460" s="476"/>
      <c r="AA460" s="476"/>
      <c r="AB460" s="476"/>
      <c r="AC460" s="476"/>
      <c r="AD460" s="476"/>
      <c r="AE460" s="476"/>
      <c r="AF460" s="476"/>
      <c r="AG460" s="476"/>
      <c r="AH460" s="476"/>
      <c r="AI460" s="476"/>
      <c r="AJ460" s="476"/>
      <c r="AK460" s="476"/>
      <c r="AL460" s="476"/>
      <c r="AM460" s="476"/>
      <c r="AN460" s="476"/>
      <c r="AO460" s="476"/>
      <c r="AP460" s="476"/>
      <c r="AQ460" s="476"/>
      <c r="AR460" s="476"/>
      <c r="AS460" s="476"/>
      <c r="AT460" s="476"/>
      <c r="AU460" s="476"/>
    </row>
    <row r="461" spans="1:47" s="398" customFormat="1" ht="13.15" customHeight="1" x14ac:dyDescent="0.2">
      <c r="A461" s="476"/>
      <c r="D461" s="467"/>
      <c r="F461" s="468"/>
      <c r="G461" s="468"/>
      <c r="H461" s="468"/>
      <c r="I461" s="468"/>
      <c r="J461" s="469"/>
      <c r="L461" s="476"/>
      <c r="M461" s="476"/>
      <c r="N461" s="476"/>
      <c r="O461" s="476"/>
      <c r="P461" s="476"/>
      <c r="Q461" s="476"/>
      <c r="R461" s="476"/>
      <c r="S461" s="476"/>
      <c r="T461" s="476"/>
      <c r="U461" s="476"/>
      <c r="V461" s="476"/>
      <c r="W461" s="476"/>
      <c r="X461" s="476"/>
      <c r="Y461" s="476"/>
      <c r="Z461" s="476"/>
      <c r="AA461" s="476"/>
      <c r="AB461" s="476"/>
      <c r="AC461" s="476"/>
      <c r="AD461" s="476"/>
      <c r="AE461" s="476"/>
      <c r="AF461" s="476"/>
      <c r="AG461" s="476"/>
      <c r="AH461" s="476"/>
      <c r="AI461" s="476"/>
      <c r="AJ461" s="476"/>
      <c r="AK461" s="476"/>
      <c r="AL461" s="476"/>
      <c r="AM461" s="476"/>
      <c r="AN461" s="476"/>
      <c r="AO461" s="476"/>
      <c r="AP461" s="476"/>
      <c r="AQ461" s="476"/>
      <c r="AR461" s="476"/>
      <c r="AS461" s="476"/>
      <c r="AT461" s="476"/>
      <c r="AU461" s="476"/>
    </row>
    <row r="462" spans="1:47" s="398" customFormat="1" ht="13.15" customHeight="1" x14ac:dyDescent="0.2">
      <c r="A462" s="476"/>
      <c r="D462" s="467"/>
      <c r="F462" s="468"/>
      <c r="G462" s="468"/>
      <c r="H462" s="468"/>
      <c r="I462" s="468"/>
      <c r="J462" s="469"/>
      <c r="L462" s="476"/>
      <c r="M462" s="476"/>
      <c r="N462" s="476"/>
      <c r="O462" s="476"/>
      <c r="P462" s="476"/>
      <c r="Q462" s="476"/>
      <c r="R462" s="476"/>
      <c r="S462" s="476"/>
      <c r="T462" s="476"/>
      <c r="U462" s="476"/>
      <c r="V462" s="476"/>
      <c r="W462" s="476"/>
      <c r="X462" s="476"/>
      <c r="Y462" s="476"/>
      <c r="Z462" s="476"/>
      <c r="AA462" s="476"/>
      <c r="AB462" s="476"/>
      <c r="AC462" s="476"/>
      <c r="AD462" s="476"/>
      <c r="AE462" s="476"/>
      <c r="AF462" s="476"/>
      <c r="AG462" s="476"/>
      <c r="AH462" s="476"/>
      <c r="AI462" s="476"/>
      <c r="AJ462" s="476"/>
      <c r="AK462" s="476"/>
      <c r="AL462" s="476"/>
      <c r="AM462" s="476"/>
      <c r="AN462" s="476"/>
      <c r="AO462" s="476"/>
      <c r="AP462" s="476"/>
      <c r="AQ462" s="476"/>
      <c r="AR462" s="476"/>
      <c r="AS462" s="476"/>
      <c r="AT462" s="476"/>
      <c r="AU462" s="476"/>
    </row>
    <row r="463" spans="1:47" s="398" customFormat="1" ht="13.15" customHeight="1" x14ac:dyDescent="0.2">
      <c r="A463" s="476"/>
      <c r="D463" s="467"/>
      <c r="F463" s="468"/>
      <c r="G463" s="468"/>
      <c r="H463" s="468"/>
      <c r="I463" s="468"/>
      <c r="J463" s="469"/>
      <c r="L463" s="476"/>
      <c r="M463" s="476"/>
      <c r="N463" s="476"/>
      <c r="O463" s="476"/>
      <c r="P463" s="476"/>
      <c r="Q463" s="476"/>
      <c r="R463" s="476"/>
      <c r="S463" s="476"/>
      <c r="T463" s="476"/>
      <c r="U463" s="476"/>
      <c r="V463" s="476"/>
      <c r="W463" s="476"/>
      <c r="X463" s="476"/>
      <c r="Y463" s="476"/>
      <c r="Z463" s="476"/>
      <c r="AA463" s="476"/>
      <c r="AB463" s="476"/>
      <c r="AC463" s="476"/>
      <c r="AD463" s="476"/>
      <c r="AE463" s="476"/>
      <c r="AF463" s="476"/>
      <c r="AG463" s="476"/>
      <c r="AH463" s="476"/>
      <c r="AI463" s="476"/>
      <c r="AJ463" s="476"/>
      <c r="AK463" s="476"/>
      <c r="AL463" s="476"/>
      <c r="AM463" s="476"/>
      <c r="AN463" s="476"/>
      <c r="AO463" s="476"/>
      <c r="AP463" s="476"/>
      <c r="AQ463" s="476"/>
      <c r="AR463" s="476"/>
      <c r="AS463" s="476"/>
      <c r="AT463" s="476"/>
      <c r="AU463" s="476"/>
    </row>
    <row r="464" spans="1:47" s="398" customFormat="1" ht="13.15" customHeight="1" x14ac:dyDescent="0.2">
      <c r="A464" s="476"/>
      <c r="D464" s="467"/>
      <c r="F464" s="468"/>
      <c r="G464" s="468"/>
      <c r="H464" s="468"/>
      <c r="I464" s="468"/>
      <c r="J464" s="469"/>
      <c r="L464" s="476"/>
      <c r="M464" s="476"/>
      <c r="N464" s="476"/>
      <c r="O464" s="476"/>
      <c r="P464" s="476"/>
      <c r="Q464" s="476"/>
      <c r="R464" s="476"/>
      <c r="S464" s="476"/>
      <c r="T464" s="476"/>
      <c r="U464" s="476"/>
      <c r="V464" s="476"/>
      <c r="W464" s="476"/>
      <c r="X464" s="476"/>
      <c r="Y464" s="476"/>
      <c r="Z464" s="476"/>
      <c r="AA464" s="476"/>
      <c r="AB464" s="476"/>
      <c r="AC464" s="476"/>
      <c r="AD464" s="476"/>
      <c r="AE464" s="476"/>
      <c r="AF464" s="476"/>
      <c r="AG464" s="476"/>
      <c r="AH464" s="476"/>
      <c r="AI464" s="476"/>
      <c r="AJ464" s="476"/>
      <c r="AK464" s="476"/>
      <c r="AL464" s="476"/>
      <c r="AM464" s="476"/>
      <c r="AN464" s="476"/>
      <c r="AO464" s="476"/>
      <c r="AP464" s="476"/>
      <c r="AQ464" s="476"/>
      <c r="AR464" s="476"/>
      <c r="AS464" s="476"/>
      <c r="AT464" s="476"/>
      <c r="AU464" s="476"/>
    </row>
    <row r="465" spans="1:47" s="398" customFormat="1" ht="13.15" customHeight="1" x14ac:dyDescent="0.2">
      <c r="A465" s="476"/>
      <c r="D465" s="467"/>
      <c r="F465" s="468"/>
      <c r="G465" s="468"/>
      <c r="H465" s="468"/>
      <c r="I465" s="468"/>
      <c r="J465" s="469"/>
      <c r="L465" s="476"/>
      <c r="M465" s="476"/>
      <c r="N465" s="476"/>
      <c r="O465" s="476"/>
      <c r="P465" s="476"/>
      <c r="Q465" s="476"/>
      <c r="R465" s="476"/>
      <c r="S465" s="476"/>
      <c r="T465" s="476"/>
      <c r="U465" s="476"/>
      <c r="V465" s="476"/>
      <c r="W465" s="476"/>
      <c r="X465" s="476"/>
      <c r="Y465" s="476"/>
      <c r="Z465" s="476"/>
      <c r="AA465" s="476"/>
      <c r="AB465" s="476"/>
      <c r="AC465" s="476"/>
      <c r="AD465" s="476"/>
      <c r="AE465" s="476"/>
      <c r="AF465" s="476"/>
      <c r="AG465" s="476"/>
      <c r="AH465" s="476"/>
      <c r="AI465" s="476"/>
      <c r="AJ465" s="476"/>
      <c r="AK465" s="476"/>
      <c r="AL465" s="476"/>
      <c r="AM465" s="476"/>
      <c r="AN465" s="476"/>
      <c r="AO465" s="476"/>
      <c r="AP465" s="476"/>
      <c r="AQ465" s="476"/>
      <c r="AR465" s="476"/>
      <c r="AS465" s="476"/>
      <c r="AT465" s="476"/>
      <c r="AU465" s="476"/>
    </row>
    <row r="466" spans="1:47" s="398" customFormat="1" ht="13.15" customHeight="1" x14ac:dyDescent="0.2">
      <c r="A466" s="476"/>
      <c r="D466" s="467"/>
      <c r="F466" s="468"/>
      <c r="G466" s="468"/>
      <c r="H466" s="468"/>
      <c r="I466" s="468"/>
      <c r="J466" s="469"/>
      <c r="L466" s="476"/>
      <c r="M466" s="476"/>
      <c r="N466" s="476"/>
      <c r="O466" s="476"/>
      <c r="P466" s="476"/>
      <c r="Q466" s="476"/>
      <c r="R466" s="476"/>
      <c r="S466" s="476"/>
      <c r="T466" s="476"/>
      <c r="U466" s="476"/>
      <c r="V466" s="476"/>
      <c r="W466" s="476"/>
      <c r="X466" s="476"/>
      <c r="Y466" s="476"/>
      <c r="Z466" s="476"/>
      <c r="AA466" s="476"/>
      <c r="AB466" s="476"/>
      <c r="AC466" s="476"/>
      <c r="AD466" s="476"/>
      <c r="AE466" s="476"/>
      <c r="AF466" s="476"/>
      <c r="AG466" s="476"/>
      <c r="AH466" s="476"/>
      <c r="AI466" s="476"/>
      <c r="AJ466" s="476"/>
      <c r="AK466" s="476"/>
      <c r="AL466" s="476"/>
      <c r="AM466" s="476"/>
      <c r="AN466" s="476"/>
      <c r="AO466" s="476"/>
      <c r="AP466" s="476"/>
      <c r="AQ466" s="476"/>
      <c r="AR466" s="476"/>
      <c r="AS466" s="476"/>
      <c r="AT466" s="476"/>
      <c r="AU466" s="476"/>
    </row>
    <row r="467" spans="1:47" s="398" customFormat="1" ht="13.15" customHeight="1" x14ac:dyDescent="0.2">
      <c r="A467" s="476"/>
      <c r="D467" s="467"/>
      <c r="F467" s="468"/>
      <c r="G467" s="468"/>
      <c r="H467" s="468"/>
      <c r="I467" s="468"/>
      <c r="J467" s="469"/>
      <c r="L467" s="476"/>
      <c r="M467" s="476"/>
      <c r="N467" s="476"/>
      <c r="O467" s="476"/>
      <c r="P467" s="476"/>
      <c r="Q467" s="476"/>
      <c r="R467" s="476"/>
      <c r="S467" s="476"/>
      <c r="T467" s="476"/>
      <c r="U467" s="476"/>
      <c r="V467" s="476"/>
      <c r="W467" s="476"/>
      <c r="X467" s="476"/>
      <c r="Y467" s="476"/>
      <c r="Z467" s="476"/>
      <c r="AA467" s="476"/>
      <c r="AB467" s="476"/>
      <c r="AC467" s="476"/>
      <c r="AD467" s="476"/>
      <c r="AE467" s="476"/>
      <c r="AF467" s="476"/>
      <c r="AG467" s="476"/>
      <c r="AH467" s="476"/>
      <c r="AI467" s="476"/>
      <c r="AJ467" s="476"/>
      <c r="AK467" s="476"/>
      <c r="AL467" s="476"/>
      <c r="AM467" s="476"/>
      <c r="AN467" s="476"/>
      <c r="AO467" s="476"/>
      <c r="AP467" s="476"/>
      <c r="AQ467" s="476"/>
      <c r="AR467" s="476"/>
      <c r="AS467" s="476"/>
      <c r="AT467" s="476"/>
      <c r="AU467" s="476"/>
    </row>
    <row r="468" spans="1:47" s="398" customFormat="1" ht="13.15" customHeight="1" x14ac:dyDescent="0.2">
      <c r="A468" s="476"/>
      <c r="D468" s="467"/>
      <c r="F468" s="468"/>
      <c r="G468" s="468"/>
      <c r="H468" s="468"/>
      <c r="I468" s="468"/>
      <c r="J468" s="469"/>
      <c r="L468" s="476"/>
      <c r="M468" s="476"/>
      <c r="N468" s="476"/>
      <c r="O468" s="476"/>
      <c r="P468" s="476"/>
      <c r="Q468" s="476"/>
      <c r="R468" s="476"/>
      <c r="S468" s="476"/>
      <c r="T468" s="476"/>
      <c r="U468" s="476"/>
      <c r="V468" s="476"/>
      <c r="W468" s="476"/>
      <c r="X468" s="476"/>
      <c r="Y468" s="476"/>
      <c r="Z468" s="476"/>
      <c r="AA468" s="476"/>
      <c r="AB468" s="476"/>
      <c r="AC468" s="476"/>
      <c r="AD468" s="476"/>
      <c r="AE468" s="476"/>
      <c r="AF468" s="476"/>
      <c r="AG468" s="476"/>
      <c r="AH468" s="476"/>
      <c r="AI468" s="476"/>
      <c r="AJ468" s="476"/>
      <c r="AK468" s="476"/>
      <c r="AL468" s="476"/>
      <c r="AM468" s="476"/>
      <c r="AN468" s="476"/>
      <c r="AO468" s="476"/>
      <c r="AP468" s="476"/>
      <c r="AQ468" s="476"/>
      <c r="AR468" s="476"/>
      <c r="AS468" s="476"/>
      <c r="AT468" s="476"/>
      <c r="AU468" s="476"/>
    </row>
    <row r="469" spans="1:47" s="398" customFormat="1" ht="13.15" customHeight="1" x14ac:dyDescent="0.2">
      <c r="A469" s="476"/>
      <c r="D469" s="467"/>
      <c r="F469" s="468"/>
      <c r="G469" s="468"/>
      <c r="H469" s="468"/>
      <c r="I469" s="468"/>
      <c r="J469" s="469"/>
      <c r="L469" s="476"/>
      <c r="M469" s="476"/>
      <c r="N469" s="476"/>
      <c r="O469" s="476"/>
      <c r="P469" s="476"/>
      <c r="Q469" s="476"/>
      <c r="R469" s="476"/>
      <c r="S469" s="476"/>
      <c r="T469" s="476"/>
      <c r="U469" s="476"/>
      <c r="V469" s="476"/>
      <c r="W469" s="476"/>
      <c r="X469" s="476"/>
      <c r="Y469" s="476"/>
      <c r="Z469" s="476"/>
      <c r="AA469" s="476"/>
      <c r="AB469" s="476"/>
      <c r="AC469" s="476"/>
      <c r="AD469" s="476"/>
      <c r="AE469" s="476"/>
      <c r="AF469" s="476"/>
      <c r="AG469" s="476"/>
      <c r="AH469" s="476"/>
      <c r="AI469" s="476"/>
      <c r="AJ469" s="476"/>
      <c r="AK469" s="476"/>
      <c r="AL469" s="476"/>
      <c r="AM469" s="476"/>
      <c r="AN469" s="476"/>
      <c r="AO469" s="476"/>
      <c r="AP469" s="476"/>
      <c r="AQ469" s="476"/>
      <c r="AR469" s="476"/>
      <c r="AS469" s="476"/>
      <c r="AT469" s="476"/>
      <c r="AU469" s="476"/>
    </row>
    <row r="470" spans="1:47" s="398" customFormat="1" ht="13.15" customHeight="1" x14ac:dyDescent="0.2">
      <c r="A470" s="476"/>
      <c r="D470" s="467"/>
      <c r="F470" s="468"/>
      <c r="G470" s="468"/>
      <c r="H470" s="468"/>
      <c r="I470" s="468"/>
      <c r="J470" s="469"/>
      <c r="L470" s="476"/>
      <c r="M470" s="476"/>
      <c r="N470" s="476"/>
      <c r="O470" s="476"/>
      <c r="P470" s="476"/>
      <c r="Q470" s="476"/>
      <c r="R470" s="476"/>
      <c r="S470" s="476"/>
      <c r="T470" s="476"/>
      <c r="U470" s="476"/>
      <c r="V470" s="476"/>
      <c r="W470" s="476"/>
      <c r="X470" s="476"/>
      <c r="Y470" s="476"/>
      <c r="Z470" s="476"/>
      <c r="AA470" s="476"/>
      <c r="AB470" s="476"/>
      <c r="AC470" s="476"/>
      <c r="AD470" s="476"/>
      <c r="AE470" s="476"/>
      <c r="AF470" s="476"/>
      <c r="AG470" s="476"/>
      <c r="AH470" s="476"/>
      <c r="AI470" s="476"/>
      <c r="AJ470" s="476"/>
      <c r="AK470" s="476"/>
      <c r="AL470" s="476"/>
      <c r="AM470" s="476"/>
      <c r="AN470" s="476"/>
      <c r="AO470" s="476"/>
      <c r="AP470" s="476"/>
      <c r="AQ470" s="476"/>
      <c r="AR470" s="476"/>
      <c r="AS470" s="476"/>
      <c r="AT470" s="476"/>
      <c r="AU470" s="476"/>
    </row>
    <row r="471" spans="1:47" s="398" customFormat="1" ht="13.15" customHeight="1" x14ac:dyDescent="0.2">
      <c r="A471" s="476"/>
      <c r="D471" s="467"/>
      <c r="F471" s="468"/>
      <c r="G471" s="468"/>
      <c r="H471" s="468"/>
      <c r="I471" s="468"/>
      <c r="J471" s="469"/>
      <c r="L471" s="476"/>
      <c r="M471" s="476"/>
      <c r="N471" s="476"/>
      <c r="O471" s="476"/>
      <c r="P471" s="476"/>
      <c r="Q471" s="476"/>
      <c r="R471" s="476"/>
      <c r="S471" s="476"/>
      <c r="T471" s="476"/>
      <c r="U471" s="476"/>
      <c r="V471" s="476"/>
      <c r="W471" s="476"/>
      <c r="X471" s="476"/>
      <c r="Y471" s="476"/>
      <c r="Z471" s="476"/>
      <c r="AA471" s="476"/>
      <c r="AB471" s="476"/>
      <c r="AC471" s="476"/>
      <c r="AD471" s="476"/>
      <c r="AE471" s="476"/>
      <c r="AF471" s="476"/>
      <c r="AG471" s="476"/>
      <c r="AH471" s="476"/>
      <c r="AI471" s="476"/>
      <c r="AJ471" s="476"/>
      <c r="AK471" s="476"/>
      <c r="AL471" s="476"/>
      <c r="AM471" s="476"/>
      <c r="AN471" s="476"/>
      <c r="AO471" s="476"/>
      <c r="AP471" s="476"/>
      <c r="AQ471" s="476"/>
      <c r="AR471" s="476"/>
      <c r="AS471" s="476"/>
      <c r="AT471" s="476"/>
      <c r="AU471" s="476"/>
    </row>
    <row r="472" spans="1:47" s="398" customFormat="1" ht="13.15" customHeight="1" x14ac:dyDescent="0.2">
      <c r="A472" s="476"/>
      <c r="D472" s="467"/>
      <c r="F472" s="468"/>
      <c r="G472" s="468"/>
      <c r="H472" s="468"/>
      <c r="I472" s="468"/>
      <c r="J472" s="469"/>
      <c r="L472" s="476"/>
      <c r="M472" s="476"/>
      <c r="N472" s="476"/>
      <c r="O472" s="476"/>
      <c r="P472" s="476"/>
      <c r="Q472" s="476"/>
      <c r="R472" s="476"/>
      <c r="S472" s="476"/>
      <c r="T472" s="476"/>
      <c r="U472" s="476"/>
      <c r="V472" s="476"/>
      <c r="W472" s="476"/>
      <c r="X472" s="476"/>
      <c r="Y472" s="476"/>
      <c r="Z472" s="476"/>
      <c r="AA472" s="476"/>
      <c r="AB472" s="476"/>
      <c r="AC472" s="476"/>
      <c r="AD472" s="476"/>
      <c r="AE472" s="476"/>
      <c r="AF472" s="476"/>
      <c r="AG472" s="476"/>
      <c r="AH472" s="476"/>
      <c r="AI472" s="476"/>
      <c r="AJ472" s="476"/>
      <c r="AK472" s="476"/>
      <c r="AL472" s="476"/>
      <c r="AM472" s="476"/>
      <c r="AN472" s="476"/>
      <c r="AO472" s="476"/>
      <c r="AP472" s="476"/>
      <c r="AQ472" s="476"/>
      <c r="AR472" s="476"/>
      <c r="AS472" s="476"/>
      <c r="AT472" s="476"/>
      <c r="AU472" s="476"/>
    </row>
    <row r="473" spans="1:47" s="398" customFormat="1" ht="13.15" customHeight="1" x14ac:dyDescent="0.2">
      <c r="A473" s="476"/>
      <c r="D473" s="467"/>
      <c r="F473" s="468"/>
      <c r="G473" s="468"/>
      <c r="H473" s="468"/>
      <c r="I473" s="468"/>
      <c r="J473" s="469"/>
      <c r="L473" s="476"/>
      <c r="M473" s="476"/>
      <c r="N473" s="476"/>
      <c r="O473" s="476"/>
      <c r="P473" s="476"/>
      <c r="Q473" s="476"/>
      <c r="R473" s="476"/>
      <c r="S473" s="476"/>
      <c r="T473" s="476"/>
      <c r="U473" s="476"/>
      <c r="V473" s="476"/>
      <c r="W473" s="476"/>
      <c r="X473" s="476"/>
      <c r="Y473" s="476"/>
      <c r="Z473" s="476"/>
      <c r="AA473" s="476"/>
      <c r="AB473" s="476"/>
      <c r="AC473" s="476"/>
      <c r="AD473" s="476"/>
      <c r="AE473" s="476"/>
      <c r="AF473" s="476"/>
      <c r="AG473" s="476"/>
      <c r="AH473" s="476"/>
      <c r="AI473" s="476"/>
      <c r="AJ473" s="476"/>
      <c r="AK473" s="476"/>
      <c r="AL473" s="476"/>
      <c r="AM473" s="476"/>
      <c r="AN473" s="476"/>
      <c r="AO473" s="476"/>
      <c r="AP473" s="476"/>
      <c r="AQ473" s="476"/>
      <c r="AR473" s="476"/>
      <c r="AS473" s="476"/>
      <c r="AT473" s="476"/>
      <c r="AU473" s="476"/>
    </row>
    <row r="474" spans="1:47" s="398" customFormat="1" ht="13.15" customHeight="1" x14ac:dyDescent="0.2">
      <c r="A474" s="476"/>
      <c r="D474" s="467"/>
      <c r="F474" s="468"/>
      <c r="G474" s="468"/>
      <c r="H474" s="468"/>
      <c r="I474" s="468"/>
      <c r="J474" s="469"/>
      <c r="L474" s="476"/>
      <c r="M474" s="476"/>
      <c r="N474" s="476"/>
      <c r="O474" s="476"/>
      <c r="P474" s="476"/>
      <c r="Q474" s="476"/>
      <c r="R474" s="476"/>
      <c r="S474" s="476"/>
      <c r="T474" s="476"/>
      <c r="U474" s="476"/>
      <c r="V474" s="476"/>
      <c r="W474" s="476"/>
      <c r="X474" s="476"/>
      <c r="Y474" s="476"/>
      <c r="Z474" s="476"/>
      <c r="AA474" s="476"/>
      <c r="AB474" s="476"/>
      <c r="AC474" s="476"/>
      <c r="AD474" s="476"/>
      <c r="AE474" s="476"/>
      <c r="AF474" s="476"/>
      <c r="AG474" s="476"/>
      <c r="AH474" s="476"/>
      <c r="AI474" s="476"/>
      <c r="AJ474" s="476"/>
      <c r="AK474" s="476"/>
      <c r="AL474" s="476"/>
      <c r="AM474" s="476"/>
      <c r="AN474" s="476"/>
      <c r="AO474" s="476"/>
      <c r="AP474" s="476"/>
      <c r="AQ474" s="476"/>
      <c r="AR474" s="476"/>
      <c r="AS474" s="476"/>
      <c r="AT474" s="476"/>
      <c r="AU474" s="476"/>
    </row>
    <row r="475" spans="1:47" s="398" customFormat="1" ht="13.15" customHeight="1" x14ac:dyDescent="0.2">
      <c r="A475" s="476"/>
      <c r="D475" s="467"/>
      <c r="F475" s="468"/>
      <c r="G475" s="468"/>
      <c r="H475" s="468"/>
      <c r="I475" s="468"/>
      <c r="J475" s="469"/>
      <c r="L475" s="476"/>
      <c r="M475" s="476"/>
      <c r="N475" s="476"/>
      <c r="O475" s="476"/>
      <c r="P475" s="476"/>
      <c r="Q475" s="476"/>
      <c r="R475" s="476"/>
      <c r="S475" s="476"/>
      <c r="T475" s="476"/>
      <c r="U475" s="476"/>
      <c r="V475" s="476"/>
      <c r="W475" s="476"/>
      <c r="X475" s="476"/>
      <c r="Y475" s="476"/>
      <c r="Z475" s="476"/>
      <c r="AA475" s="476"/>
      <c r="AB475" s="476"/>
      <c r="AC475" s="476"/>
      <c r="AD475" s="476"/>
      <c r="AE475" s="476"/>
      <c r="AF475" s="476"/>
      <c r="AG475" s="476"/>
      <c r="AH475" s="476"/>
      <c r="AI475" s="476"/>
      <c r="AJ475" s="476"/>
      <c r="AK475" s="476"/>
      <c r="AL475" s="476"/>
      <c r="AM475" s="476"/>
      <c r="AN475" s="476"/>
      <c r="AO475" s="476"/>
      <c r="AP475" s="476"/>
      <c r="AQ475" s="476"/>
      <c r="AR475" s="476"/>
      <c r="AS475" s="476"/>
      <c r="AT475" s="476"/>
      <c r="AU475" s="476"/>
    </row>
    <row r="476" spans="1:47" s="398" customFormat="1" ht="13.15" customHeight="1" x14ac:dyDescent="0.2">
      <c r="A476" s="476"/>
      <c r="D476" s="467"/>
      <c r="F476" s="468"/>
      <c r="G476" s="468"/>
      <c r="H476" s="468"/>
      <c r="I476" s="468"/>
      <c r="J476" s="469"/>
      <c r="L476" s="476"/>
      <c r="M476" s="476"/>
      <c r="N476" s="476"/>
      <c r="O476" s="476"/>
      <c r="P476" s="476"/>
      <c r="Q476" s="476"/>
      <c r="R476" s="476"/>
      <c r="S476" s="476"/>
      <c r="T476" s="476"/>
      <c r="U476" s="476"/>
      <c r="V476" s="476"/>
      <c r="W476" s="476"/>
      <c r="X476" s="476"/>
      <c r="Y476" s="476"/>
      <c r="Z476" s="476"/>
      <c r="AA476" s="476"/>
      <c r="AB476" s="476"/>
      <c r="AC476" s="476"/>
      <c r="AD476" s="476"/>
      <c r="AE476" s="476"/>
      <c r="AF476" s="476"/>
      <c r="AG476" s="476"/>
      <c r="AH476" s="476"/>
      <c r="AI476" s="476"/>
      <c r="AJ476" s="476"/>
      <c r="AK476" s="476"/>
      <c r="AL476" s="476"/>
      <c r="AM476" s="476"/>
      <c r="AN476" s="476"/>
      <c r="AO476" s="476"/>
      <c r="AP476" s="476"/>
      <c r="AQ476" s="476"/>
      <c r="AR476" s="476"/>
      <c r="AS476" s="476"/>
      <c r="AT476" s="476"/>
      <c r="AU476" s="476"/>
    </row>
    <row r="477" spans="1:47" s="398" customFormat="1" ht="13.15" customHeight="1" x14ac:dyDescent="0.2">
      <c r="A477" s="476"/>
      <c r="D477" s="467"/>
      <c r="F477" s="468"/>
      <c r="G477" s="468"/>
      <c r="H477" s="468"/>
      <c r="I477" s="468"/>
      <c r="J477" s="469"/>
      <c r="L477" s="476"/>
      <c r="M477" s="476"/>
      <c r="N477" s="476"/>
      <c r="O477" s="476"/>
      <c r="P477" s="476"/>
      <c r="Q477" s="476"/>
      <c r="R477" s="476"/>
      <c r="S477" s="476"/>
      <c r="T477" s="476"/>
      <c r="U477" s="476"/>
      <c r="V477" s="476"/>
      <c r="W477" s="476"/>
      <c r="X477" s="476"/>
      <c r="Y477" s="476"/>
      <c r="Z477" s="476"/>
      <c r="AA477" s="476"/>
      <c r="AB477" s="476"/>
      <c r="AC477" s="476"/>
      <c r="AD477" s="476"/>
      <c r="AE477" s="476"/>
      <c r="AF477" s="476"/>
      <c r="AG477" s="476"/>
      <c r="AH477" s="476"/>
      <c r="AI477" s="476"/>
      <c r="AJ477" s="476"/>
      <c r="AK477" s="476"/>
      <c r="AL477" s="476"/>
      <c r="AM477" s="476"/>
      <c r="AN477" s="476"/>
      <c r="AO477" s="476"/>
      <c r="AP477" s="476"/>
      <c r="AQ477" s="476"/>
      <c r="AR477" s="476"/>
      <c r="AS477" s="476"/>
      <c r="AT477" s="476"/>
      <c r="AU477" s="476"/>
    </row>
    <row r="478" spans="1:47" s="398" customFormat="1" ht="13.15" customHeight="1" x14ac:dyDescent="0.2">
      <c r="A478" s="476"/>
      <c r="D478" s="467"/>
      <c r="F478" s="468"/>
      <c r="G478" s="468"/>
      <c r="H478" s="468"/>
      <c r="I478" s="468"/>
      <c r="J478" s="469"/>
      <c r="L478" s="476"/>
      <c r="M478" s="476"/>
      <c r="N478" s="476"/>
      <c r="O478" s="476"/>
      <c r="P478" s="476"/>
      <c r="Q478" s="476"/>
      <c r="R478" s="476"/>
      <c r="S478" s="476"/>
      <c r="T478" s="476"/>
      <c r="U478" s="476"/>
      <c r="V478" s="476"/>
      <c r="W478" s="476"/>
      <c r="X478" s="476"/>
      <c r="Y478" s="476"/>
      <c r="Z478" s="476"/>
      <c r="AA478" s="476"/>
      <c r="AB478" s="476"/>
      <c r="AC478" s="476"/>
      <c r="AD478" s="476"/>
      <c r="AE478" s="476"/>
      <c r="AF478" s="476"/>
      <c r="AG478" s="476"/>
      <c r="AH478" s="476"/>
      <c r="AI478" s="476"/>
      <c r="AJ478" s="476"/>
      <c r="AK478" s="476"/>
      <c r="AL478" s="476"/>
      <c r="AM478" s="476"/>
      <c r="AN478" s="476"/>
      <c r="AO478" s="476"/>
      <c r="AP478" s="476"/>
      <c r="AQ478" s="476"/>
      <c r="AR478" s="476"/>
      <c r="AS478" s="476"/>
      <c r="AT478" s="476"/>
      <c r="AU478" s="476"/>
    </row>
    <row r="479" spans="1:47" s="398" customFormat="1" ht="13.15" customHeight="1" x14ac:dyDescent="0.2">
      <c r="A479" s="476"/>
      <c r="D479" s="467"/>
      <c r="F479" s="468"/>
      <c r="G479" s="468"/>
      <c r="H479" s="468"/>
      <c r="I479" s="468"/>
      <c r="J479" s="469"/>
      <c r="L479" s="476"/>
      <c r="M479" s="476"/>
      <c r="N479" s="476"/>
      <c r="O479" s="476"/>
      <c r="P479" s="476"/>
      <c r="Q479" s="476"/>
      <c r="R479" s="476"/>
      <c r="S479" s="476"/>
      <c r="T479" s="476"/>
      <c r="U479" s="476"/>
      <c r="V479" s="476"/>
      <c r="W479" s="476"/>
      <c r="X479" s="476"/>
      <c r="Y479" s="476"/>
      <c r="Z479" s="476"/>
      <c r="AA479" s="476"/>
      <c r="AB479" s="476"/>
      <c r="AC479" s="476"/>
      <c r="AD479" s="476"/>
      <c r="AE479" s="476"/>
      <c r="AF479" s="476"/>
      <c r="AG479" s="476"/>
      <c r="AH479" s="476"/>
      <c r="AI479" s="476"/>
      <c r="AJ479" s="476"/>
      <c r="AK479" s="476"/>
      <c r="AL479" s="476"/>
      <c r="AM479" s="476"/>
      <c r="AN479" s="476"/>
      <c r="AO479" s="476"/>
      <c r="AP479" s="476"/>
      <c r="AQ479" s="476"/>
      <c r="AR479" s="476"/>
      <c r="AS479" s="476"/>
      <c r="AT479" s="476"/>
      <c r="AU479" s="476"/>
    </row>
    <row r="480" spans="1:47" s="398" customFormat="1" ht="13.15" customHeight="1" x14ac:dyDescent="0.2">
      <c r="A480" s="476"/>
      <c r="D480" s="467"/>
      <c r="F480" s="468"/>
      <c r="G480" s="468"/>
      <c r="H480" s="468"/>
      <c r="I480" s="468"/>
      <c r="J480" s="469"/>
      <c r="L480" s="476"/>
      <c r="M480" s="476"/>
      <c r="N480" s="476"/>
      <c r="O480" s="476"/>
      <c r="P480" s="476"/>
      <c r="Q480" s="476"/>
      <c r="R480" s="476"/>
      <c r="S480" s="476"/>
      <c r="T480" s="476"/>
      <c r="U480" s="476"/>
      <c r="V480" s="476"/>
      <c r="W480" s="476"/>
      <c r="X480" s="476"/>
      <c r="Y480" s="476"/>
      <c r="Z480" s="476"/>
      <c r="AA480" s="476"/>
      <c r="AB480" s="476"/>
      <c r="AC480" s="476"/>
      <c r="AD480" s="476"/>
      <c r="AE480" s="476"/>
      <c r="AF480" s="476"/>
      <c r="AG480" s="476"/>
      <c r="AH480" s="476"/>
      <c r="AI480" s="476"/>
      <c r="AJ480" s="476"/>
      <c r="AK480" s="476"/>
      <c r="AL480" s="476"/>
      <c r="AM480" s="476"/>
      <c r="AN480" s="476"/>
      <c r="AO480" s="476"/>
      <c r="AP480" s="476"/>
      <c r="AQ480" s="476"/>
      <c r="AR480" s="476"/>
      <c r="AS480" s="476"/>
      <c r="AT480" s="476"/>
      <c r="AU480" s="476"/>
    </row>
    <row r="481" spans="1:47" s="398" customFormat="1" ht="13.15" customHeight="1" x14ac:dyDescent="0.2">
      <c r="A481" s="476"/>
      <c r="D481" s="467"/>
      <c r="F481" s="468"/>
      <c r="G481" s="468"/>
      <c r="H481" s="468"/>
      <c r="I481" s="468"/>
      <c r="J481" s="469"/>
      <c r="L481" s="476"/>
      <c r="M481" s="476"/>
      <c r="N481" s="476"/>
      <c r="O481" s="476"/>
      <c r="P481" s="476"/>
      <c r="Q481" s="476"/>
      <c r="R481" s="476"/>
      <c r="S481" s="476"/>
      <c r="T481" s="476"/>
      <c r="U481" s="476"/>
      <c r="V481" s="476"/>
      <c r="W481" s="476"/>
      <c r="X481" s="476"/>
      <c r="Y481" s="476"/>
      <c r="Z481" s="476"/>
      <c r="AA481" s="476"/>
      <c r="AB481" s="476"/>
      <c r="AC481" s="476"/>
      <c r="AD481" s="476"/>
      <c r="AE481" s="476"/>
      <c r="AF481" s="476"/>
      <c r="AG481" s="476"/>
      <c r="AH481" s="476"/>
      <c r="AI481" s="476"/>
      <c r="AJ481" s="476"/>
      <c r="AK481" s="476"/>
      <c r="AL481" s="476"/>
      <c r="AM481" s="476"/>
      <c r="AN481" s="476"/>
      <c r="AO481" s="476"/>
      <c r="AP481" s="476"/>
      <c r="AQ481" s="476"/>
      <c r="AR481" s="476"/>
      <c r="AS481" s="476"/>
      <c r="AT481" s="476"/>
      <c r="AU481" s="476"/>
    </row>
    <row r="482" spans="1:47" s="398" customFormat="1" ht="13.15" customHeight="1" x14ac:dyDescent="0.2">
      <c r="A482" s="476"/>
      <c r="D482" s="467"/>
      <c r="F482" s="468"/>
      <c r="G482" s="468"/>
      <c r="H482" s="468"/>
      <c r="I482" s="468"/>
      <c r="J482" s="469"/>
      <c r="L482" s="476"/>
      <c r="M482" s="476"/>
      <c r="N482" s="476"/>
      <c r="O482" s="476"/>
      <c r="P482" s="476"/>
      <c r="Q482" s="476"/>
      <c r="R482" s="476"/>
      <c r="S482" s="476"/>
      <c r="T482" s="476"/>
      <c r="U482" s="476"/>
      <c r="V482" s="476"/>
      <c r="W482" s="476"/>
      <c r="X482" s="476"/>
      <c r="Y482" s="476"/>
      <c r="Z482" s="476"/>
      <c r="AA482" s="476"/>
      <c r="AB482" s="476"/>
      <c r="AC482" s="476"/>
      <c r="AD482" s="476"/>
      <c r="AE482" s="476"/>
      <c r="AF482" s="476"/>
      <c r="AG482" s="476"/>
      <c r="AH482" s="476"/>
      <c r="AI482" s="476"/>
      <c r="AJ482" s="476"/>
      <c r="AK482" s="476"/>
      <c r="AL482" s="476"/>
      <c r="AM482" s="476"/>
      <c r="AN482" s="476"/>
      <c r="AO482" s="476"/>
      <c r="AP482" s="476"/>
      <c r="AQ482" s="476"/>
      <c r="AR482" s="476"/>
      <c r="AS482" s="476"/>
      <c r="AT482" s="476"/>
      <c r="AU482" s="476"/>
    </row>
    <row r="483" spans="1:47" s="398" customFormat="1" ht="13.15" customHeight="1" x14ac:dyDescent="0.2">
      <c r="A483" s="476"/>
      <c r="D483" s="467"/>
      <c r="F483" s="468"/>
      <c r="G483" s="468"/>
      <c r="H483" s="468"/>
      <c r="I483" s="468"/>
      <c r="J483" s="469"/>
      <c r="L483" s="476"/>
      <c r="M483" s="476"/>
      <c r="N483" s="476"/>
      <c r="O483" s="476"/>
      <c r="P483" s="476"/>
      <c r="Q483" s="476"/>
      <c r="R483" s="476"/>
      <c r="S483" s="476"/>
      <c r="T483" s="476"/>
      <c r="U483" s="476"/>
      <c r="V483" s="476"/>
      <c r="W483" s="476"/>
      <c r="X483" s="476"/>
      <c r="Y483" s="476"/>
      <c r="Z483" s="476"/>
      <c r="AA483" s="476"/>
      <c r="AB483" s="476"/>
      <c r="AC483" s="476"/>
      <c r="AD483" s="476"/>
      <c r="AE483" s="476"/>
      <c r="AF483" s="476"/>
      <c r="AG483" s="476"/>
      <c r="AH483" s="476"/>
      <c r="AI483" s="476"/>
      <c r="AJ483" s="476"/>
      <c r="AK483" s="476"/>
      <c r="AL483" s="476"/>
      <c r="AM483" s="476"/>
      <c r="AN483" s="476"/>
      <c r="AO483" s="476"/>
      <c r="AP483" s="476"/>
      <c r="AQ483" s="476"/>
      <c r="AR483" s="476"/>
      <c r="AS483" s="476"/>
      <c r="AT483" s="476"/>
      <c r="AU483" s="476"/>
    </row>
    <row r="484" spans="1:47" s="398" customFormat="1" ht="13.15" customHeight="1" x14ac:dyDescent="0.2">
      <c r="A484" s="476"/>
      <c r="D484" s="467"/>
      <c r="F484" s="468"/>
      <c r="G484" s="468"/>
      <c r="H484" s="468"/>
      <c r="I484" s="468"/>
      <c r="J484" s="469"/>
      <c r="L484" s="476"/>
      <c r="M484" s="476"/>
      <c r="N484" s="476"/>
      <c r="O484" s="476"/>
      <c r="P484" s="476"/>
      <c r="Q484" s="476"/>
      <c r="R484" s="476"/>
      <c r="S484" s="476"/>
      <c r="T484" s="476"/>
      <c r="U484" s="476"/>
      <c r="V484" s="476"/>
      <c r="W484" s="476"/>
      <c r="X484" s="476"/>
      <c r="Y484" s="476"/>
      <c r="Z484" s="476"/>
      <c r="AA484" s="476"/>
      <c r="AB484" s="476"/>
      <c r="AC484" s="476"/>
      <c r="AD484" s="476"/>
      <c r="AE484" s="476"/>
      <c r="AF484" s="476"/>
      <c r="AG484" s="476"/>
      <c r="AH484" s="476"/>
      <c r="AI484" s="476"/>
      <c r="AJ484" s="476"/>
      <c r="AK484" s="476"/>
      <c r="AL484" s="476"/>
      <c r="AM484" s="476"/>
      <c r="AN484" s="476"/>
      <c r="AO484" s="476"/>
      <c r="AP484" s="476"/>
      <c r="AQ484" s="476"/>
      <c r="AR484" s="476"/>
      <c r="AS484" s="476"/>
      <c r="AT484" s="476"/>
      <c r="AU484" s="476"/>
    </row>
    <row r="485" spans="1:47" s="398" customFormat="1" ht="13.15" customHeight="1" x14ac:dyDescent="0.2">
      <c r="A485" s="476"/>
      <c r="D485" s="467"/>
      <c r="F485" s="468"/>
      <c r="G485" s="468"/>
      <c r="H485" s="468"/>
      <c r="I485" s="468"/>
      <c r="J485" s="469"/>
      <c r="L485" s="476"/>
      <c r="M485" s="476"/>
      <c r="N485" s="476"/>
      <c r="O485" s="476"/>
      <c r="P485" s="476"/>
      <c r="Q485" s="476"/>
      <c r="R485" s="476"/>
      <c r="S485" s="476"/>
      <c r="T485" s="476"/>
      <c r="U485" s="476"/>
      <c r="V485" s="476"/>
      <c r="W485" s="476"/>
      <c r="X485" s="476"/>
      <c r="Y485" s="476"/>
      <c r="Z485" s="476"/>
      <c r="AA485" s="476"/>
      <c r="AB485" s="476"/>
      <c r="AC485" s="476"/>
      <c r="AD485" s="476"/>
      <c r="AE485" s="476"/>
      <c r="AF485" s="476"/>
      <c r="AG485" s="476"/>
      <c r="AH485" s="476"/>
      <c r="AI485" s="476"/>
      <c r="AJ485" s="476"/>
      <c r="AK485" s="476"/>
      <c r="AL485" s="476"/>
      <c r="AM485" s="476"/>
      <c r="AN485" s="476"/>
      <c r="AO485" s="476"/>
      <c r="AP485" s="476"/>
      <c r="AQ485" s="476"/>
      <c r="AR485" s="476"/>
      <c r="AS485" s="476"/>
      <c r="AT485" s="476"/>
      <c r="AU485" s="476"/>
    </row>
    <row r="486" spans="1:47" s="398" customFormat="1" ht="13.15" customHeight="1" x14ac:dyDescent="0.2">
      <c r="A486" s="476"/>
      <c r="D486" s="467"/>
      <c r="F486" s="468"/>
      <c r="G486" s="468"/>
      <c r="H486" s="468"/>
      <c r="I486" s="468"/>
      <c r="J486" s="469"/>
      <c r="L486" s="476"/>
      <c r="M486" s="476"/>
      <c r="N486" s="476"/>
      <c r="O486" s="476"/>
      <c r="P486" s="476"/>
      <c r="Q486" s="476"/>
      <c r="R486" s="476"/>
      <c r="S486" s="476"/>
      <c r="T486" s="476"/>
      <c r="U486" s="476"/>
      <c r="V486" s="476"/>
      <c r="W486" s="476"/>
      <c r="X486" s="476"/>
      <c r="Y486" s="476"/>
      <c r="Z486" s="476"/>
      <c r="AA486" s="476"/>
      <c r="AB486" s="476"/>
      <c r="AC486" s="476"/>
      <c r="AD486" s="476"/>
      <c r="AE486" s="476"/>
      <c r="AF486" s="476"/>
      <c r="AG486" s="476"/>
      <c r="AH486" s="476"/>
      <c r="AI486" s="476"/>
      <c r="AJ486" s="476"/>
      <c r="AK486" s="476"/>
      <c r="AL486" s="476"/>
      <c r="AM486" s="476"/>
      <c r="AN486" s="476"/>
      <c r="AO486" s="476"/>
      <c r="AP486" s="476"/>
      <c r="AQ486" s="476"/>
      <c r="AR486" s="476"/>
      <c r="AS486" s="476"/>
      <c r="AT486" s="476"/>
      <c r="AU486" s="476"/>
    </row>
    <row r="487" spans="1:47" s="398" customFormat="1" ht="13.15" customHeight="1" x14ac:dyDescent="0.2">
      <c r="A487" s="476"/>
      <c r="D487" s="467"/>
      <c r="F487" s="468"/>
      <c r="G487" s="468"/>
      <c r="H487" s="468"/>
      <c r="I487" s="468"/>
      <c r="J487" s="469"/>
      <c r="L487" s="476"/>
      <c r="M487" s="476"/>
      <c r="N487" s="476"/>
      <c r="O487" s="476"/>
      <c r="P487" s="476"/>
      <c r="Q487" s="476"/>
      <c r="R487" s="476"/>
      <c r="S487" s="476"/>
      <c r="T487" s="476"/>
      <c r="U487" s="476"/>
      <c r="V487" s="476"/>
      <c r="W487" s="476"/>
      <c r="X487" s="476"/>
      <c r="Y487" s="476"/>
      <c r="Z487" s="476"/>
      <c r="AA487" s="476"/>
      <c r="AB487" s="476"/>
      <c r="AC487" s="476"/>
      <c r="AD487" s="476"/>
      <c r="AE487" s="476"/>
      <c r="AF487" s="476"/>
      <c r="AG487" s="476"/>
      <c r="AH487" s="476"/>
      <c r="AI487" s="476"/>
      <c r="AJ487" s="476"/>
      <c r="AK487" s="476"/>
      <c r="AL487" s="476"/>
      <c r="AM487" s="476"/>
      <c r="AN487" s="476"/>
      <c r="AO487" s="476"/>
      <c r="AP487" s="476"/>
      <c r="AQ487" s="476"/>
      <c r="AR487" s="476"/>
      <c r="AS487" s="476"/>
      <c r="AT487" s="476"/>
      <c r="AU487" s="476"/>
    </row>
    <row r="488" spans="1:47" s="398" customFormat="1" ht="13.15" customHeight="1" x14ac:dyDescent="0.2">
      <c r="A488" s="476"/>
      <c r="D488" s="467"/>
      <c r="F488" s="468"/>
      <c r="G488" s="468"/>
      <c r="H488" s="468"/>
      <c r="I488" s="468"/>
      <c r="J488" s="469"/>
      <c r="L488" s="476"/>
      <c r="M488" s="476"/>
      <c r="N488" s="476"/>
      <c r="O488" s="476"/>
      <c r="P488" s="476"/>
      <c r="Q488" s="476"/>
      <c r="R488" s="476"/>
      <c r="S488" s="476"/>
      <c r="T488" s="476"/>
      <c r="U488" s="476"/>
      <c r="V488" s="476"/>
      <c r="W488" s="476"/>
      <c r="X488" s="476"/>
      <c r="Y488" s="476"/>
      <c r="Z488" s="476"/>
      <c r="AA488" s="476"/>
      <c r="AB488" s="476"/>
      <c r="AC488" s="476"/>
      <c r="AD488" s="476"/>
      <c r="AE488" s="476"/>
      <c r="AF488" s="476"/>
      <c r="AG488" s="476"/>
      <c r="AH488" s="476"/>
      <c r="AI488" s="476"/>
      <c r="AJ488" s="476"/>
      <c r="AK488" s="476"/>
      <c r="AL488" s="476"/>
      <c r="AM488" s="476"/>
      <c r="AN488" s="476"/>
      <c r="AO488" s="476"/>
      <c r="AP488" s="476"/>
      <c r="AQ488" s="476"/>
      <c r="AR488" s="476"/>
      <c r="AS488" s="476"/>
      <c r="AT488" s="476"/>
      <c r="AU488" s="476"/>
    </row>
    <row r="489" spans="1:47" s="398" customFormat="1" ht="13.15" customHeight="1" x14ac:dyDescent="0.2">
      <c r="A489" s="476"/>
      <c r="D489" s="467"/>
      <c r="F489" s="468"/>
      <c r="G489" s="468"/>
      <c r="H489" s="468"/>
      <c r="I489" s="468"/>
      <c r="J489" s="469"/>
      <c r="L489" s="476"/>
      <c r="M489" s="476"/>
      <c r="N489" s="476"/>
      <c r="O489" s="476"/>
      <c r="P489" s="476"/>
      <c r="Q489" s="476"/>
      <c r="R489" s="476"/>
      <c r="S489" s="476"/>
      <c r="T489" s="476"/>
      <c r="U489" s="476"/>
      <c r="V489" s="476"/>
      <c r="W489" s="476"/>
      <c r="X489" s="476"/>
      <c r="Y489" s="476"/>
      <c r="Z489" s="476"/>
      <c r="AA489" s="476"/>
      <c r="AB489" s="476"/>
      <c r="AC489" s="476"/>
      <c r="AD489" s="476"/>
      <c r="AE489" s="476"/>
      <c r="AF489" s="476"/>
      <c r="AG489" s="476"/>
      <c r="AH489" s="476"/>
      <c r="AI489" s="476"/>
      <c r="AJ489" s="476"/>
      <c r="AK489" s="476"/>
      <c r="AL489" s="476"/>
      <c r="AM489" s="476"/>
      <c r="AN489" s="476"/>
      <c r="AO489" s="476"/>
      <c r="AP489" s="476"/>
      <c r="AQ489" s="476"/>
      <c r="AR489" s="476"/>
      <c r="AS489" s="476"/>
      <c r="AT489" s="476"/>
      <c r="AU489" s="476"/>
    </row>
    <row r="490" spans="1:47" s="398" customFormat="1" ht="13.15" customHeight="1" x14ac:dyDescent="0.2">
      <c r="A490" s="476"/>
      <c r="D490" s="467"/>
      <c r="F490" s="468"/>
      <c r="G490" s="468"/>
      <c r="H490" s="468"/>
      <c r="I490" s="468"/>
      <c r="J490" s="469"/>
      <c r="L490" s="476"/>
      <c r="M490" s="476"/>
      <c r="N490" s="476"/>
      <c r="O490" s="476"/>
      <c r="P490" s="476"/>
      <c r="Q490" s="476"/>
      <c r="R490" s="476"/>
      <c r="S490" s="476"/>
      <c r="T490" s="476"/>
      <c r="U490" s="476"/>
      <c r="V490" s="476"/>
      <c r="W490" s="476"/>
      <c r="X490" s="476"/>
      <c r="Y490" s="476"/>
      <c r="Z490" s="476"/>
      <c r="AA490" s="476"/>
      <c r="AB490" s="476"/>
      <c r="AC490" s="476"/>
      <c r="AD490" s="476"/>
      <c r="AE490" s="476"/>
      <c r="AF490" s="476"/>
      <c r="AG490" s="476"/>
      <c r="AH490" s="476"/>
      <c r="AI490" s="476"/>
      <c r="AJ490" s="476"/>
      <c r="AK490" s="476"/>
      <c r="AL490" s="476"/>
      <c r="AM490" s="476"/>
      <c r="AN490" s="476"/>
      <c r="AO490" s="476"/>
      <c r="AP490" s="476"/>
      <c r="AQ490" s="476"/>
      <c r="AR490" s="476"/>
      <c r="AS490" s="476"/>
      <c r="AT490" s="476"/>
      <c r="AU490" s="476"/>
    </row>
    <row r="491" spans="1:47" s="398" customFormat="1" ht="13.15" customHeight="1" x14ac:dyDescent="0.2">
      <c r="A491" s="476"/>
      <c r="D491" s="467"/>
      <c r="F491" s="468"/>
      <c r="G491" s="468"/>
      <c r="H491" s="468"/>
      <c r="I491" s="468"/>
      <c r="J491" s="469"/>
      <c r="L491" s="476"/>
      <c r="M491" s="476"/>
      <c r="N491" s="476"/>
      <c r="O491" s="476"/>
      <c r="P491" s="476"/>
      <c r="Q491" s="476"/>
      <c r="R491" s="476"/>
      <c r="S491" s="476"/>
      <c r="T491" s="476"/>
      <c r="U491" s="476"/>
      <c r="V491" s="476"/>
      <c r="W491" s="476"/>
      <c r="X491" s="476"/>
      <c r="Y491" s="476"/>
      <c r="Z491" s="476"/>
      <c r="AA491" s="476"/>
      <c r="AB491" s="476"/>
      <c r="AC491" s="476"/>
      <c r="AD491" s="476"/>
      <c r="AE491" s="476"/>
      <c r="AF491" s="476"/>
      <c r="AG491" s="476"/>
      <c r="AH491" s="476"/>
      <c r="AI491" s="476"/>
      <c r="AJ491" s="476"/>
      <c r="AK491" s="476"/>
      <c r="AL491" s="476"/>
      <c r="AM491" s="476"/>
      <c r="AN491" s="476"/>
      <c r="AO491" s="476"/>
      <c r="AP491" s="476"/>
      <c r="AQ491" s="476"/>
      <c r="AR491" s="476"/>
      <c r="AS491" s="476"/>
      <c r="AT491" s="476"/>
      <c r="AU491" s="476"/>
    </row>
    <row r="492" spans="1:47" s="398" customFormat="1" ht="13.15" customHeight="1" x14ac:dyDescent="0.2">
      <c r="A492" s="476"/>
      <c r="D492" s="467"/>
      <c r="F492" s="468"/>
      <c r="G492" s="468"/>
      <c r="H492" s="468"/>
      <c r="I492" s="468"/>
      <c r="J492" s="469"/>
      <c r="L492" s="476"/>
      <c r="M492" s="476"/>
      <c r="N492" s="476"/>
      <c r="O492" s="476"/>
      <c r="P492" s="476"/>
      <c r="Q492" s="476"/>
      <c r="R492" s="476"/>
      <c r="S492" s="476"/>
      <c r="T492" s="476"/>
      <c r="U492" s="476"/>
      <c r="V492" s="476"/>
      <c r="W492" s="476"/>
      <c r="X492" s="476"/>
      <c r="Y492" s="476"/>
      <c r="Z492" s="476"/>
      <c r="AA492" s="476"/>
      <c r="AB492" s="476"/>
      <c r="AC492" s="476"/>
      <c r="AD492" s="476"/>
      <c r="AE492" s="476"/>
      <c r="AF492" s="476"/>
      <c r="AG492" s="476"/>
      <c r="AH492" s="476"/>
      <c r="AI492" s="476"/>
      <c r="AJ492" s="476"/>
      <c r="AK492" s="476"/>
      <c r="AL492" s="476"/>
      <c r="AM492" s="476"/>
      <c r="AN492" s="476"/>
      <c r="AO492" s="476"/>
      <c r="AP492" s="476"/>
      <c r="AQ492" s="476"/>
      <c r="AR492" s="476"/>
      <c r="AS492" s="476"/>
      <c r="AT492" s="476"/>
      <c r="AU492" s="476"/>
    </row>
    <row r="493" spans="1:47" s="398" customFormat="1" ht="13.15" customHeight="1" x14ac:dyDescent="0.2">
      <c r="A493" s="476"/>
      <c r="D493" s="467"/>
      <c r="F493" s="468"/>
      <c r="G493" s="468"/>
      <c r="H493" s="468"/>
      <c r="I493" s="468"/>
      <c r="J493" s="469"/>
      <c r="L493" s="476"/>
      <c r="M493" s="476"/>
      <c r="N493" s="476"/>
      <c r="O493" s="476"/>
      <c r="P493" s="476"/>
      <c r="Q493" s="476"/>
      <c r="R493" s="476"/>
      <c r="S493" s="476"/>
      <c r="T493" s="476"/>
      <c r="U493" s="476"/>
      <c r="V493" s="476"/>
      <c r="W493" s="476"/>
      <c r="X493" s="476"/>
      <c r="Y493" s="476"/>
      <c r="Z493" s="476"/>
      <c r="AA493" s="476"/>
      <c r="AB493" s="476"/>
      <c r="AC493" s="476"/>
      <c r="AD493" s="476"/>
      <c r="AE493" s="476"/>
      <c r="AF493" s="476"/>
      <c r="AG493" s="476"/>
      <c r="AH493" s="476"/>
      <c r="AI493" s="476"/>
      <c r="AJ493" s="476"/>
      <c r="AK493" s="476"/>
      <c r="AL493" s="476"/>
      <c r="AM493" s="476"/>
      <c r="AN493" s="476"/>
      <c r="AO493" s="476"/>
      <c r="AP493" s="476"/>
      <c r="AQ493" s="476"/>
      <c r="AR493" s="476"/>
      <c r="AS493" s="476"/>
      <c r="AT493" s="476"/>
      <c r="AU493" s="476"/>
    </row>
    <row r="494" spans="1:47" s="398" customFormat="1" ht="13.15" customHeight="1" x14ac:dyDescent="0.2">
      <c r="A494" s="476"/>
      <c r="D494" s="467"/>
      <c r="F494" s="468"/>
      <c r="G494" s="468"/>
      <c r="H494" s="468"/>
      <c r="I494" s="468"/>
      <c r="J494" s="469"/>
      <c r="L494" s="476"/>
      <c r="M494" s="476"/>
      <c r="N494" s="476"/>
      <c r="O494" s="476"/>
      <c r="P494" s="476"/>
      <c r="Q494" s="476"/>
      <c r="R494" s="476"/>
      <c r="S494" s="476"/>
      <c r="T494" s="476"/>
      <c r="U494" s="476"/>
      <c r="V494" s="476"/>
      <c r="W494" s="476"/>
      <c r="X494" s="476"/>
      <c r="Y494" s="476"/>
      <c r="Z494" s="476"/>
      <c r="AA494" s="476"/>
      <c r="AB494" s="476"/>
      <c r="AC494" s="476"/>
      <c r="AD494" s="476"/>
      <c r="AE494" s="476"/>
      <c r="AF494" s="476"/>
      <c r="AG494" s="476"/>
      <c r="AH494" s="476"/>
      <c r="AI494" s="476"/>
      <c r="AJ494" s="476"/>
      <c r="AK494" s="476"/>
      <c r="AL494" s="476"/>
      <c r="AM494" s="476"/>
      <c r="AN494" s="476"/>
      <c r="AO494" s="476"/>
      <c r="AP494" s="476"/>
      <c r="AQ494" s="476"/>
      <c r="AR494" s="476"/>
      <c r="AS494" s="476"/>
      <c r="AT494" s="476"/>
      <c r="AU494" s="476"/>
    </row>
    <row r="495" spans="1:47" s="398" customFormat="1" ht="13.15" customHeight="1" x14ac:dyDescent="0.2">
      <c r="A495" s="476"/>
      <c r="D495" s="467"/>
      <c r="F495" s="468"/>
      <c r="G495" s="468"/>
      <c r="H495" s="468"/>
      <c r="I495" s="468"/>
      <c r="J495" s="469"/>
      <c r="L495" s="476"/>
      <c r="M495" s="476"/>
      <c r="N495" s="476"/>
      <c r="O495" s="476"/>
      <c r="P495" s="476"/>
      <c r="Q495" s="476"/>
      <c r="R495" s="476"/>
      <c r="S495" s="476"/>
      <c r="T495" s="476"/>
      <c r="U495" s="476"/>
      <c r="V495" s="476"/>
      <c r="W495" s="476"/>
      <c r="X495" s="476"/>
      <c r="Y495" s="476"/>
      <c r="Z495" s="476"/>
      <c r="AA495" s="476"/>
      <c r="AB495" s="476"/>
      <c r="AC495" s="476"/>
      <c r="AD495" s="476"/>
      <c r="AE495" s="476"/>
      <c r="AF495" s="476"/>
      <c r="AG495" s="476"/>
      <c r="AH495" s="476"/>
      <c r="AI495" s="476"/>
      <c r="AJ495" s="476"/>
      <c r="AK495" s="476"/>
      <c r="AL495" s="476"/>
      <c r="AM495" s="476"/>
      <c r="AN495" s="476"/>
      <c r="AO495" s="476"/>
      <c r="AP495" s="476"/>
      <c r="AQ495" s="476"/>
      <c r="AR495" s="476"/>
      <c r="AS495" s="476"/>
      <c r="AT495" s="476"/>
      <c r="AU495" s="476"/>
    </row>
    <row r="496" spans="1:47" s="398" customFormat="1" ht="13.15" customHeight="1" x14ac:dyDescent="0.2">
      <c r="A496" s="476"/>
      <c r="D496" s="467"/>
      <c r="F496" s="468"/>
      <c r="G496" s="468"/>
      <c r="H496" s="468"/>
      <c r="I496" s="468"/>
      <c r="J496" s="469"/>
      <c r="L496" s="476"/>
      <c r="M496" s="476"/>
      <c r="N496" s="476"/>
      <c r="O496" s="476"/>
      <c r="P496" s="476"/>
      <c r="Q496" s="476"/>
      <c r="R496" s="476"/>
      <c r="S496" s="476"/>
      <c r="T496" s="476"/>
      <c r="U496" s="476"/>
      <c r="V496" s="476"/>
      <c r="W496" s="476"/>
      <c r="X496" s="476"/>
      <c r="Y496" s="476"/>
      <c r="Z496" s="476"/>
      <c r="AA496" s="476"/>
      <c r="AB496" s="476"/>
      <c r="AC496" s="476"/>
      <c r="AD496" s="476"/>
      <c r="AE496" s="476"/>
      <c r="AF496" s="476"/>
      <c r="AG496" s="476"/>
      <c r="AH496" s="476"/>
      <c r="AI496" s="476"/>
      <c r="AJ496" s="476"/>
      <c r="AK496" s="476"/>
      <c r="AL496" s="476"/>
      <c r="AM496" s="476"/>
      <c r="AN496" s="476"/>
      <c r="AO496" s="476"/>
      <c r="AP496" s="476"/>
      <c r="AQ496" s="476"/>
      <c r="AR496" s="476"/>
      <c r="AS496" s="476"/>
      <c r="AT496" s="476"/>
      <c r="AU496" s="476"/>
    </row>
    <row r="497" spans="1:47" s="398" customFormat="1" ht="13.15" customHeight="1" x14ac:dyDescent="0.2">
      <c r="A497" s="476"/>
      <c r="D497" s="467"/>
      <c r="F497" s="468"/>
      <c r="G497" s="468"/>
      <c r="H497" s="468"/>
      <c r="I497" s="468"/>
      <c r="J497" s="469"/>
      <c r="L497" s="476"/>
      <c r="M497" s="476"/>
      <c r="N497" s="476"/>
      <c r="O497" s="476"/>
      <c r="P497" s="476"/>
      <c r="Q497" s="476"/>
      <c r="R497" s="476"/>
      <c r="S497" s="476"/>
      <c r="T497" s="476"/>
      <c r="U497" s="476"/>
      <c r="V497" s="476"/>
      <c r="W497" s="476"/>
      <c r="X497" s="476"/>
      <c r="Y497" s="476"/>
      <c r="Z497" s="476"/>
      <c r="AA497" s="476"/>
      <c r="AB497" s="476"/>
      <c r="AC497" s="476"/>
      <c r="AD497" s="476"/>
      <c r="AE497" s="476"/>
      <c r="AF497" s="476"/>
      <c r="AG497" s="476"/>
      <c r="AH497" s="476"/>
      <c r="AI497" s="476"/>
      <c r="AJ497" s="476"/>
      <c r="AK497" s="476"/>
      <c r="AL497" s="476"/>
      <c r="AM497" s="476"/>
      <c r="AN497" s="476"/>
      <c r="AO497" s="476"/>
      <c r="AP497" s="476"/>
      <c r="AQ497" s="476"/>
      <c r="AR497" s="476"/>
      <c r="AS497" s="476"/>
      <c r="AT497" s="476"/>
      <c r="AU497" s="476"/>
    </row>
    <row r="498" spans="1:47" s="398" customFormat="1" ht="13.15" customHeight="1" x14ac:dyDescent="0.2">
      <c r="A498" s="476"/>
      <c r="D498" s="467"/>
      <c r="F498" s="468"/>
      <c r="G498" s="468"/>
      <c r="H498" s="468"/>
      <c r="I498" s="468"/>
      <c r="J498" s="469"/>
      <c r="L498" s="476"/>
      <c r="M498" s="476"/>
      <c r="N498" s="476"/>
      <c r="O498" s="476"/>
      <c r="P498" s="476"/>
      <c r="Q498" s="476"/>
      <c r="R498" s="476"/>
      <c r="S498" s="476"/>
      <c r="T498" s="476"/>
      <c r="U498" s="476"/>
      <c r="V498" s="476"/>
      <c r="W498" s="476"/>
      <c r="X498" s="476"/>
      <c r="Y498" s="476"/>
      <c r="Z498" s="476"/>
      <c r="AA498" s="476"/>
      <c r="AB498" s="476"/>
      <c r="AC498" s="476"/>
      <c r="AD498" s="476"/>
      <c r="AE498" s="476"/>
      <c r="AF498" s="476"/>
      <c r="AG498" s="476"/>
      <c r="AH498" s="476"/>
      <c r="AI498" s="476"/>
      <c r="AJ498" s="476"/>
      <c r="AK498" s="476"/>
      <c r="AL498" s="476"/>
      <c r="AM498" s="476"/>
      <c r="AN498" s="476"/>
      <c r="AO498" s="476"/>
      <c r="AP498" s="476"/>
      <c r="AQ498" s="476"/>
      <c r="AR498" s="476"/>
      <c r="AS498" s="476"/>
      <c r="AT498" s="476"/>
      <c r="AU498" s="476"/>
    </row>
    <row r="499" spans="1:47" s="398" customFormat="1" ht="13.15" customHeight="1" x14ac:dyDescent="0.2">
      <c r="A499" s="476"/>
      <c r="D499" s="467"/>
      <c r="F499" s="468"/>
      <c r="G499" s="468"/>
      <c r="H499" s="468"/>
      <c r="I499" s="468"/>
      <c r="J499" s="469"/>
      <c r="L499" s="476"/>
      <c r="M499" s="476"/>
      <c r="N499" s="476"/>
      <c r="O499" s="476"/>
      <c r="P499" s="476"/>
      <c r="Q499" s="476"/>
      <c r="R499" s="476"/>
      <c r="S499" s="476"/>
      <c r="T499" s="476"/>
      <c r="U499" s="476"/>
      <c r="V499" s="476"/>
      <c r="W499" s="476"/>
      <c r="X499" s="476"/>
      <c r="Y499" s="476"/>
      <c r="Z499" s="476"/>
      <c r="AA499" s="476"/>
      <c r="AB499" s="476"/>
      <c r="AC499" s="476"/>
      <c r="AD499" s="476"/>
      <c r="AE499" s="476"/>
      <c r="AF499" s="476"/>
      <c r="AG499" s="476"/>
      <c r="AH499" s="476"/>
      <c r="AI499" s="476"/>
      <c r="AJ499" s="476"/>
      <c r="AK499" s="476"/>
      <c r="AL499" s="476"/>
      <c r="AM499" s="476"/>
      <c r="AN499" s="476"/>
      <c r="AO499" s="476"/>
      <c r="AP499" s="476"/>
      <c r="AQ499" s="476"/>
      <c r="AR499" s="476"/>
      <c r="AS499" s="476"/>
      <c r="AT499" s="476"/>
      <c r="AU499" s="476"/>
    </row>
    <row r="500" spans="1:47" s="398" customFormat="1" ht="13.15" customHeight="1" x14ac:dyDescent="0.2">
      <c r="A500" s="476"/>
      <c r="D500" s="467"/>
      <c r="F500" s="468"/>
      <c r="G500" s="468"/>
      <c r="H500" s="468"/>
      <c r="I500" s="468"/>
      <c r="J500" s="469"/>
      <c r="L500" s="476"/>
      <c r="M500" s="476"/>
      <c r="N500" s="476"/>
      <c r="O500" s="476"/>
      <c r="P500" s="476"/>
      <c r="Q500" s="476"/>
      <c r="R500" s="476"/>
      <c r="S500" s="476"/>
      <c r="T500" s="476"/>
      <c r="U500" s="476"/>
      <c r="V500" s="476"/>
      <c r="W500" s="476"/>
      <c r="X500" s="476"/>
      <c r="Y500" s="476"/>
      <c r="Z500" s="476"/>
      <c r="AA500" s="476"/>
      <c r="AB500" s="476"/>
      <c r="AC500" s="476"/>
      <c r="AD500" s="476"/>
      <c r="AE500" s="476"/>
      <c r="AF500" s="476"/>
      <c r="AG500" s="476"/>
      <c r="AH500" s="476"/>
      <c r="AI500" s="476"/>
      <c r="AJ500" s="476"/>
      <c r="AK500" s="476"/>
      <c r="AL500" s="476"/>
      <c r="AM500" s="476"/>
      <c r="AN500" s="476"/>
      <c r="AO500" s="476"/>
      <c r="AP500" s="476"/>
      <c r="AQ500" s="476"/>
      <c r="AR500" s="476"/>
      <c r="AS500" s="476"/>
      <c r="AT500" s="476"/>
      <c r="AU500" s="476"/>
    </row>
    <row r="501" spans="1:47" s="398" customFormat="1" ht="13.15" customHeight="1" x14ac:dyDescent="0.2">
      <c r="A501" s="476"/>
      <c r="D501" s="467"/>
      <c r="F501" s="468"/>
      <c r="G501" s="468"/>
      <c r="H501" s="468"/>
      <c r="I501" s="468"/>
      <c r="J501" s="469"/>
      <c r="L501" s="476"/>
      <c r="M501" s="476"/>
      <c r="N501" s="476"/>
      <c r="O501" s="476"/>
      <c r="P501" s="476"/>
      <c r="Q501" s="476"/>
      <c r="R501" s="476"/>
      <c r="S501" s="476"/>
      <c r="T501" s="476"/>
      <c r="U501" s="476"/>
      <c r="V501" s="476"/>
      <c r="W501" s="476"/>
      <c r="X501" s="476"/>
      <c r="Y501" s="476"/>
      <c r="Z501" s="476"/>
      <c r="AA501" s="476"/>
      <c r="AB501" s="476"/>
      <c r="AC501" s="476"/>
      <c r="AD501" s="476"/>
      <c r="AE501" s="476"/>
      <c r="AF501" s="476"/>
      <c r="AG501" s="476"/>
      <c r="AH501" s="476"/>
      <c r="AI501" s="476"/>
      <c r="AJ501" s="476"/>
      <c r="AK501" s="476"/>
      <c r="AL501" s="476"/>
      <c r="AM501" s="476"/>
      <c r="AN501" s="476"/>
      <c r="AO501" s="476"/>
      <c r="AP501" s="476"/>
      <c r="AQ501" s="476"/>
      <c r="AR501" s="476"/>
      <c r="AS501" s="476"/>
      <c r="AT501" s="476"/>
      <c r="AU501" s="476"/>
    </row>
    <row r="502" spans="1:47" s="398" customFormat="1" ht="13.15" customHeight="1" x14ac:dyDescent="0.2">
      <c r="A502" s="476"/>
      <c r="D502" s="467"/>
      <c r="F502" s="468"/>
      <c r="G502" s="468"/>
      <c r="H502" s="468"/>
      <c r="I502" s="468"/>
      <c r="J502" s="469"/>
      <c r="L502" s="476"/>
      <c r="M502" s="476"/>
      <c r="N502" s="476"/>
      <c r="O502" s="476"/>
      <c r="P502" s="476"/>
      <c r="Q502" s="476"/>
      <c r="R502" s="476"/>
      <c r="S502" s="476"/>
      <c r="T502" s="476"/>
      <c r="U502" s="476"/>
      <c r="V502" s="476"/>
      <c r="W502" s="476"/>
      <c r="X502" s="476"/>
      <c r="Y502" s="476"/>
      <c r="Z502" s="476"/>
      <c r="AA502" s="476"/>
      <c r="AB502" s="476"/>
      <c r="AC502" s="476"/>
      <c r="AD502" s="476"/>
      <c r="AE502" s="476"/>
      <c r="AF502" s="476"/>
      <c r="AG502" s="476"/>
      <c r="AH502" s="476"/>
      <c r="AI502" s="476"/>
      <c r="AJ502" s="476"/>
      <c r="AK502" s="476"/>
      <c r="AL502" s="476"/>
      <c r="AM502" s="476"/>
      <c r="AN502" s="476"/>
      <c r="AO502" s="476"/>
      <c r="AP502" s="476"/>
      <c r="AQ502" s="476"/>
      <c r="AR502" s="476"/>
      <c r="AS502" s="476"/>
      <c r="AT502" s="476"/>
      <c r="AU502" s="476"/>
    </row>
    <row r="503" spans="1:47" s="398" customFormat="1" ht="13.15" customHeight="1" x14ac:dyDescent="0.2">
      <c r="A503" s="476"/>
      <c r="D503" s="467"/>
      <c r="F503" s="468"/>
      <c r="G503" s="468"/>
      <c r="H503" s="468"/>
      <c r="I503" s="468"/>
      <c r="J503" s="469"/>
      <c r="L503" s="476"/>
      <c r="M503" s="476"/>
      <c r="N503" s="476"/>
      <c r="O503" s="476"/>
      <c r="P503" s="476"/>
      <c r="Q503" s="476"/>
      <c r="R503" s="476"/>
      <c r="S503" s="476"/>
      <c r="T503" s="476"/>
      <c r="U503" s="476"/>
      <c r="V503" s="476"/>
      <c r="W503" s="476"/>
      <c r="X503" s="476"/>
      <c r="Y503" s="476"/>
      <c r="Z503" s="476"/>
      <c r="AA503" s="476"/>
      <c r="AB503" s="476"/>
      <c r="AC503" s="476"/>
      <c r="AD503" s="476"/>
      <c r="AE503" s="476"/>
      <c r="AF503" s="476"/>
      <c r="AG503" s="476"/>
      <c r="AH503" s="476"/>
      <c r="AI503" s="476"/>
      <c r="AJ503" s="476"/>
      <c r="AK503" s="476"/>
      <c r="AL503" s="476"/>
      <c r="AM503" s="476"/>
      <c r="AN503" s="476"/>
      <c r="AO503" s="476"/>
      <c r="AP503" s="476"/>
      <c r="AQ503" s="476"/>
      <c r="AR503" s="476"/>
      <c r="AS503" s="476"/>
      <c r="AT503" s="476"/>
      <c r="AU503" s="476"/>
    </row>
    <row r="504" spans="1:47" s="398" customFormat="1" ht="13.15" customHeight="1" x14ac:dyDescent="0.2">
      <c r="A504" s="476"/>
      <c r="D504" s="467"/>
      <c r="F504" s="468"/>
      <c r="G504" s="468"/>
      <c r="H504" s="468"/>
      <c r="I504" s="468"/>
      <c r="J504" s="469"/>
      <c r="L504" s="476"/>
      <c r="M504" s="476"/>
      <c r="N504" s="476"/>
      <c r="O504" s="476"/>
      <c r="P504" s="476"/>
      <c r="Q504" s="476"/>
      <c r="R504" s="476"/>
      <c r="S504" s="476"/>
      <c r="T504" s="476"/>
      <c r="U504" s="476"/>
      <c r="V504" s="476"/>
      <c r="W504" s="476"/>
      <c r="X504" s="476"/>
      <c r="Y504" s="476"/>
      <c r="Z504" s="476"/>
      <c r="AA504" s="476"/>
      <c r="AB504" s="476"/>
      <c r="AC504" s="476"/>
      <c r="AD504" s="476"/>
      <c r="AE504" s="476"/>
      <c r="AF504" s="476"/>
      <c r="AG504" s="476"/>
      <c r="AH504" s="476"/>
      <c r="AI504" s="476"/>
      <c r="AJ504" s="476"/>
      <c r="AK504" s="476"/>
      <c r="AL504" s="476"/>
      <c r="AM504" s="476"/>
      <c r="AN504" s="476"/>
      <c r="AO504" s="476"/>
      <c r="AP504" s="476"/>
      <c r="AQ504" s="476"/>
      <c r="AR504" s="476"/>
      <c r="AS504" s="476"/>
      <c r="AT504" s="476"/>
      <c r="AU504" s="476"/>
    </row>
    <row r="505" spans="1:47" s="398" customFormat="1" ht="13.15" customHeight="1" x14ac:dyDescent="0.2">
      <c r="A505" s="476"/>
      <c r="D505" s="467"/>
      <c r="F505" s="468"/>
      <c r="G505" s="468"/>
      <c r="H505" s="468"/>
      <c r="I505" s="468"/>
      <c r="J505" s="469"/>
      <c r="L505" s="476"/>
      <c r="M505" s="476"/>
      <c r="N505" s="476"/>
      <c r="O505" s="476"/>
      <c r="P505" s="476"/>
      <c r="Q505" s="476"/>
      <c r="R505" s="476"/>
      <c r="S505" s="476"/>
      <c r="T505" s="476"/>
      <c r="U505" s="476"/>
      <c r="V505" s="476"/>
      <c r="W505" s="476"/>
      <c r="X505" s="476"/>
      <c r="Y505" s="476"/>
      <c r="Z505" s="476"/>
      <c r="AA505" s="476"/>
      <c r="AB505" s="476"/>
      <c r="AC505" s="476"/>
      <c r="AD505" s="476"/>
      <c r="AE505" s="476"/>
      <c r="AF505" s="476"/>
      <c r="AG505" s="476"/>
      <c r="AH505" s="476"/>
      <c r="AI505" s="476"/>
      <c r="AJ505" s="476"/>
      <c r="AK505" s="476"/>
      <c r="AL505" s="476"/>
      <c r="AM505" s="476"/>
      <c r="AN505" s="476"/>
      <c r="AO505" s="476"/>
      <c r="AP505" s="476"/>
      <c r="AQ505" s="476"/>
      <c r="AR505" s="476"/>
      <c r="AS505" s="476"/>
      <c r="AT505" s="476"/>
      <c r="AU505" s="476"/>
    </row>
    <row r="506" spans="1:47" s="398" customFormat="1" ht="13.15" customHeight="1" x14ac:dyDescent="0.2">
      <c r="A506" s="476"/>
      <c r="D506" s="467"/>
      <c r="F506" s="468"/>
      <c r="G506" s="468"/>
      <c r="H506" s="468"/>
      <c r="I506" s="468"/>
      <c r="J506" s="469"/>
      <c r="L506" s="476"/>
      <c r="M506" s="476"/>
      <c r="N506" s="476"/>
      <c r="O506" s="476"/>
      <c r="P506" s="476"/>
      <c r="Q506" s="476"/>
      <c r="R506" s="476"/>
      <c r="S506" s="476"/>
      <c r="T506" s="476"/>
      <c r="U506" s="476"/>
      <c r="V506" s="476"/>
      <c r="W506" s="476"/>
      <c r="X506" s="476"/>
      <c r="Y506" s="476"/>
      <c r="Z506" s="476"/>
      <c r="AA506" s="476"/>
      <c r="AB506" s="476"/>
      <c r="AC506" s="476"/>
      <c r="AD506" s="476"/>
      <c r="AE506" s="476"/>
      <c r="AF506" s="476"/>
      <c r="AG506" s="476"/>
      <c r="AH506" s="476"/>
      <c r="AI506" s="476"/>
      <c r="AJ506" s="476"/>
      <c r="AK506" s="476"/>
      <c r="AL506" s="476"/>
      <c r="AM506" s="476"/>
      <c r="AN506" s="476"/>
      <c r="AO506" s="476"/>
      <c r="AP506" s="476"/>
      <c r="AQ506" s="476"/>
      <c r="AR506" s="476"/>
      <c r="AS506" s="476"/>
      <c r="AT506" s="476"/>
      <c r="AU506" s="476"/>
    </row>
    <row r="507" spans="1:47" s="398" customFormat="1" ht="13.15" customHeight="1" x14ac:dyDescent="0.2">
      <c r="A507" s="476"/>
      <c r="D507" s="467"/>
      <c r="F507" s="468"/>
      <c r="G507" s="468"/>
      <c r="H507" s="468"/>
      <c r="I507" s="468"/>
      <c r="J507" s="469"/>
      <c r="L507" s="476"/>
      <c r="M507" s="476"/>
      <c r="N507" s="476"/>
      <c r="O507" s="476"/>
      <c r="P507" s="476"/>
      <c r="Q507" s="476"/>
      <c r="R507" s="476"/>
      <c r="S507" s="476"/>
      <c r="T507" s="476"/>
      <c r="U507" s="476"/>
      <c r="V507" s="476"/>
      <c r="W507" s="476"/>
      <c r="X507" s="476"/>
      <c r="Y507" s="476"/>
      <c r="Z507" s="476"/>
      <c r="AA507" s="476"/>
      <c r="AB507" s="476"/>
      <c r="AC507" s="476"/>
      <c r="AD507" s="476"/>
      <c r="AE507" s="476"/>
      <c r="AF507" s="476"/>
      <c r="AG507" s="476"/>
      <c r="AH507" s="476"/>
      <c r="AI507" s="476"/>
      <c r="AJ507" s="476"/>
      <c r="AK507" s="476"/>
      <c r="AL507" s="476"/>
      <c r="AM507" s="476"/>
      <c r="AN507" s="476"/>
      <c r="AO507" s="476"/>
      <c r="AP507" s="476"/>
      <c r="AQ507" s="476"/>
      <c r="AR507" s="476"/>
      <c r="AS507" s="476"/>
      <c r="AT507" s="476"/>
      <c r="AU507" s="476"/>
    </row>
    <row r="508" spans="1:47" s="398" customFormat="1" ht="13.15" customHeight="1" x14ac:dyDescent="0.2">
      <c r="A508" s="476"/>
      <c r="D508" s="467"/>
      <c r="F508" s="468"/>
      <c r="G508" s="468"/>
      <c r="H508" s="468"/>
      <c r="I508" s="468"/>
      <c r="J508" s="469"/>
      <c r="L508" s="476"/>
      <c r="M508" s="476"/>
      <c r="N508" s="476"/>
      <c r="O508" s="476"/>
      <c r="P508" s="476"/>
      <c r="Q508" s="476"/>
      <c r="R508" s="476"/>
      <c r="S508" s="476"/>
      <c r="T508" s="476"/>
      <c r="U508" s="476"/>
      <c r="V508" s="476"/>
      <c r="W508" s="476"/>
      <c r="X508" s="476"/>
      <c r="Y508" s="476"/>
      <c r="Z508" s="476"/>
      <c r="AA508" s="476"/>
      <c r="AB508" s="476"/>
      <c r="AC508" s="476"/>
      <c r="AD508" s="476"/>
      <c r="AE508" s="476"/>
      <c r="AF508" s="476"/>
      <c r="AG508" s="476"/>
      <c r="AH508" s="476"/>
      <c r="AI508" s="476"/>
      <c r="AJ508" s="476"/>
      <c r="AK508" s="476"/>
      <c r="AL508" s="476"/>
      <c r="AM508" s="476"/>
      <c r="AN508" s="476"/>
      <c r="AO508" s="476"/>
      <c r="AP508" s="476"/>
      <c r="AQ508" s="476"/>
      <c r="AR508" s="476"/>
      <c r="AS508" s="476"/>
      <c r="AT508" s="476"/>
      <c r="AU508" s="476"/>
    </row>
    <row r="509" spans="1:47" s="398" customFormat="1" ht="13.15" customHeight="1" x14ac:dyDescent="0.2">
      <c r="A509" s="476"/>
      <c r="D509" s="467"/>
      <c r="F509" s="468"/>
      <c r="G509" s="468"/>
      <c r="H509" s="468"/>
      <c r="I509" s="468"/>
      <c r="J509" s="469"/>
      <c r="L509" s="476"/>
      <c r="M509" s="476"/>
      <c r="N509" s="476"/>
      <c r="O509" s="476"/>
      <c r="P509" s="476"/>
      <c r="Q509" s="476"/>
      <c r="R509" s="476"/>
      <c r="S509" s="476"/>
      <c r="T509" s="476"/>
      <c r="U509" s="476"/>
      <c r="V509" s="476"/>
      <c r="W509" s="476"/>
      <c r="X509" s="476"/>
      <c r="Y509" s="476"/>
      <c r="Z509" s="476"/>
      <c r="AA509" s="476"/>
      <c r="AB509" s="476"/>
      <c r="AC509" s="476"/>
      <c r="AD509" s="476"/>
      <c r="AE509" s="476"/>
      <c r="AF509" s="476"/>
      <c r="AG509" s="476"/>
      <c r="AH509" s="476"/>
      <c r="AI509" s="476"/>
      <c r="AJ509" s="476"/>
      <c r="AK509" s="476"/>
      <c r="AL509" s="476"/>
      <c r="AM509" s="476"/>
      <c r="AN509" s="476"/>
      <c r="AO509" s="476"/>
      <c r="AP509" s="476"/>
      <c r="AQ509" s="476"/>
      <c r="AR509" s="476"/>
      <c r="AS509" s="476"/>
      <c r="AT509" s="476"/>
      <c r="AU509" s="476"/>
    </row>
    <row r="510" spans="1:47" s="398" customFormat="1" ht="13.15" customHeight="1" x14ac:dyDescent="0.2">
      <c r="A510" s="476"/>
      <c r="D510" s="467"/>
      <c r="F510" s="468"/>
      <c r="G510" s="468"/>
      <c r="H510" s="468"/>
      <c r="I510" s="468"/>
      <c r="J510" s="469"/>
      <c r="L510" s="476"/>
      <c r="M510" s="476"/>
      <c r="N510" s="476"/>
      <c r="O510" s="476"/>
      <c r="P510" s="476"/>
      <c r="Q510" s="476"/>
      <c r="R510" s="476"/>
      <c r="S510" s="476"/>
      <c r="T510" s="476"/>
      <c r="U510" s="476"/>
      <c r="V510" s="476"/>
      <c r="W510" s="476"/>
      <c r="X510" s="476"/>
      <c r="Y510" s="476"/>
      <c r="Z510" s="476"/>
      <c r="AA510" s="476"/>
      <c r="AB510" s="476"/>
      <c r="AC510" s="476"/>
      <c r="AD510" s="476"/>
      <c r="AE510" s="476"/>
      <c r="AF510" s="476"/>
      <c r="AG510" s="476"/>
      <c r="AH510" s="476"/>
      <c r="AI510" s="476"/>
      <c r="AJ510" s="476"/>
      <c r="AK510" s="476"/>
      <c r="AL510" s="476"/>
      <c r="AM510" s="476"/>
      <c r="AN510" s="476"/>
      <c r="AO510" s="476"/>
      <c r="AP510" s="476"/>
      <c r="AQ510" s="476"/>
      <c r="AR510" s="476"/>
      <c r="AS510" s="476"/>
      <c r="AT510" s="476"/>
      <c r="AU510" s="476"/>
    </row>
    <row r="511" spans="1:47" s="398" customFormat="1" ht="13.15" customHeight="1" x14ac:dyDescent="0.2">
      <c r="A511" s="476"/>
      <c r="D511" s="467"/>
      <c r="F511" s="468"/>
      <c r="G511" s="468"/>
      <c r="H511" s="468"/>
      <c r="I511" s="468"/>
      <c r="J511" s="469"/>
      <c r="L511" s="476"/>
      <c r="M511" s="476"/>
      <c r="N511" s="476"/>
      <c r="O511" s="476"/>
      <c r="P511" s="476"/>
      <c r="Q511" s="476"/>
      <c r="R511" s="476"/>
      <c r="S511" s="476"/>
      <c r="T511" s="476"/>
      <c r="U511" s="476"/>
      <c r="V511" s="476"/>
      <c r="W511" s="476"/>
      <c r="X511" s="476"/>
      <c r="Y511" s="476"/>
      <c r="Z511" s="476"/>
      <c r="AA511" s="476"/>
      <c r="AB511" s="476"/>
      <c r="AC511" s="476"/>
      <c r="AD511" s="476"/>
      <c r="AE511" s="476"/>
      <c r="AF511" s="476"/>
      <c r="AG511" s="476"/>
      <c r="AH511" s="476"/>
      <c r="AI511" s="476"/>
      <c r="AJ511" s="476"/>
      <c r="AK511" s="476"/>
      <c r="AL511" s="476"/>
      <c r="AM511" s="476"/>
      <c r="AN511" s="476"/>
      <c r="AO511" s="476"/>
      <c r="AP511" s="476"/>
      <c r="AQ511" s="476"/>
      <c r="AR511" s="476"/>
      <c r="AS511" s="476"/>
      <c r="AT511" s="476"/>
      <c r="AU511" s="476"/>
    </row>
    <row r="512" spans="1:47" s="398" customFormat="1" ht="13.15" customHeight="1" x14ac:dyDescent="0.2">
      <c r="A512" s="476"/>
      <c r="D512" s="467"/>
      <c r="F512" s="468"/>
      <c r="G512" s="468"/>
      <c r="H512" s="468"/>
      <c r="I512" s="468"/>
      <c r="J512" s="469"/>
      <c r="L512" s="476"/>
      <c r="M512" s="476"/>
      <c r="N512" s="476"/>
      <c r="O512" s="476"/>
      <c r="P512" s="476"/>
      <c r="Q512" s="476"/>
      <c r="R512" s="476"/>
      <c r="S512" s="476"/>
      <c r="T512" s="476"/>
      <c r="U512" s="476"/>
      <c r="V512" s="476"/>
      <c r="W512" s="476"/>
      <c r="X512" s="476"/>
      <c r="Y512" s="476"/>
      <c r="Z512" s="476"/>
      <c r="AA512" s="476"/>
      <c r="AB512" s="476"/>
      <c r="AC512" s="476"/>
      <c r="AD512" s="476"/>
      <c r="AE512" s="476"/>
      <c r="AF512" s="476"/>
      <c r="AG512" s="476"/>
      <c r="AH512" s="476"/>
      <c r="AI512" s="476"/>
      <c r="AJ512" s="476"/>
      <c r="AK512" s="476"/>
      <c r="AL512" s="476"/>
      <c r="AM512" s="476"/>
      <c r="AN512" s="476"/>
      <c r="AO512" s="476"/>
      <c r="AP512" s="476"/>
      <c r="AQ512" s="476"/>
      <c r="AR512" s="476"/>
      <c r="AS512" s="476"/>
      <c r="AT512" s="476"/>
      <c r="AU512" s="476"/>
    </row>
    <row r="513" spans="1:47" s="398" customFormat="1" ht="13.15" customHeight="1" x14ac:dyDescent="0.2">
      <c r="A513" s="476"/>
      <c r="D513" s="467"/>
      <c r="F513" s="468"/>
      <c r="G513" s="468"/>
      <c r="H513" s="468"/>
      <c r="I513" s="468"/>
      <c r="J513" s="469"/>
      <c r="L513" s="476"/>
      <c r="M513" s="476"/>
      <c r="N513" s="476"/>
      <c r="O513" s="476"/>
      <c r="P513" s="476"/>
      <c r="Q513" s="476"/>
      <c r="R513" s="476"/>
      <c r="S513" s="476"/>
      <c r="T513" s="476"/>
      <c r="U513" s="476"/>
      <c r="V513" s="476"/>
      <c r="W513" s="476"/>
      <c r="X513" s="476"/>
      <c r="Y513" s="476"/>
      <c r="Z513" s="476"/>
      <c r="AA513" s="476"/>
      <c r="AB513" s="476"/>
      <c r="AC513" s="476"/>
      <c r="AD513" s="476"/>
      <c r="AE513" s="476"/>
      <c r="AF513" s="476"/>
      <c r="AG513" s="476"/>
      <c r="AH513" s="476"/>
      <c r="AI513" s="476"/>
      <c r="AJ513" s="476"/>
      <c r="AK513" s="476"/>
      <c r="AL513" s="476"/>
      <c r="AM513" s="476"/>
      <c r="AN513" s="476"/>
      <c r="AO513" s="476"/>
      <c r="AP513" s="476"/>
      <c r="AQ513" s="476"/>
      <c r="AR513" s="476"/>
      <c r="AS513" s="476"/>
      <c r="AT513" s="476"/>
      <c r="AU513" s="476"/>
    </row>
    <row r="514" spans="1:47" s="398" customFormat="1" ht="13.15" customHeight="1" x14ac:dyDescent="0.2">
      <c r="A514" s="476"/>
      <c r="D514" s="467"/>
      <c r="F514" s="468"/>
      <c r="G514" s="468"/>
      <c r="H514" s="468"/>
      <c r="I514" s="468"/>
      <c r="J514" s="469"/>
      <c r="L514" s="476"/>
      <c r="M514" s="476"/>
      <c r="N514" s="476"/>
      <c r="O514" s="476"/>
      <c r="P514" s="476"/>
      <c r="Q514" s="476"/>
      <c r="R514" s="476"/>
      <c r="S514" s="476"/>
      <c r="T514" s="476"/>
      <c r="U514" s="476"/>
      <c r="V514" s="476"/>
      <c r="W514" s="476"/>
      <c r="X514" s="476"/>
      <c r="Y514" s="476"/>
      <c r="Z514" s="476"/>
      <c r="AA514" s="476"/>
      <c r="AB514" s="476"/>
      <c r="AC514" s="476"/>
      <c r="AD514" s="476"/>
      <c r="AE514" s="476"/>
      <c r="AF514" s="476"/>
      <c r="AG514" s="476"/>
      <c r="AH514" s="476"/>
      <c r="AI514" s="476"/>
      <c r="AJ514" s="476"/>
      <c r="AK514" s="476"/>
      <c r="AL514" s="476"/>
      <c r="AM514" s="476"/>
      <c r="AN514" s="476"/>
      <c r="AO514" s="476"/>
      <c r="AP514" s="476"/>
      <c r="AQ514" s="476"/>
      <c r="AR514" s="476"/>
      <c r="AS514" s="476"/>
      <c r="AT514" s="476"/>
      <c r="AU514" s="476"/>
    </row>
    <row r="515" spans="1:47" s="398" customFormat="1" ht="13.15" customHeight="1" x14ac:dyDescent="0.2">
      <c r="A515" s="476"/>
      <c r="D515" s="467"/>
      <c r="F515" s="468"/>
      <c r="G515" s="468"/>
      <c r="H515" s="468"/>
      <c r="I515" s="468"/>
      <c r="J515" s="469"/>
      <c r="L515" s="476"/>
      <c r="M515" s="476"/>
      <c r="N515" s="476"/>
      <c r="O515" s="476"/>
      <c r="P515" s="476"/>
      <c r="Q515" s="476"/>
      <c r="R515" s="476"/>
      <c r="S515" s="476"/>
      <c r="T515" s="476"/>
      <c r="U515" s="476"/>
      <c r="V515" s="476"/>
      <c r="W515" s="476"/>
      <c r="X515" s="476"/>
      <c r="Y515" s="476"/>
      <c r="Z515" s="476"/>
      <c r="AA515" s="476"/>
      <c r="AB515" s="476"/>
      <c r="AC515" s="476"/>
      <c r="AD515" s="476"/>
      <c r="AE515" s="476"/>
      <c r="AF515" s="476"/>
      <c r="AG515" s="476"/>
      <c r="AH515" s="476"/>
      <c r="AI515" s="476"/>
      <c r="AJ515" s="476"/>
      <c r="AK515" s="476"/>
      <c r="AL515" s="476"/>
      <c r="AM515" s="476"/>
      <c r="AN515" s="476"/>
      <c r="AO515" s="476"/>
      <c r="AP515" s="476"/>
      <c r="AQ515" s="476"/>
      <c r="AR515" s="476"/>
      <c r="AS515" s="476"/>
      <c r="AT515" s="476"/>
      <c r="AU515" s="476"/>
    </row>
    <row r="516" spans="1:47" s="398" customFormat="1" ht="13.15" customHeight="1" x14ac:dyDescent="0.2">
      <c r="A516" s="476"/>
      <c r="D516" s="467"/>
      <c r="F516" s="468"/>
      <c r="G516" s="468"/>
      <c r="H516" s="468"/>
      <c r="I516" s="468"/>
      <c r="J516" s="469"/>
      <c r="L516" s="476"/>
      <c r="M516" s="476"/>
      <c r="N516" s="476"/>
      <c r="O516" s="476"/>
      <c r="P516" s="476"/>
      <c r="Q516" s="476"/>
      <c r="R516" s="476"/>
      <c r="S516" s="476"/>
      <c r="T516" s="476"/>
      <c r="U516" s="476"/>
      <c r="V516" s="476"/>
      <c r="W516" s="476"/>
      <c r="X516" s="476"/>
      <c r="Y516" s="476"/>
      <c r="Z516" s="476"/>
      <c r="AA516" s="476"/>
      <c r="AB516" s="476"/>
      <c r="AC516" s="476"/>
      <c r="AD516" s="476"/>
      <c r="AE516" s="476"/>
      <c r="AF516" s="476"/>
      <c r="AG516" s="476"/>
      <c r="AH516" s="476"/>
      <c r="AI516" s="476"/>
      <c r="AJ516" s="476"/>
      <c r="AK516" s="476"/>
      <c r="AL516" s="476"/>
      <c r="AM516" s="476"/>
      <c r="AN516" s="476"/>
      <c r="AO516" s="476"/>
      <c r="AP516" s="476"/>
      <c r="AQ516" s="476"/>
      <c r="AR516" s="476"/>
      <c r="AS516" s="476"/>
      <c r="AT516" s="476"/>
      <c r="AU516" s="476"/>
    </row>
    <row r="517" spans="1:47" s="398" customFormat="1" ht="13.15" customHeight="1" x14ac:dyDescent="0.2">
      <c r="A517" s="476"/>
      <c r="D517" s="467"/>
      <c r="F517" s="468"/>
      <c r="G517" s="468"/>
      <c r="H517" s="468"/>
      <c r="I517" s="468"/>
      <c r="J517" s="469"/>
      <c r="L517" s="476"/>
      <c r="M517" s="476"/>
      <c r="N517" s="476"/>
      <c r="O517" s="476"/>
      <c r="P517" s="476"/>
      <c r="Q517" s="476"/>
      <c r="R517" s="476"/>
      <c r="S517" s="476"/>
      <c r="T517" s="476"/>
      <c r="U517" s="476"/>
      <c r="V517" s="476"/>
      <c r="W517" s="476"/>
      <c r="X517" s="476"/>
      <c r="Y517" s="476"/>
      <c r="Z517" s="476"/>
      <c r="AA517" s="476"/>
      <c r="AB517" s="476"/>
      <c r="AC517" s="476"/>
      <c r="AD517" s="476"/>
      <c r="AE517" s="476"/>
      <c r="AF517" s="476"/>
      <c r="AG517" s="476"/>
      <c r="AH517" s="476"/>
      <c r="AI517" s="476"/>
      <c r="AJ517" s="476"/>
      <c r="AK517" s="476"/>
      <c r="AL517" s="476"/>
      <c r="AM517" s="476"/>
      <c r="AN517" s="476"/>
      <c r="AO517" s="476"/>
      <c r="AP517" s="476"/>
      <c r="AQ517" s="476"/>
      <c r="AR517" s="476"/>
      <c r="AS517" s="476"/>
      <c r="AT517" s="476"/>
      <c r="AU517" s="476"/>
    </row>
    <row r="518" spans="1:47" s="398" customFormat="1" ht="13.15" customHeight="1" x14ac:dyDescent="0.2">
      <c r="A518" s="476"/>
      <c r="D518" s="467"/>
      <c r="F518" s="468"/>
      <c r="G518" s="468"/>
      <c r="H518" s="468"/>
      <c r="I518" s="468"/>
      <c r="J518" s="469"/>
      <c r="L518" s="476"/>
      <c r="M518" s="476"/>
      <c r="N518" s="476"/>
      <c r="O518" s="476"/>
      <c r="P518" s="476"/>
      <c r="Q518" s="476"/>
      <c r="R518" s="476"/>
      <c r="S518" s="476"/>
      <c r="T518" s="476"/>
      <c r="U518" s="476"/>
      <c r="V518" s="476"/>
      <c r="W518" s="476"/>
      <c r="X518" s="476"/>
      <c r="Y518" s="476"/>
      <c r="Z518" s="476"/>
      <c r="AA518" s="476"/>
      <c r="AB518" s="476"/>
      <c r="AC518" s="476"/>
      <c r="AD518" s="476"/>
      <c r="AE518" s="476"/>
      <c r="AF518" s="476"/>
      <c r="AG518" s="476"/>
      <c r="AH518" s="476"/>
      <c r="AI518" s="476"/>
      <c r="AJ518" s="476"/>
      <c r="AK518" s="476"/>
      <c r="AL518" s="476"/>
      <c r="AM518" s="476"/>
      <c r="AN518" s="476"/>
      <c r="AO518" s="476"/>
      <c r="AP518" s="476"/>
      <c r="AQ518" s="476"/>
      <c r="AR518" s="476"/>
      <c r="AS518" s="476"/>
      <c r="AT518" s="476"/>
      <c r="AU518" s="476"/>
    </row>
    <row r="519" spans="1:47" s="398" customFormat="1" ht="13.15" customHeight="1" x14ac:dyDescent="0.2">
      <c r="A519" s="476"/>
      <c r="D519" s="467"/>
      <c r="F519" s="468"/>
      <c r="G519" s="468"/>
      <c r="H519" s="468"/>
      <c r="I519" s="468"/>
      <c r="J519" s="469"/>
      <c r="L519" s="476"/>
      <c r="M519" s="476"/>
      <c r="N519" s="476"/>
      <c r="O519" s="476"/>
      <c r="P519" s="476"/>
      <c r="Q519" s="476"/>
      <c r="R519" s="476"/>
      <c r="S519" s="476"/>
      <c r="T519" s="476"/>
      <c r="U519" s="476"/>
      <c r="V519" s="476"/>
      <c r="W519" s="476"/>
      <c r="X519" s="476"/>
      <c r="Y519" s="476"/>
      <c r="Z519" s="476"/>
      <c r="AA519" s="476"/>
      <c r="AB519" s="476"/>
      <c r="AC519" s="476"/>
      <c r="AD519" s="476"/>
      <c r="AE519" s="476"/>
      <c r="AF519" s="476"/>
      <c r="AG519" s="476"/>
      <c r="AH519" s="476"/>
      <c r="AI519" s="476"/>
      <c r="AJ519" s="476"/>
      <c r="AK519" s="476"/>
      <c r="AL519" s="476"/>
      <c r="AM519" s="476"/>
      <c r="AN519" s="476"/>
      <c r="AO519" s="476"/>
      <c r="AP519" s="476"/>
      <c r="AQ519" s="476"/>
      <c r="AR519" s="476"/>
      <c r="AS519" s="476"/>
      <c r="AT519" s="476"/>
      <c r="AU519" s="476"/>
    </row>
    <row r="520" spans="1:47" s="398" customFormat="1" ht="13.15" customHeight="1" x14ac:dyDescent="0.2">
      <c r="A520" s="476"/>
      <c r="D520" s="467"/>
      <c r="F520" s="468"/>
      <c r="G520" s="468"/>
      <c r="H520" s="468"/>
      <c r="I520" s="468"/>
      <c r="J520" s="469"/>
      <c r="L520" s="476"/>
      <c r="M520" s="476"/>
      <c r="N520" s="476"/>
      <c r="O520" s="476"/>
      <c r="P520" s="476"/>
      <c r="Q520" s="476"/>
      <c r="R520" s="476"/>
      <c r="S520" s="476"/>
      <c r="T520" s="476"/>
      <c r="U520" s="476"/>
      <c r="V520" s="476"/>
      <c r="W520" s="476"/>
      <c r="X520" s="476"/>
      <c r="Y520" s="476"/>
      <c r="Z520" s="476"/>
      <c r="AA520" s="476"/>
      <c r="AB520" s="476"/>
      <c r="AC520" s="476"/>
      <c r="AD520" s="476"/>
      <c r="AE520" s="476"/>
      <c r="AF520" s="476"/>
      <c r="AG520" s="476"/>
      <c r="AH520" s="476"/>
      <c r="AI520" s="476"/>
      <c r="AJ520" s="476"/>
      <c r="AK520" s="476"/>
      <c r="AL520" s="476"/>
      <c r="AM520" s="476"/>
      <c r="AN520" s="476"/>
      <c r="AO520" s="476"/>
      <c r="AP520" s="476"/>
      <c r="AQ520" s="476"/>
      <c r="AR520" s="476"/>
      <c r="AS520" s="476"/>
      <c r="AT520" s="476"/>
      <c r="AU520" s="476"/>
    </row>
    <row r="521" spans="1:47" s="398" customFormat="1" ht="13.15" customHeight="1" x14ac:dyDescent="0.2">
      <c r="A521" s="476"/>
      <c r="D521" s="467"/>
      <c r="F521" s="468"/>
      <c r="G521" s="468"/>
      <c r="H521" s="468"/>
      <c r="I521" s="468"/>
      <c r="J521" s="469"/>
      <c r="L521" s="476"/>
      <c r="M521" s="476"/>
      <c r="N521" s="476"/>
      <c r="O521" s="476"/>
      <c r="P521" s="476"/>
      <c r="Q521" s="476"/>
      <c r="R521" s="476"/>
      <c r="S521" s="476"/>
      <c r="T521" s="476"/>
      <c r="U521" s="476"/>
      <c r="V521" s="476"/>
      <c r="W521" s="476"/>
      <c r="X521" s="476"/>
      <c r="Y521" s="476"/>
      <c r="Z521" s="476"/>
      <c r="AA521" s="476"/>
      <c r="AB521" s="476"/>
      <c r="AC521" s="476"/>
      <c r="AD521" s="476"/>
      <c r="AE521" s="476"/>
      <c r="AF521" s="476"/>
      <c r="AG521" s="476"/>
      <c r="AH521" s="476"/>
      <c r="AI521" s="476"/>
      <c r="AJ521" s="476"/>
      <c r="AK521" s="476"/>
      <c r="AL521" s="476"/>
      <c r="AM521" s="476"/>
      <c r="AN521" s="476"/>
      <c r="AO521" s="476"/>
      <c r="AP521" s="476"/>
      <c r="AQ521" s="476"/>
      <c r="AR521" s="476"/>
      <c r="AS521" s="476"/>
      <c r="AT521" s="476"/>
      <c r="AU521" s="476"/>
    </row>
    <row r="522" spans="1:47" s="398" customFormat="1" ht="13.15" customHeight="1" x14ac:dyDescent="0.2">
      <c r="A522" s="476"/>
      <c r="D522" s="467"/>
      <c r="F522" s="468"/>
      <c r="G522" s="468"/>
      <c r="H522" s="468"/>
      <c r="I522" s="468"/>
      <c r="J522" s="469"/>
      <c r="L522" s="476"/>
      <c r="M522" s="476"/>
      <c r="N522" s="476"/>
      <c r="O522" s="476"/>
      <c r="P522" s="476"/>
      <c r="Q522" s="476"/>
      <c r="R522" s="476"/>
      <c r="S522" s="476"/>
      <c r="T522" s="476"/>
      <c r="U522" s="476"/>
      <c r="V522" s="476"/>
      <c r="W522" s="476"/>
      <c r="X522" s="476"/>
      <c r="Y522" s="476"/>
      <c r="Z522" s="476"/>
      <c r="AA522" s="476"/>
      <c r="AB522" s="476"/>
      <c r="AC522" s="476"/>
      <c r="AD522" s="476"/>
      <c r="AE522" s="476"/>
      <c r="AF522" s="476"/>
      <c r="AG522" s="476"/>
      <c r="AH522" s="476"/>
      <c r="AI522" s="476"/>
      <c r="AJ522" s="476"/>
      <c r="AK522" s="476"/>
      <c r="AL522" s="476"/>
      <c r="AM522" s="476"/>
      <c r="AN522" s="476"/>
      <c r="AO522" s="476"/>
      <c r="AP522" s="476"/>
      <c r="AQ522" s="476"/>
      <c r="AR522" s="476"/>
      <c r="AS522" s="476"/>
      <c r="AT522" s="476"/>
      <c r="AU522" s="476"/>
    </row>
    <row r="523" spans="1:47" s="398" customFormat="1" ht="13.15" customHeight="1" x14ac:dyDescent="0.2">
      <c r="A523" s="476"/>
      <c r="D523" s="467"/>
      <c r="F523" s="468"/>
      <c r="G523" s="468"/>
      <c r="H523" s="468"/>
      <c r="I523" s="468"/>
      <c r="J523" s="469"/>
      <c r="L523" s="476"/>
      <c r="M523" s="476"/>
      <c r="N523" s="476"/>
      <c r="O523" s="476"/>
      <c r="P523" s="476"/>
      <c r="Q523" s="476"/>
      <c r="R523" s="476"/>
      <c r="S523" s="476"/>
      <c r="T523" s="476"/>
      <c r="U523" s="476"/>
      <c r="V523" s="476"/>
      <c r="W523" s="476"/>
      <c r="X523" s="476"/>
      <c r="Y523" s="476"/>
      <c r="Z523" s="476"/>
      <c r="AA523" s="476"/>
      <c r="AB523" s="476"/>
      <c r="AC523" s="476"/>
      <c r="AD523" s="476"/>
      <c r="AE523" s="476"/>
      <c r="AF523" s="476"/>
      <c r="AG523" s="476"/>
      <c r="AH523" s="476"/>
      <c r="AI523" s="476"/>
      <c r="AJ523" s="476"/>
      <c r="AK523" s="476"/>
      <c r="AL523" s="476"/>
      <c r="AM523" s="476"/>
      <c r="AN523" s="476"/>
      <c r="AO523" s="476"/>
      <c r="AP523" s="476"/>
      <c r="AQ523" s="476"/>
      <c r="AR523" s="476"/>
      <c r="AS523" s="476"/>
      <c r="AT523" s="476"/>
      <c r="AU523" s="476"/>
    </row>
    <row r="524" spans="1:47" s="398" customFormat="1" ht="13.15" customHeight="1" x14ac:dyDescent="0.2">
      <c r="A524" s="476"/>
      <c r="D524" s="467"/>
      <c r="F524" s="468"/>
      <c r="G524" s="468"/>
      <c r="H524" s="468"/>
      <c r="I524" s="468"/>
      <c r="J524" s="469"/>
      <c r="L524" s="476"/>
      <c r="M524" s="476"/>
      <c r="N524" s="476"/>
      <c r="O524" s="476"/>
      <c r="P524" s="476"/>
      <c r="Q524" s="476"/>
      <c r="R524" s="476"/>
      <c r="S524" s="476"/>
      <c r="T524" s="476"/>
      <c r="U524" s="476"/>
      <c r="V524" s="476"/>
      <c r="W524" s="476"/>
      <c r="X524" s="476"/>
      <c r="Y524" s="476"/>
      <c r="Z524" s="476"/>
      <c r="AA524" s="476"/>
      <c r="AB524" s="476"/>
      <c r="AC524" s="476"/>
      <c r="AD524" s="476"/>
      <c r="AE524" s="476"/>
      <c r="AF524" s="476"/>
      <c r="AG524" s="476"/>
      <c r="AH524" s="476"/>
      <c r="AI524" s="476"/>
      <c r="AJ524" s="476"/>
      <c r="AK524" s="476"/>
      <c r="AL524" s="476"/>
      <c r="AM524" s="476"/>
      <c r="AN524" s="476"/>
      <c r="AO524" s="476"/>
      <c r="AP524" s="476"/>
      <c r="AQ524" s="476"/>
      <c r="AR524" s="476"/>
      <c r="AS524" s="476"/>
      <c r="AT524" s="476"/>
      <c r="AU524" s="476"/>
    </row>
    <row r="525" spans="1:47" s="398" customFormat="1" ht="13.15" customHeight="1" x14ac:dyDescent="0.2">
      <c r="A525" s="476"/>
      <c r="D525" s="467"/>
      <c r="F525" s="468"/>
      <c r="G525" s="468"/>
      <c r="H525" s="468"/>
      <c r="I525" s="468"/>
      <c r="J525" s="469"/>
      <c r="L525" s="476"/>
      <c r="M525" s="476"/>
      <c r="N525" s="476"/>
      <c r="O525" s="476"/>
      <c r="P525" s="476"/>
      <c r="Q525" s="476"/>
      <c r="R525" s="476"/>
      <c r="S525" s="476"/>
      <c r="T525" s="476"/>
      <c r="U525" s="476"/>
      <c r="V525" s="476"/>
      <c r="W525" s="476"/>
      <c r="X525" s="476"/>
      <c r="Y525" s="476"/>
      <c r="Z525" s="476"/>
      <c r="AA525" s="476"/>
      <c r="AB525" s="476"/>
      <c r="AC525" s="476"/>
      <c r="AD525" s="476"/>
      <c r="AE525" s="476"/>
      <c r="AF525" s="476"/>
      <c r="AG525" s="476"/>
      <c r="AH525" s="476"/>
      <c r="AI525" s="476"/>
      <c r="AJ525" s="476"/>
      <c r="AK525" s="476"/>
      <c r="AL525" s="476"/>
      <c r="AM525" s="476"/>
      <c r="AN525" s="476"/>
      <c r="AO525" s="476"/>
      <c r="AP525" s="476"/>
      <c r="AQ525" s="476"/>
      <c r="AR525" s="476"/>
      <c r="AS525" s="476"/>
      <c r="AT525" s="476"/>
      <c r="AU525" s="476"/>
    </row>
    <row r="526" spans="1:47" s="398" customFormat="1" ht="13.15" customHeight="1" x14ac:dyDescent="0.2">
      <c r="A526" s="476"/>
      <c r="D526" s="467"/>
      <c r="F526" s="468"/>
      <c r="G526" s="468"/>
      <c r="H526" s="468"/>
      <c r="I526" s="468"/>
      <c r="J526" s="469"/>
      <c r="L526" s="476"/>
      <c r="M526" s="476"/>
      <c r="N526" s="476"/>
      <c r="O526" s="476"/>
      <c r="P526" s="476"/>
      <c r="Q526" s="476"/>
      <c r="R526" s="476"/>
      <c r="S526" s="476"/>
      <c r="T526" s="476"/>
      <c r="U526" s="476"/>
      <c r="V526" s="476"/>
      <c r="W526" s="476"/>
      <c r="X526" s="476"/>
      <c r="Y526" s="476"/>
      <c r="Z526" s="476"/>
      <c r="AA526" s="476"/>
      <c r="AB526" s="476"/>
      <c r="AC526" s="476"/>
      <c r="AD526" s="476"/>
      <c r="AE526" s="476"/>
      <c r="AF526" s="476"/>
      <c r="AG526" s="476"/>
      <c r="AH526" s="476"/>
      <c r="AI526" s="476"/>
      <c r="AJ526" s="476"/>
      <c r="AK526" s="476"/>
      <c r="AL526" s="476"/>
      <c r="AM526" s="476"/>
      <c r="AN526" s="476"/>
      <c r="AO526" s="476"/>
      <c r="AP526" s="476"/>
      <c r="AQ526" s="476"/>
      <c r="AR526" s="476"/>
      <c r="AS526" s="476"/>
      <c r="AT526" s="476"/>
      <c r="AU526" s="476"/>
    </row>
    <row r="527" spans="1:47" s="398" customFormat="1" ht="13.15" customHeight="1" x14ac:dyDescent="0.2">
      <c r="A527" s="476"/>
      <c r="D527" s="467"/>
      <c r="F527" s="468"/>
      <c r="G527" s="468"/>
      <c r="H527" s="468"/>
      <c r="I527" s="468"/>
      <c r="J527" s="469"/>
      <c r="L527" s="476"/>
      <c r="M527" s="476"/>
      <c r="N527" s="476"/>
      <c r="O527" s="476"/>
      <c r="P527" s="476"/>
      <c r="Q527" s="476"/>
      <c r="R527" s="476"/>
      <c r="S527" s="476"/>
      <c r="T527" s="476"/>
      <c r="U527" s="476"/>
      <c r="V527" s="476"/>
      <c r="W527" s="476"/>
      <c r="X527" s="476"/>
      <c r="Y527" s="476"/>
      <c r="Z527" s="476"/>
      <c r="AA527" s="476"/>
      <c r="AB527" s="476"/>
      <c r="AC527" s="476"/>
      <c r="AD527" s="476"/>
      <c r="AE527" s="476"/>
      <c r="AF527" s="476"/>
      <c r="AG527" s="476"/>
      <c r="AH527" s="476"/>
      <c r="AI527" s="476"/>
      <c r="AJ527" s="476"/>
      <c r="AK527" s="476"/>
      <c r="AL527" s="476"/>
      <c r="AM527" s="476"/>
      <c r="AN527" s="476"/>
      <c r="AO527" s="476"/>
      <c r="AP527" s="476"/>
      <c r="AQ527" s="476"/>
      <c r="AR527" s="476"/>
      <c r="AS527" s="476"/>
      <c r="AT527" s="476"/>
      <c r="AU527" s="476"/>
    </row>
    <row r="528" spans="1:47" s="398" customFormat="1" ht="13.15" customHeight="1" x14ac:dyDescent="0.2">
      <c r="A528" s="476"/>
      <c r="D528" s="467"/>
      <c r="F528" s="468"/>
      <c r="G528" s="468"/>
      <c r="H528" s="468"/>
      <c r="I528" s="468"/>
      <c r="J528" s="469"/>
      <c r="L528" s="476"/>
      <c r="M528" s="476"/>
      <c r="N528" s="476"/>
      <c r="O528" s="476"/>
      <c r="P528" s="476"/>
      <c r="Q528" s="476"/>
      <c r="R528" s="476"/>
      <c r="S528" s="476"/>
      <c r="T528" s="476"/>
      <c r="U528" s="476"/>
      <c r="V528" s="476"/>
      <c r="W528" s="476"/>
      <c r="X528" s="476"/>
      <c r="Y528" s="476"/>
      <c r="Z528" s="476"/>
      <c r="AA528" s="476"/>
      <c r="AB528" s="476"/>
      <c r="AC528" s="476"/>
      <c r="AD528" s="476"/>
      <c r="AE528" s="476"/>
      <c r="AF528" s="476"/>
      <c r="AG528" s="476"/>
      <c r="AH528" s="476"/>
      <c r="AI528" s="476"/>
      <c r="AJ528" s="476"/>
      <c r="AK528" s="476"/>
      <c r="AL528" s="476"/>
      <c r="AM528" s="476"/>
      <c r="AN528" s="476"/>
      <c r="AO528" s="476"/>
      <c r="AP528" s="476"/>
      <c r="AQ528" s="476"/>
      <c r="AR528" s="476"/>
      <c r="AS528" s="476"/>
      <c r="AT528" s="476"/>
      <c r="AU528" s="476"/>
    </row>
    <row r="529" spans="1:47" s="398" customFormat="1" ht="13.15" customHeight="1" x14ac:dyDescent="0.2">
      <c r="A529" s="476"/>
      <c r="D529" s="467"/>
      <c r="F529" s="468"/>
      <c r="G529" s="468"/>
      <c r="H529" s="468"/>
      <c r="I529" s="468"/>
      <c r="J529" s="469"/>
      <c r="L529" s="476"/>
      <c r="M529" s="476"/>
      <c r="N529" s="476"/>
      <c r="O529" s="476"/>
      <c r="P529" s="476"/>
      <c r="Q529" s="476"/>
      <c r="R529" s="476"/>
      <c r="S529" s="476"/>
      <c r="T529" s="476"/>
      <c r="U529" s="476"/>
      <c r="V529" s="476"/>
      <c r="W529" s="476"/>
      <c r="X529" s="476"/>
      <c r="Y529" s="476"/>
      <c r="Z529" s="476"/>
      <c r="AA529" s="476"/>
      <c r="AB529" s="476"/>
      <c r="AC529" s="476"/>
      <c r="AD529" s="476"/>
      <c r="AE529" s="476"/>
      <c r="AF529" s="476"/>
      <c r="AG529" s="476"/>
      <c r="AH529" s="476"/>
      <c r="AI529" s="476"/>
      <c r="AJ529" s="476"/>
      <c r="AK529" s="476"/>
      <c r="AL529" s="476"/>
      <c r="AM529" s="476"/>
      <c r="AN529" s="476"/>
      <c r="AO529" s="476"/>
      <c r="AP529" s="476"/>
      <c r="AQ529" s="476"/>
      <c r="AR529" s="476"/>
      <c r="AS529" s="476"/>
      <c r="AT529" s="476"/>
      <c r="AU529" s="476"/>
    </row>
    <row r="530" spans="1:47" s="398" customFormat="1" ht="13.15" customHeight="1" x14ac:dyDescent="0.2">
      <c r="A530" s="476"/>
      <c r="D530" s="467"/>
      <c r="F530" s="468"/>
      <c r="G530" s="468"/>
      <c r="H530" s="468"/>
      <c r="I530" s="468"/>
      <c r="J530" s="469"/>
      <c r="L530" s="476"/>
      <c r="M530" s="476"/>
      <c r="N530" s="476"/>
      <c r="O530" s="476"/>
      <c r="P530" s="476"/>
      <c r="Q530" s="476"/>
      <c r="R530" s="476"/>
      <c r="S530" s="476"/>
      <c r="T530" s="476"/>
      <c r="U530" s="476"/>
      <c r="V530" s="476"/>
      <c r="W530" s="476"/>
      <c r="X530" s="476"/>
      <c r="Y530" s="476"/>
      <c r="Z530" s="476"/>
      <c r="AA530" s="476"/>
      <c r="AB530" s="476"/>
      <c r="AC530" s="476"/>
      <c r="AD530" s="476"/>
      <c r="AE530" s="476"/>
      <c r="AF530" s="476"/>
      <c r="AG530" s="476"/>
      <c r="AH530" s="476"/>
      <c r="AI530" s="476"/>
      <c r="AJ530" s="476"/>
      <c r="AK530" s="476"/>
      <c r="AL530" s="476"/>
      <c r="AM530" s="476"/>
      <c r="AN530" s="476"/>
      <c r="AO530" s="476"/>
      <c r="AP530" s="476"/>
      <c r="AQ530" s="476"/>
      <c r="AR530" s="476"/>
      <c r="AS530" s="476"/>
      <c r="AT530" s="476"/>
      <c r="AU530" s="476"/>
    </row>
    <row r="531" spans="1:47" s="398" customFormat="1" ht="13.15" customHeight="1" x14ac:dyDescent="0.2">
      <c r="A531" s="476"/>
      <c r="D531" s="467"/>
      <c r="F531" s="468"/>
      <c r="G531" s="468"/>
      <c r="H531" s="468"/>
      <c r="I531" s="468"/>
      <c r="J531" s="469"/>
      <c r="L531" s="476"/>
      <c r="M531" s="476"/>
      <c r="N531" s="476"/>
      <c r="O531" s="476"/>
      <c r="P531" s="476"/>
      <c r="Q531" s="476"/>
      <c r="R531" s="476"/>
      <c r="S531" s="476"/>
      <c r="T531" s="476"/>
      <c r="U531" s="476"/>
      <c r="V531" s="476"/>
      <c r="W531" s="476"/>
      <c r="X531" s="476"/>
      <c r="Y531" s="476"/>
      <c r="Z531" s="476"/>
      <c r="AA531" s="476"/>
      <c r="AB531" s="476"/>
      <c r="AC531" s="476"/>
      <c r="AD531" s="476"/>
      <c r="AE531" s="476"/>
      <c r="AF531" s="476"/>
      <c r="AG531" s="476"/>
      <c r="AH531" s="476"/>
      <c r="AI531" s="476"/>
      <c r="AJ531" s="476"/>
      <c r="AK531" s="476"/>
      <c r="AL531" s="476"/>
      <c r="AM531" s="476"/>
      <c r="AN531" s="476"/>
      <c r="AO531" s="476"/>
      <c r="AP531" s="476"/>
      <c r="AQ531" s="476"/>
      <c r="AR531" s="476"/>
      <c r="AS531" s="476"/>
      <c r="AT531" s="476"/>
      <c r="AU531" s="476"/>
    </row>
    <row r="532" spans="1:47" s="398" customFormat="1" ht="13.15" customHeight="1" x14ac:dyDescent="0.2">
      <c r="A532" s="476"/>
      <c r="D532" s="467"/>
      <c r="F532" s="468"/>
      <c r="G532" s="468"/>
      <c r="H532" s="468"/>
      <c r="I532" s="468"/>
      <c r="J532" s="469"/>
      <c r="L532" s="476"/>
      <c r="M532" s="476"/>
      <c r="N532" s="476"/>
      <c r="O532" s="476"/>
      <c r="P532" s="476"/>
      <c r="Q532" s="476"/>
      <c r="R532" s="476"/>
      <c r="S532" s="476"/>
      <c r="T532" s="476"/>
      <c r="U532" s="476"/>
      <c r="V532" s="476"/>
      <c r="W532" s="476"/>
      <c r="X532" s="476"/>
      <c r="Y532" s="476"/>
      <c r="Z532" s="476"/>
      <c r="AA532" s="476"/>
      <c r="AB532" s="476"/>
      <c r="AC532" s="476"/>
      <c r="AD532" s="476"/>
      <c r="AE532" s="476"/>
      <c r="AF532" s="476"/>
      <c r="AG532" s="476"/>
      <c r="AH532" s="476"/>
      <c r="AI532" s="476"/>
      <c r="AJ532" s="476"/>
      <c r="AK532" s="476"/>
      <c r="AL532" s="476"/>
      <c r="AM532" s="476"/>
      <c r="AN532" s="476"/>
      <c r="AO532" s="476"/>
      <c r="AP532" s="476"/>
      <c r="AQ532" s="476"/>
      <c r="AR532" s="476"/>
      <c r="AS532" s="476"/>
      <c r="AT532" s="476"/>
      <c r="AU532" s="476"/>
    </row>
    <row r="533" spans="1:47" s="398" customFormat="1" ht="13.15" customHeight="1" x14ac:dyDescent="0.2">
      <c r="A533" s="476"/>
      <c r="D533" s="467"/>
      <c r="F533" s="468"/>
      <c r="G533" s="468"/>
      <c r="H533" s="468"/>
      <c r="I533" s="468"/>
      <c r="J533" s="469"/>
      <c r="L533" s="476"/>
      <c r="M533" s="476"/>
      <c r="N533" s="476"/>
      <c r="O533" s="476"/>
      <c r="P533" s="476"/>
      <c r="Q533" s="476"/>
      <c r="R533" s="476"/>
      <c r="S533" s="476"/>
      <c r="T533" s="476"/>
      <c r="U533" s="476"/>
      <c r="V533" s="476"/>
      <c r="W533" s="476"/>
      <c r="X533" s="476"/>
      <c r="Y533" s="476"/>
      <c r="Z533" s="476"/>
      <c r="AA533" s="476"/>
      <c r="AB533" s="476"/>
      <c r="AC533" s="476"/>
      <c r="AD533" s="476"/>
      <c r="AE533" s="476"/>
      <c r="AF533" s="476"/>
      <c r="AG533" s="476"/>
      <c r="AH533" s="476"/>
      <c r="AI533" s="476"/>
      <c r="AJ533" s="476"/>
      <c r="AK533" s="476"/>
      <c r="AL533" s="476"/>
      <c r="AM533" s="476"/>
      <c r="AN533" s="476"/>
      <c r="AO533" s="476"/>
      <c r="AP533" s="476"/>
      <c r="AQ533" s="476"/>
      <c r="AR533" s="476"/>
      <c r="AS533" s="476"/>
      <c r="AT533" s="476"/>
      <c r="AU533" s="476"/>
    </row>
    <row r="534" spans="1:47" s="398" customFormat="1" ht="13.15" customHeight="1" x14ac:dyDescent="0.2">
      <c r="A534" s="476"/>
      <c r="D534" s="467"/>
      <c r="F534" s="468"/>
      <c r="G534" s="468"/>
      <c r="H534" s="468"/>
      <c r="I534" s="468"/>
      <c r="J534" s="469"/>
      <c r="L534" s="476"/>
      <c r="M534" s="476"/>
      <c r="N534" s="476"/>
      <c r="O534" s="476"/>
      <c r="P534" s="476"/>
      <c r="Q534" s="476"/>
      <c r="R534" s="476"/>
      <c r="S534" s="476"/>
      <c r="T534" s="476"/>
      <c r="U534" s="476"/>
      <c r="V534" s="476"/>
      <c r="W534" s="476"/>
      <c r="X534" s="476"/>
      <c r="Y534" s="476"/>
      <c r="Z534" s="476"/>
      <c r="AA534" s="476"/>
      <c r="AB534" s="476"/>
      <c r="AC534" s="476"/>
      <c r="AD534" s="476"/>
      <c r="AE534" s="476"/>
      <c r="AF534" s="476"/>
      <c r="AG534" s="476"/>
      <c r="AH534" s="476"/>
      <c r="AI534" s="476"/>
      <c r="AJ534" s="476"/>
      <c r="AK534" s="476"/>
      <c r="AL534" s="476"/>
      <c r="AM534" s="476"/>
      <c r="AN534" s="476"/>
      <c r="AO534" s="476"/>
      <c r="AP534" s="476"/>
      <c r="AQ534" s="476"/>
      <c r="AR534" s="476"/>
      <c r="AS534" s="476"/>
      <c r="AT534" s="476"/>
      <c r="AU534" s="476"/>
    </row>
    <row r="535" spans="1:47" s="398" customFormat="1" ht="13.15" customHeight="1" x14ac:dyDescent="0.2">
      <c r="A535" s="476"/>
      <c r="D535" s="467"/>
      <c r="F535" s="468"/>
      <c r="G535" s="468"/>
      <c r="H535" s="468"/>
      <c r="I535" s="468"/>
      <c r="J535" s="469"/>
      <c r="L535" s="476"/>
      <c r="M535" s="476"/>
      <c r="N535" s="476"/>
      <c r="O535" s="476"/>
      <c r="P535" s="476"/>
      <c r="Q535" s="476"/>
      <c r="R535" s="476"/>
      <c r="S535" s="476"/>
      <c r="T535" s="476"/>
      <c r="U535" s="476"/>
      <c r="V535" s="476"/>
      <c r="W535" s="476"/>
      <c r="X535" s="476"/>
      <c r="Y535" s="476"/>
      <c r="Z535" s="476"/>
      <c r="AA535" s="476"/>
      <c r="AB535" s="476"/>
      <c r="AC535" s="476"/>
      <c r="AD535" s="476"/>
      <c r="AE535" s="476"/>
      <c r="AF535" s="476"/>
      <c r="AG535" s="476"/>
      <c r="AH535" s="476"/>
      <c r="AI535" s="476"/>
      <c r="AJ535" s="476"/>
      <c r="AK535" s="476"/>
      <c r="AL535" s="476"/>
      <c r="AM535" s="476"/>
      <c r="AN535" s="476"/>
      <c r="AO535" s="476"/>
      <c r="AP535" s="476"/>
      <c r="AQ535" s="476"/>
      <c r="AR535" s="476"/>
      <c r="AS535" s="476"/>
      <c r="AT535" s="476"/>
      <c r="AU535" s="476"/>
    </row>
    <row r="536" spans="1:47" s="398" customFormat="1" ht="13.15" customHeight="1" x14ac:dyDescent="0.2">
      <c r="A536" s="476"/>
      <c r="D536" s="467"/>
      <c r="F536" s="468"/>
      <c r="G536" s="468"/>
      <c r="H536" s="468"/>
      <c r="I536" s="468"/>
      <c r="J536" s="469"/>
      <c r="L536" s="476"/>
      <c r="M536" s="476"/>
      <c r="N536" s="476"/>
      <c r="O536" s="476"/>
      <c r="P536" s="476"/>
      <c r="Q536" s="476"/>
      <c r="R536" s="476"/>
      <c r="S536" s="476"/>
      <c r="T536" s="476"/>
      <c r="U536" s="476"/>
      <c r="V536" s="476"/>
      <c r="W536" s="476"/>
      <c r="X536" s="476"/>
      <c r="Y536" s="476"/>
      <c r="Z536" s="476"/>
      <c r="AA536" s="476"/>
      <c r="AB536" s="476"/>
      <c r="AC536" s="476"/>
      <c r="AD536" s="476"/>
      <c r="AE536" s="476"/>
      <c r="AF536" s="476"/>
      <c r="AG536" s="476"/>
      <c r="AH536" s="476"/>
      <c r="AI536" s="476"/>
      <c r="AJ536" s="476"/>
      <c r="AK536" s="476"/>
      <c r="AL536" s="476"/>
      <c r="AM536" s="476"/>
      <c r="AN536" s="476"/>
      <c r="AO536" s="476"/>
      <c r="AP536" s="476"/>
      <c r="AQ536" s="476"/>
      <c r="AR536" s="476"/>
      <c r="AS536" s="476"/>
      <c r="AT536" s="476"/>
      <c r="AU536" s="476"/>
    </row>
    <row r="537" spans="1:47" s="398" customFormat="1" ht="13.15" customHeight="1" x14ac:dyDescent="0.2">
      <c r="A537" s="476"/>
      <c r="D537" s="467"/>
      <c r="F537" s="468"/>
      <c r="G537" s="468"/>
      <c r="H537" s="468"/>
      <c r="I537" s="468"/>
      <c r="J537" s="469"/>
      <c r="L537" s="476"/>
      <c r="M537" s="476"/>
      <c r="N537" s="476"/>
      <c r="O537" s="476"/>
      <c r="P537" s="476"/>
      <c r="Q537" s="476"/>
      <c r="R537" s="476"/>
      <c r="S537" s="476"/>
      <c r="T537" s="476"/>
      <c r="U537" s="476"/>
      <c r="V537" s="476"/>
      <c r="W537" s="476"/>
      <c r="X537" s="476"/>
      <c r="Y537" s="476"/>
      <c r="Z537" s="476"/>
      <c r="AA537" s="476"/>
      <c r="AB537" s="476"/>
      <c r="AC537" s="476"/>
      <c r="AD537" s="476"/>
      <c r="AE537" s="476"/>
      <c r="AF537" s="476"/>
      <c r="AG537" s="476"/>
      <c r="AH537" s="476"/>
      <c r="AI537" s="476"/>
      <c r="AJ537" s="476"/>
      <c r="AK537" s="476"/>
      <c r="AL537" s="476"/>
      <c r="AM537" s="476"/>
      <c r="AN537" s="476"/>
      <c r="AO537" s="476"/>
      <c r="AP537" s="476"/>
      <c r="AQ537" s="476"/>
      <c r="AR537" s="476"/>
      <c r="AS537" s="476"/>
      <c r="AT537" s="476"/>
      <c r="AU537" s="476"/>
    </row>
    <row r="538" spans="1:47" s="398" customFormat="1" ht="13.15" customHeight="1" x14ac:dyDescent="0.2">
      <c r="A538" s="476"/>
      <c r="D538" s="467"/>
      <c r="F538" s="468"/>
      <c r="G538" s="468"/>
      <c r="H538" s="468"/>
      <c r="I538" s="468"/>
      <c r="J538" s="469"/>
      <c r="L538" s="476"/>
      <c r="M538" s="476"/>
      <c r="N538" s="476"/>
      <c r="O538" s="476"/>
      <c r="P538" s="476"/>
      <c r="Q538" s="476"/>
      <c r="R538" s="476"/>
      <c r="S538" s="476"/>
      <c r="T538" s="476"/>
      <c r="U538" s="476"/>
      <c r="V538" s="476"/>
      <c r="W538" s="476"/>
      <c r="X538" s="476"/>
      <c r="Y538" s="476"/>
      <c r="Z538" s="476"/>
      <c r="AA538" s="476"/>
      <c r="AB538" s="476"/>
      <c r="AC538" s="476"/>
      <c r="AD538" s="476"/>
      <c r="AE538" s="476"/>
      <c r="AF538" s="476"/>
      <c r="AG538" s="476"/>
      <c r="AH538" s="476"/>
      <c r="AI538" s="476"/>
      <c r="AJ538" s="476"/>
      <c r="AK538" s="476"/>
      <c r="AL538" s="476"/>
      <c r="AM538" s="476"/>
      <c r="AN538" s="476"/>
      <c r="AO538" s="476"/>
      <c r="AP538" s="476"/>
      <c r="AQ538" s="476"/>
      <c r="AR538" s="476"/>
      <c r="AS538" s="476"/>
      <c r="AT538" s="476"/>
      <c r="AU538" s="476"/>
    </row>
    <row r="539" spans="1:47" s="398" customFormat="1" ht="13.15" customHeight="1" x14ac:dyDescent="0.2">
      <c r="A539" s="476"/>
      <c r="D539" s="467"/>
      <c r="F539" s="468"/>
      <c r="G539" s="468"/>
      <c r="H539" s="468"/>
      <c r="I539" s="468"/>
      <c r="J539" s="469"/>
      <c r="L539" s="476"/>
      <c r="M539" s="476"/>
      <c r="N539" s="476"/>
      <c r="O539" s="476"/>
      <c r="P539" s="476"/>
      <c r="Q539" s="476"/>
      <c r="R539" s="476"/>
      <c r="S539" s="476"/>
      <c r="T539" s="476"/>
      <c r="U539" s="476"/>
      <c r="V539" s="476"/>
      <c r="W539" s="476"/>
      <c r="X539" s="476"/>
      <c r="Y539" s="476"/>
      <c r="Z539" s="476"/>
      <c r="AA539" s="476"/>
      <c r="AB539" s="476"/>
      <c r="AC539" s="476"/>
      <c r="AD539" s="476"/>
      <c r="AE539" s="476"/>
      <c r="AF539" s="476"/>
      <c r="AG539" s="476"/>
      <c r="AH539" s="476"/>
      <c r="AI539" s="476"/>
      <c r="AJ539" s="476"/>
      <c r="AK539" s="476"/>
      <c r="AL539" s="476"/>
      <c r="AM539" s="476"/>
      <c r="AN539" s="476"/>
      <c r="AO539" s="476"/>
      <c r="AP539" s="476"/>
      <c r="AQ539" s="476"/>
      <c r="AR539" s="476"/>
      <c r="AS539" s="476"/>
      <c r="AT539" s="476"/>
      <c r="AU539" s="476"/>
    </row>
    <row r="540" spans="1:47" s="398" customFormat="1" ht="13.15" customHeight="1" x14ac:dyDescent="0.2">
      <c r="A540" s="476"/>
      <c r="D540" s="467"/>
      <c r="F540" s="468"/>
      <c r="G540" s="468"/>
      <c r="H540" s="468"/>
      <c r="I540" s="468"/>
      <c r="J540" s="469"/>
      <c r="L540" s="476"/>
      <c r="M540" s="476"/>
      <c r="N540" s="476"/>
      <c r="O540" s="476"/>
      <c r="P540" s="476"/>
      <c r="Q540" s="476"/>
      <c r="R540" s="476"/>
      <c r="S540" s="476"/>
      <c r="T540" s="476"/>
      <c r="U540" s="476"/>
      <c r="V540" s="476"/>
      <c r="W540" s="476"/>
      <c r="X540" s="476"/>
      <c r="Y540" s="476"/>
      <c r="Z540" s="476"/>
      <c r="AA540" s="476"/>
      <c r="AB540" s="476"/>
      <c r="AC540" s="476"/>
      <c r="AD540" s="476"/>
      <c r="AE540" s="476"/>
      <c r="AF540" s="476"/>
      <c r="AG540" s="476"/>
      <c r="AH540" s="476"/>
      <c r="AI540" s="476"/>
      <c r="AJ540" s="476"/>
      <c r="AK540" s="476"/>
      <c r="AL540" s="476"/>
      <c r="AM540" s="476"/>
      <c r="AN540" s="476"/>
      <c r="AO540" s="476"/>
      <c r="AP540" s="476"/>
      <c r="AQ540" s="476"/>
      <c r="AR540" s="476"/>
      <c r="AS540" s="476"/>
      <c r="AT540" s="476"/>
      <c r="AU540" s="476"/>
    </row>
    <row r="541" spans="1:47" s="398" customFormat="1" ht="13.15" customHeight="1" x14ac:dyDescent="0.2">
      <c r="A541" s="476"/>
      <c r="D541" s="467"/>
      <c r="F541" s="468"/>
      <c r="G541" s="468"/>
      <c r="H541" s="468"/>
      <c r="I541" s="468"/>
      <c r="J541" s="469"/>
      <c r="L541" s="476"/>
      <c r="M541" s="476"/>
      <c r="N541" s="476"/>
      <c r="O541" s="476"/>
      <c r="P541" s="476"/>
      <c r="Q541" s="476"/>
      <c r="R541" s="476"/>
      <c r="S541" s="476"/>
      <c r="T541" s="476"/>
      <c r="U541" s="476"/>
      <c r="V541" s="476"/>
      <c r="W541" s="476"/>
      <c r="X541" s="476"/>
      <c r="Y541" s="476"/>
      <c r="Z541" s="476"/>
      <c r="AA541" s="476"/>
      <c r="AB541" s="476"/>
      <c r="AC541" s="476"/>
      <c r="AD541" s="476"/>
      <c r="AE541" s="476"/>
      <c r="AF541" s="476"/>
      <c r="AG541" s="476"/>
      <c r="AH541" s="476"/>
      <c r="AI541" s="476"/>
      <c r="AJ541" s="476"/>
      <c r="AK541" s="476"/>
      <c r="AL541" s="476"/>
      <c r="AM541" s="476"/>
      <c r="AN541" s="476"/>
      <c r="AO541" s="476"/>
      <c r="AP541" s="476"/>
      <c r="AQ541" s="476"/>
      <c r="AR541" s="476"/>
      <c r="AS541" s="476"/>
      <c r="AT541" s="476"/>
      <c r="AU541" s="476"/>
    </row>
    <row r="542" spans="1:47" s="398" customFormat="1" ht="13.15" customHeight="1" x14ac:dyDescent="0.2">
      <c r="A542" s="476"/>
      <c r="D542" s="467"/>
      <c r="F542" s="468"/>
      <c r="G542" s="468"/>
      <c r="H542" s="468"/>
      <c r="I542" s="468"/>
      <c r="J542" s="469"/>
      <c r="L542" s="476"/>
      <c r="M542" s="476"/>
      <c r="N542" s="476"/>
      <c r="O542" s="476"/>
      <c r="P542" s="476"/>
      <c r="Q542" s="476"/>
      <c r="R542" s="476"/>
      <c r="S542" s="476"/>
      <c r="T542" s="476"/>
      <c r="U542" s="476"/>
      <c r="V542" s="476"/>
      <c r="W542" s="476"/>
      <c r="X542" s="476"/>
      <c r="Y542" s="476"/>
      <c r="Z542" s="476"/>
      <c r="AA542" s="476"/>
      <c r="AB542" s="476"/>
      <c r="AC542" s="476"/>
      <c r="AD542" s="476"/>
      <c r="AE542" s="476"/>
      <c r="AF542" s="476"/>
      <c r="AG542" s="476"/>
      <c r="AH542" s="476"/>
      <c r="AI542" s="476"/>
      <c r="AJ542" s="476"/>
      <c r="AK542" s="476"/>
      <c r="AL542" s="476"/>
      <c r="AM542" s="476"/>
      <c r="AN542" s="476"/>
      <c r="AO542" s="476"/>
      <c r="AP542" s="476"/>
      <c r="AQ542" s="476"/>
      <c r="AR542" s="476"/>
      <c r="AS542" s="476"/>
      <c r="AT542" s="476"/>
      <c r="AU542" s="476"/>
    </row>
    <row r="543" spans="1:47" s="398" customFormat="1" ht="13.15" customHeight="1" x14ac:dyDescent="0.2">
      <c r="A543" s="476"/>
      <c r="D543" s="467"/>
      <c r="F543" s="468"/>
      <c r="G543" s="468"/>
      <c r="H543" s="468"/>
      <c r="I543" s="468"/>
      <c r="J543" s="469"/>
      <c r="L543" s="476"/>
      <c r="M543" s="476"/>
      <c r="N543" s="476"/>
      <c r="O543" s="476"/>
      <c r="P543" s="476"/>
      <c r="Q543" s="476"/>
      <c r="R543" s="476"/>
      <c r="S543" s="476"/>
      <c r="T543" s="476"/>
      <c r="U543" s="476"/>
      <c r="V543" s="476"/>
      <c r="W543" s="476"/>
      <c r="X543" s="476"/>
      <c r="Y543" s="476"/>
      <c r="Z543" s="476"/>
      <c r="AA543" s="476"/>
      <c r="AB543" s="476"/>
      <c r="AC543" s="476"/>
      <c r="AD543" s="476"/>
      <c r="AE543" s="476"/>
      <c r="AF543" s="476"/>
      <c r="AG543" s="476"/>
      <c r="AH543" s="476"/>
      <c r="AI543" s="476"/>
      <c r="AJ543" s="476"/>
      <c r="AK543" s="476"/>
      <c r="AL543" s="476"/>
      <c r="AM543" s="476"/>
      <c r="AN543" s="476"/>
      <c r="AO543" s="476"/>
      <c r="AP543" s="476"/>
      <c r="AQ543" s="476"/>
      <c r="AR543" s="476"/>
      <c r="AS543" s="476"/>
      <c r="AT543" s="476"/>
      <c r="AU543" s="476"/>
    </row>
    <row r="544" spans="1:47" s="398" customFormat="1" ht="13.15" customHeight="1" x14ac:dyDescent="0.2">
      <c r="A544" s="476"/>
      <c r="D544" s="467"/>
      <c r="F544" s="468"/>
      <c r="G544" s="468"/>
      <c r="H544" s="468"/>
      <c r="I544" s="468"/>
      <c r="J544" s="469"/>
      <c r="L544" s="476"/>
      <c r="M544" s="476"/>
      <c r="N544" s="476"/>
      <c r="O544" s="476"/>
      <c r="P544" s="476"/>
      <c r="Q544" s="476"/>
      <c r="R544" s="476"/>
      <c r="S544" s="476"/>
      <c r="T544" s="476"/>
      <c r="U544" s="476"/>
      <c r="V544" s="476"/>
      <c r="W544" s="476"/>
      <c r="X544" s="476"/>
      <c r="Y544" s="476"/>
      <c r="Z544" s="476"/>
      <c r="AA544" s="476"/>
      <c r="AB544" s="476"/>
      <c r="AC544" s="476"/>
      <c r="AD544" s="476"/>
      <c r="AE544" s="476"/>
      <c r="AF544" s="476"/>
      <c r="AG544" s="476"/>
      <c r="AH544" s="476"/>
      <c r="AI544" s="476"/>
      <c r="AJ544" s="476"/>
      <c r="AK544" s="476"/>
      <c r="AL544" s="476"/>
      <c r="AM544" s="476"/>
      <c r="AN544" s="476"/>
      <c r="AO544" s="476"/>
      <c r="AP544" s="476"/>
      <c r="AQ544" s="476"/>
      <c r="AR544" s="476"/>
      <c r="AS544" s="476"/>
      <c r="AT544" s="476"/>
      <c r="AU544" s="476"/>
    </row>
    <row r="545" spans="1:47" s="398" customFormat="1" ht="13.15" customHeight="1" x14ac:dyDescent="0.2">
      <c r="A545" s="476"/>
      <c r="D545" s="467"/>
      <c r="F545" s="468"/>
      <c r="G545" s="468"/>
      <c r="H545" s="468"/>
      <c r="I545" s="468"/>
      <c r="J545" s="469"/>
      <c r="L545" s="476"/>
      <c r="M545" s="476"/>
      <c r="N545" s="476"/>
      <c r="O545" s="476"/>
      <c r="P545" s="476"/>
      <c r="Q545" s="476"/>
      <c r="R545" s="476"/>
      <c r="S545" s="476"/>
      <c r="T545" s="476"/>
      <c r="U545" s="476"/>
      <c r="V545" s="476"/>
      <c r="W545" s="476"/>
      <c r="X545" s="476"/>
      <c r="Y545" s="476"/>
      <c r="Z545" s="476"/>
      <c r="AA545" s="476"/>
      <c r="AB545" s="476"/>
      <c r="AC545" s="476"/>
      <c r="AD545" s="476"/>
      <c r="AE545" s="476"/>
      <c r="AF545" s="476"/>
      <c r="AG545" s="476"/>
      <c r="AH545" s="476"/>
      <c r="AI545" s="476"/>
      <c r="AJ545" s="476"/>
      <c r="AK545" s="476"/>
      <c r="AL545" s="476"/>
      <c r="AM545" s="476"/>
      <c r="AN545" s="476"/>
      <c r="AO545" s="476"/>
      <c r="AP545" s="476"/>
      <c r="AQ545" s="476"/>
      <c r="AR545" s="476"/>
      <c r="AS545" s="476"/>
      <c r="AT545" s="476"/>
      <c r="AU545" s="476"/>
    </row>
    <row r="546" spans="1:47" s="398" customFormat="1" ht="13.15" customHeight="1" x14ac:dyDescent="0.2">
      <c r="A546" s="476"/>
      <c r="D546" s="467"/>
      <c r="F546" s="468"/>
      <c r="G546" s="468"/>
      <c r="H546" s="468"/>
      <c r="I546" s="468"/>
      <c r="J546" s="469"/>
      <c r="L546" s="476"/>
      <c r="M546" s="476"/>
      <c r="N546" s="476"/>
      <c r="O546" s="476"/>
      <c r="P546" s="476"/>
      <c r="Q546" s="476"/>
      <c r="R546" s="476"/>
      <c r="S546" s="476"/>
      <c r="T546" s="476"/>
      <c r="U546" s="476"/>
      <c r="V546" s="476"/>
      <c r="W546" s="476"/>
      <c r="X546" s="476"/>
      <c r="Y546" s="476"/>
      <c r="Z546" s="476"/>
      <c r="AA546" s="476"/>
      <c r="AB546" s="476"/>
      <c r="AC546" s="476"/>
      <c r="AD546" s="476"/>
      <c r="AE546" s="476"/>
      <c r="AF546" s="476"/>
      <c r="AG546" s="476"/>
      <c r="AH546" s="476"/>
      <c r="AI546" s="476"/>
      <c r="AJ546" s="476"/>
      <c r="AK546" s="476"/>
      <c r="AL546" s="476"/>
      <c r="AM546" s="476"/>
      <c r="AN546" s="476"/>
      <c r="AO546" s="476"/>
      <c r="AP546" s="476"/>
      <c r="AQ546" s="476"/>
      <c r="AR546" s="476"/>
      <c r="AS546" s="476"/>
      <c r="AT546" s="476"/>
      <c r="AU546" s="476"/>
    </row>
    <row r="547" spans="1:47" s="398" customFormat="1" ht="13.15" customHeight="1" x14ac:dyDescent="0.2">
      <c r="A547" s="476"/>
      <c r="D547" s="467"/>
      <c r="F547" s="468"/>
      <c r="G547" s="468"/>
      <c r="H547" s="468"/>
      <c r="I547" s="468"/>
      <c r="J547" s="469"/>
      <c r="L547" s="476"/>
      <c r="M547" s="476"/>
      <c r="N547" s="476"/>
      <c r="O547" s="476"/>
      <c r="P547" s="476"/>
      <c r="Q547" s="476"/>
      <c r="R547" s="476"/>
      <c r="S547" s="476"/>
      <c r="T547" s="476"/>
      <c r="U547" s="476"/>
      <c r="V547" s="476"/>
      <c r="W547" s="476"/>
      <c r="X547" s="476"/>
      <c r="Y547" s="476"/>
      <c r="Z547" s="476"/>
      <c r="AA547" s="476"/>
      <c r="AB547" s="476"/>
      <c r="AC547" s="476"/>
      <c r="AD547" s="476"/>
      <c r="AE547" s="476"/>
      <c r="AF547" s="476"/>
      <c r="AG547" s="476"/>
      <c r="AH547" s="476"/>
      <c r="AI547" s="476"/>
      <c r="AJ547" s="476"/>
      <c r="AK547" s="476"/>
      <c r="AL547" s="476"/>
      <c r="AM547" s="476"/>
      <c r="AN547" s="476"/>
      <c r="AO547" s="476"/>
      <c r="AP547" s="476"/>
      <c r="AQ547" s="476"/>
      <c r="AR547" s="476"/>
      <c r="AS547" s="476"/>
      <c r="AT547" s="476"/>
      <c r="AU547" s="476"/>
    </row>
    <row r="548" spans="1:47" s="398" customFormat="1" ht="13.15" customHeight="1" x14ac:dyDescent="0.2">
      <c r="A548" s="476"/>
      <c r="D548" s="467"/>
      <c r="F548" s="468"/>
      <c r="G548" s="468"/>
      <c r="H548" s="468"/>
      <c r="I548" s="468"/>
      <c r="J548" s="469"/>
      <c r="L548" s="476"/>
      <c r="M548" s="476"/>
      <c r="N548" s="476"/>
      <c r="O548" s="476"/>
      <c r="P548" s="476"/>
      <c r="Q548" s="476"/>
      <c r="R548" s="476"/>
      <c r="S548" s="476"/>
      <c r="T548" s="476"/>
      <c r="U548" s="476"/>
      <c r="V548" s="476"/>
      <c r="W548" s="476"/>
      <c r="X548" s="476"/>
      <c r="Y548" s="476"/>
      <c r="Z548" s="476"/>
      <c r="AA548" s="476"/>
      <c r="AB548" s="476"/>
      <c r="AC548" s="476"/>
      <c r="AD548" s="476"/>
      <c r="AE548" s="476"/>
      <c r="AF548" s="476"/>
      <c r="AG548" s="476"/>
      <c r="AH548" s="476"/>
      <c r="AI548" s="476"/>
      <c r="AJ548" s="476"/>
      <c r="AK548" s="476"/>
      <c r="AL548" s="476"/>
      <c r="AM548" s="476"/>
      <c r="AN548" s="476"/>
      <c r="AO548" s="476"/>
      <c r="AP548" s="476"/>
      <c r="AQ548" s="476"/>
      <c r="AR548" s="476"/>
      <c r="AS548" s="476"/>
      <c r="AT548" s="476"/>
      <c r="AU548" s="476"/>
    </row>
    <row r="549" spans="1:47" s="398" customFormat="1" ht="13.15" customHeight="1" x14ac:dyDescent="0.2">
      <c r="A549" s="476"/>
      <c r="D549" s="467"/>
      <c r="F549" s="468"/>
      <c r="G549" s="468"/>
      <c r="H549" s="468"/>
      <c r="I549" s="468"/>
      <c r="J549" s="469"/>
      <c r="L549" s="476"/>
      <c r="M549" s="476"/>
      <c r="N549" s="476"/>
      <c r="O549" s="476"/>
      <c r="P549" s="476"/>
      <c r="Q549" s="476"/>
      <c r="R549" s="476"/>
      <c r="S549" s="476"/>
      <c r="T549" s="476"/>
      <c r="U549" s="476"/>
      <c r="V549" s="476"/>
      <c r="W549" s="476"/>
      <c r="X549" s="476"/>
      <c r="Y549" s="476"/>
      <c r="Z549" s="476"/>
      <c r="AA549" s="476"/>
      <c r="AB549" s="476"/>
      <c r="AC549" s="476"/>
      <c r="AD549" s="476"/>
      <c r="AE549" s="476"/>
      <c r="AF549" s="476"/>
      <c r="AG549" s="476"/>
      <c r="AH549" s="476"/>
      <c r="AI549" s="476"/>
      <c r="AJ549" s="476"/>
      <c r="AK549" s="476"/>
      <c r="AL549" s="476"/>
      <c r="AM549" s="476"/>
      <c r="AN549" s="476"/>
      <c r="AO549" s="476"/>
      <c r="AP549" s="476"/>
      <c r="AQ549" s="476"/>
      <c r="AR549" s="476"/>
      <c r="AS549" s="476"/>
      <c r="AT549" s="476"/>
      <c r="AU549" s="476"/>
    </row>
    <row r="550" spans="1:47" s="398" customFormat="1" ht="13.15" customHeight="1" x14ac:dyDescent="0.2">
      <c r="A550" s="476"/>
      <c r="D550" s="467"/>
      <c r="F550" s="468"/>
      <c r="G550" s="468"/>
      <c r="H550" s="468"/>
      <c r="I550" s="468"/>
      <c r="J550" s="469"/>
      <c r="L550" s="476"/>
      <c r="M550" s="476"/>
      <c r="N550" s="476"/>
      <c r="O550" s="476"/>
      <c r="P550" s="476"/>
      <c r="Q550" s="476"/>
      <c r="R550" s="476"/>
      <c r="S550" s="476"/>
      <c r="T550" s="476"/>
      <c r="U550" s="476"/>
      <c r="V550" s="476"/>
      <c r="W550" s="476"/>
      <c r="X550" s="476"/>
      <c r="Y550" s="476"/>
      <c r="Z550" s="476"/>
      <c r="AA550" s="476"/>
      <c r="AB550" s="476"/>
      <c r="AC550" s="476"/>
      <c r="AD550" s="476"/>
      <c r="AE550" s="476"/>
      <c r="AF550" s="476"/>
      <c r="AG550" s="476"/>
      <c r="AH550" s="476"/>
      <c r="AI550" s="476"/>
      <c r="AJ550" s="476"/>
      <c r="AK550" s="476"/>
      <c r="AL550" s="476"/>
      <c r="AM550" s="476"/>
      <c r="AN550" s="476"/>
      <c r="AO550" s="476"/>
      <c r="AP550" s="476"/>
      <c r="AQ550" s="476"/>
      <c r="AR550" s="476"/>
      <c r="AS550" s="476"/>
      <c r="AT550" s="476"/>
      <c r="AU550" s="476"/>
    </row>
    <row r="551" spans="1:47" s="398" customFormat="1" ht="13.15" customHeight="1" x14ac:dyDescent="0.2">
      <c r="A551" s="476"/>
      <c r="D551" s="467"/>
      <c r="F551" s="468"/>
      <c r="G551" s="468"/>
      <c r="H551" s="468"/>
      <c r="I551" s="468"/>
      <c r="J551" s="469"/>
      <c r="L551" s="476"/>
      <c r="M551" s="476"/>
      <c r="N551" s="476"/>
      <c r="O551" s="476"/>
      <c r="P551" s="476"/>
      <c r="Q551" s="476"/>
      <c r="R551" s="476"/>
      <c r="S551" s="476"/>
      <c r="T551" s="476"/>
      <c r="U551" s="476"/>
      <c r="V551" s="476"/>
      <c r="W551" s="476"/>
      <c r="X551" s="476"/>
      <c r="Y551" s="476"/>
      <c r="Z551" s="476"/>
      <c r="AA551" s="476"/>
      <c r="AB551" s="476"/>
      <c r="AC551" s="476"/>
      <c r="AD551" s="476"/>
      <c r="AE551" s="476"/>
      <c r="AF551" s="476"/>
      <c r="AG551" s="476"/>
      <c r="AH551" s="476"/>
      <c r="AI551" s="476"/>
      <c r="AJ551" s="476"/>
      <c r="AK551" s="476"/>
      <c r="AL551" s="476"/>
      <c r="AM551" s="476"/>
      <c r="AN551" s="476"/>
      <c r="AO551" s="476"/>
      <c r="AP551" s="476"/>
      <c r="AQ551" s="476"/>
      <c r="AR551" s="476"/>
      <c r="AS551" s="476"/>
      <c r="AT551" s="476"/>
      <c r="AU551" s="476"/>
    </row>
    <row r="552" spans="1:47" s="398" customFormat="1" ht="13.15" customHeight="1" x14ac:dyDescent="0.2">
      <c r="A552" s="476"/>
      <c r="D552" s="467"/>
      <c r="F552" s="468"/>
      <c r="G552" s="468"/>
      <c r="H552" s="468"/>
      <c r="I552" s="468"/>
      <c r="J552" s="469"/>
      <c r="L552" s="476"/>
      <c r="M552" s="476"/>
      <c r="N552" s="476"/>
      <c r="O552" s="476"/>
      <c r="P552" s="476"/>
      <c r="Q552" s="476"/>
      <c r="R552" s="476"/>
      <c r="S552" s="476"/>
      <c r="T552" s="476"/>
      <c r="U552" s="476"/>
      <c r="V552" s="476"/>
      <c r="W552" s="476"/>
      <c r="X552" s="476"/>
      <c r="Y552" s="476"/>
      <c r="Z552" s="476"/>
      <c r="AA552" s="476"/>
      <c r="AB552" s="476"/>
      <c r="AC552" s="476"/>
      <c r="AD552" s="476"/>
      <c r="AE552" s="476"/>
      <c r="AF552" s="476"/>
      <c r="AG552" s="476"/>
      <c r="AH552" s="476"/>
      <c r="AI552" s="476"/>
      <c r="AJ552" s="476"/>
      <c r="AK552" s="476"/>
      <c r="AL552" s="476"/>
      <c r="AM552" s="476"/>
      <c r="AN552" s="476"/>
      <c r="AO552" s="476"/>
      <c r="AP552" s="476"/>
      <c r="AQ552" s="476"/>
      <c r="AR552" s="476"/>
      <c r="AS552" s="476"/>
      <c r="AT552" s="476"/>
      <c r="AU552" s="476"/>
    </row>
    <row r="553" spans="1:47" s="398" customFormat="1" ht="13.15" customHeight="1" x14ac:dyDescent="0.2">
      <c r="A553" s="476"/>
      <c r="D553" s="467"/>
      <c r="F553" s="468"/>
      <c r="G553" s="468"/>
      <c r="H553" s="468"/>
      <c r="I553" s="468"/>
      <c r="J553" s="469"/>
      <c r="L553" s="476"/>
      <c r="M553" s="476"/>
      <c r="N553" s="476"/>
      <c r="O553" s="476"/>
      <c r="P553" s="476"/>
      <c r="Q553" s="476"/>
      <c r="R553" s="476"/>
      <c r="S553" s="476"/>
      <c r="T553" s="476"/>
      <c r="U553" s="476"/>
      <c r="V553" s="476"/>
      <c r="W553" s="476"/>
      <c r="X553" s="476"/>
      <c r="Y553" s="476"/>
      <c r="Z553" s="476"/>
      <c r="AA553" s="476"/>
      <c r="AB553" s="476"/>
      <c r="AC553" s="476"/>
      <c r="AD553" s="476"/>
      <c r="AE553" s="476"/>
      <c r="AF553" s="476"/>
      <c r="AG553" s="476"/>
      <c r="AH553" s="476"/>
      <c r="AI553" s="476"/>
      <c r="AJ553" s="476"/>
      <c r="AK553" s="476"/>
      <c r="AL553" s="476"/>
      <c r="AM553" s="476"/>
      <c r="AN553" s="476"/>
      <c r="AO553" s="476"/>
      <c r="AP553" s="476"/>
      <c r="AQ553" s="476"/>
      <c r="AR553" s="476"/>
      <c r="AS553" s="476"/>
      <c r="AT553" s="476"/>
      <c r="AU553" s="476"/>
    </row>
    <row r="554" spans="1:47" s="398" customFormat="1" ht="13.15" customHeight="1" x14ac:dyDescent="0.2">
      <c r="A554" s="476"/>
      <c r="D554" s="467"/>
      <c r="F554" s="468"/>
      <c r="G554" s="468"/>
      <c r="H554" s="468"/>
      <c r="I554" s="468"/>
      <c r="J554" s="469"/>
      <c r="L554" s="476"/>
      <c r="M554" s="476"/>
      <c r="N554" s="476"/>
      <c r="O554" s="476"/>
      <c r="P554" s="476"/>
      <c r="Q554" s="476"/>
      <c r="R554" s="476"/>
      <c r="S554" s="476"/>
      <c r="T554" s="476"/>
      <c r="U554" s="476"/>
      <c r="V554" s="476"/>
      <c r="W554" s="476"/>
      <c r="X554" s="476"/>
      <c r="Y554" s="476"/>
      <c r="Z554" s="476"/>
      <c r="AA554" s="476"/>
      <c r="AB554" s="476"/>
      <c r="AC554" s="476"/>
      <c r="AD554" s="476"/>
      <c r="AE554" s="476"/>
      <c r="AF554" s="476"/>
      <c r="AG554" s="476"/>
      <c r="AH554" s="476"/>
      <c r="AI554" s="476"/>
      <c r="AJ554" s="476"/>
      <c r="AK554" s="476"/>
      <c r="AL554" s="476"/>
      <c r="AM554" s="476"/>
      <c r="AN554" s="476"/>
      <c r="AO554" s="476"/>
      <c r="AP554" s="476"/>
      <c r="AQ554" s="476"/>
      <c r="AR554" s="476"/>
      <c r="AS554" s="476"/>
      <c r="AT554" s="476"/>
      <c r="AU554" s="476"/>
    </row>
    <row r="555" spans="1:47" s="398" customFormat="1" ht="13.15" customHeight="1" x14ac:dyDescent="0.2">
      <c r="A555" s="476"/>
      <c r="D555" s="467"/>
      <c r="F555" s="468"/>
      <c r="G555" s="468"/>
      <c r="H555" s="468"/>
      <c r="I555" s="468"/>
      <c r="J555" s="469"/>
      <c r="L555" s="476"/>
      <c r="M555" s="476"/>
      <c r="N555" s="476"/>
      <c r="O555" s="476"/>
      <c r="P555" s="476"/>
      <c r="Q555" s="476"/>
      <c r="R555" s="476"/>
      <c r="S555" s="476"/>
      <c r="T555" s="476"/>
      <c r="U555" s="476"/>
      <c r="V555" s="476"/>
      <c r="W555" s="476"/>
      <c r="X555" s="476"/>
      <c r="Y555" s="476"/>
      <c r="Z555" s="476"/>
      <c r="AA555" s="476"/>
      <c r="AB555" s="476"/>
      <c r="AC555" s="476"/>
      <c r="AD555" s="476"/>
      <c r="AE555" s="476"/>
      <c r="AF555" s="476"/>
      <c r="AG555" s="476"/>
      <c r="AH555" s="476"/>
      <c r="AI555" s="476"/>
      <c r="AJ555" s="476"/>
      <c r="AK555" s="476"/>
      <c r="AL555" s="476"/>
      <c r="AM555" s="476"/>
      <c r="AN555" s="476"/>
      <c r="AO555" s="476"/>
      <c r="AP555" s="476"/>
      <c r="AQ555" s="476"/>
      <c r="AR555" s="476"/>
      <c r="AS555" s="476"/>
      <c r="AT555" s="476"/>
      <c r="AU555" s="476"/>
    </row>
    <row r="556" spans="1:47" s="398" customFormat="1" ht="13.15" customHeight="1" x14ac:dyDescent="0.2">
      <c r="A556" s="476"/>
      <c r="D556" s="467"/>
      <c r="F556" s="468"/>
      <c r="G556" s="468"/>
      <c r="H556" s="468"/>
      <c r="I556" s="468"/>
      <c r="J556" s="469"/>
      <c r="L556" s="476"/>
      <c r="M556" s="476"/>
      <c r="N556" s="476"/>
      <c r="O556" s="476"/>
      <c r="P556" s="476"/>
      <c r="Q556" s="476"/>
      <c r="R556" s="476"/>
      <c r="S556" s="476"/>
      <c r="T556" s="476"/>
      <c r="U556" s="476"/>
      <c r="V556" s="476"/>
      <c r="W556" s="476"/>
      <c r="X556" s="476"/>
      <c r="Y556" s="476"/>
      <c r="Z556" s="476"/>
      <c r="AA556" s="476"/>
      <c r="AB556" s="476"/>
      <c r="AC556" s="476"/>
      <c r="AD556" s="476"/>
      <c r="AE556" s="476"/>
      <c r="AF556" s="476"/>
      <c r="AG556" s="476"/>
      <c r="AH556" s="476"/>
      <c r="AI556" s="476"/>
      <c r="AJ556" s="476"/>
      <c r="AK556" s="476"/>
      <c r="AL556" s="476"/>
      <c r="AM556" s="476"/>
      <c r="AN556" s="476"/>
      <c r="AO556" s="476"/>
      <c r="AP556" s="476"/>
      <c r="AQ556" s="476"/>
      <c r="AR556" s="476"/>
      <c r="AS556" s="476"/>
      <c r="AT556" s="476"/>
      <c r="AU556" s="476"/>
    </row>
    <row r="557" spans="1:47" s="398" customFormat="1" ht="13.15" customHeight="1" x14ac:dyDescent="0.2">
      <c r="A557" s="476"/>
      <c r="D557" s="467"/>
      <c r="F557" s="468"/>
      <c r="G557" s="468"/>
      <c r="H557" s="468"/>
      <c r="I557" s="468"/>
      <c r="J557" s="469"/>
      <c r="L557" s="476"/>
      <c r="M557" s="476"/>
      <c r="N557" s="476"/>
      <c r="O557" s="476"/>
      <c r="P557" s="476"/>
      <c r="Q557" s="476"/>
      <c r="R557" s="476"/>
      <c r="S557" s="476"/>
      <c r="T557" s="476"/>
      <c r="U557" s="476"/>
      <c r="V557" s="476"/>
      <c r="W557" s="476"/>
      <c r="X557" s="476"/>
      <c r="Y557" s="476"/>
      <c r="Z557" s="476"/>
      <c r="AA557" s="476"/>
      <c r="AB557" s="476"/>
      <c r="AC557" s="476"/>
      <c r="AD557" s="476"/>
      <c r="AE557" s="476"/>
      <c r="AF557" s="476"/>
      <c r="AG557" s="476"/>
      <c r="AH557" s="476"/>
      <c r="AI557" s="476"/>
      <c r="AJ557" s="476"/>
      <c r="AK557" s="476"/>
      <c r="AL557" s="476"/>
      <c r="AM557" s="476"/>
      <c r="AN557" s="476"/>
      <c r="AO557" s="476"/>
      <c r="AP557" s="476"/>
      <c r="AQ557" s="476"/>
      <c r="AR557" s="476"/>
      <c r="AS557" s="476"/>
      <c r="AT557" s="476"/>
      <c r="AU557" s="476"/>
    </row>
    <row r="558" spans="1:47" s="398" customFormat="1" ht="13.15" customHeight="1" x14ac:dyDescent="0.2">
      <c r="A558" s="476"/>
      <c r="D558" s="467"/>
      <c r="F558" s="468"/>
      <c r="G558" s="468"/>
      <c r="H558" s="468"/>
      <c r="I558" s="468"/>
      <c r="J558" s="469"/>
      <c r="L558" s="476"/>
      <c r="M558" s="476"/>
      <c r="N558" s="476"/>
      <c r="O558" s="476"/>
      <c r="P558" s="476"/>
      <c r="Q558" s="476"/>
      <c r="R558" s="476"/>
      <c r="S558" s="476"/>
      <c r="T558" s="476"/>
      <c r="U558" s="476"/>
      <c r="V558" s="476"/>
      <c r="W558" s="476"/>
      <c r="X558" s="476"/>
      <c r="Y558" s="476"/>
      <c r="Z558" s="476"/>
      <c r="AA558" s="476"/>
      <c r="AB558" s="476"/>
      <c r="AC558" s="476"/>
      <c r="AD558" s="476"/>
      <c r="AE558" s="476"/>
      <c r="AF558" s="476"/>
      <c r="AG558" s="476"/>
      <c r="AH558" s="476"/>
      <c r="AI558" s="476"/>
      <c r="AJ558" s="476"/>
      <c r="AK558" s="476"/>
      <c r="AL558" s="476"/>
      <c r="AM558" s="476"/>
      <c r="AN558" s="476"/>
      <c r="AO558" s="476"/>
      <c r="AP558" s="476"/>
      <c r="AQ558" s="476"/>
      <c r="AR558" s="476"/>
      <c r="AS558" s="476"/>
      <c r="AT558" s="476"/>
      <c r="AU558" s="476"/>
    </row>
    <row r="559" spans="1:47" s="398" customFormat="1" ht="13.15" customHeight="1" x14ac:dyDescent="0.2">
      <c r="A559" s="476"/>
      <c r="D559" s="467"/>
      <c r="F559" s="468"/>
      <c r="G559" s="468"/>
      <c r="H559" s="468"/>
      <c r="I559" s="468"/>
      <c r="J559" s="469"/>
      <c r="L559" s="476"/>
      <c r="M559" s="476"/>
      <c r="N559" s="476"/>
      <c r="O559" s="476"/>
      <c r="P559" s="476"/>
      <c r="Q559" s="476"/>
      <c r="R559" s="476"/>
      <c r="S559" s="476"/>
      <c r="T559" s="476"/>
      <c r="U559" s="476"/>
      <c r="V559" s="476"/>
      <c r="W559" s="476"/>
      <c r="X559" s="476"/>
      <c r="Y559" s="476"/>
      <c r="Z559" s="476"/>
      <c r="AA559" s="476"/>
      <c r="AB559" s="476"/>
      <c r="AC559" s="476"/>
      <c r="AD559" s="476"/>
      <c r="AE559" s="476"/>
      <c r="AF559" s="476"/>
      <c r="AG559" s="476"/>
      <c r="AH559" s="476"/>
      <c r="AI559" s="476"/>
      <c r="AJ559" s="476"/>
      <c r="AK559" s="476"/>
      <c r="AL559" s="476"/>
      <c r="AM559" s="476"/>
      <c r="AN559" s="476"/>
      <c r="AO559" s="476"/>
      <c r="AP559" s="476"/>
      <c r="AQ559" s="476"/>
      <c r="AR559" s="476"/>
      <c r="AS559" s="476"/>
      <c r="AT559" s="476"/>
      <c r="AU559" s="476"/>
    </row>
    <row r="560" spans="1:47" s="398" customFormat="1" ht="13.15" customHeight="1" x14ac:dyDescent="0.2">
      <c r="A560" s="476"/>
      <c r="D560" s="467"/>
      <c r="F560" s="468"/>
      <c r="G560" s="468"/>
      <c r="H560" s="468"/>
      <c r="I560" s="468"/>
      <c r="J560" s="469"/>
      <c r="L560" s="476"/>
      <c r="M560" s="476"/>
      <c r="N560" s="476"/>
      <c r="O560" s="476"/>
      <c r="P560" s="476"/>
      <c r="Q560" s="476"/>
      <c r="R560" s="476"/>
      <c r="S560" s="476"/>
      <c r="T560" s="476"/>
      <c r="U560" s="476"/>
      <c r="V560" s="476"/>
      <c r="W560" s="476"/>
      <c r="X560" s="476"/>
      <c r="Y560" s="476"/>
      <c r="Z560" s="476"/>
      <c r="AA560" s="476"/>
      <c r="AB560" s="476"/>
      <c r="AC560" s="476"/>
      <c r="AD560" s="476"/>
      <c r="AE560" s="476"/>
      <c r="AF560" s="476"/>
      <c r="AG560" s="476"/>
      <c r="AH560" s="476"/>
      <c r="AI560" s="476"/>
      <c r="AJ560" s="476"/>
      <c r="AK560" s="476"/>
      <c r="AL560" s="476"/>
      <c r="AM560" s="476"/>
      <c r="AN560" s="476"/>
      <c r="AO560" s="476"/>
      <c r="AP560" s="476"/>
      <c r="AQ560" s="476"/>
      <c r="AR560" s="476"/>
      <c r="AS560" s="476"/>
      <c r="AT560" s="476"/>
      <c r="AU560" s="476"/>
    </row>
    <row r="561" spans="1:47" s="398" customFormat="1" ht="13.15" customHeight="1" x14ac:dyDescent="0.2">
      <c r="A561" s="476"/>
      <c r="D561" s="467"/>
      <c r="F561" s="468"/>
      <c r="G561" s="468"/>
      <c r="H561" s="468"/>
      <c r="I561" s="468"/>
      <c r="J561" s="469"/>
      <c r="L561" s="476"/>
      <c r="M561" s="476"/>
      <c r="N561" s="476"/>
      <c r="O561" s="476"/>
      <c r="P561" s="476"/>
      <c r="Q561" s="476"/>
      <c r="R561" s="476"/>
      <c r="S561" s="476"/>
      <c r="T561" s="476"/>
      <c r="U561" s="476"/>
      <c r="V561" s="476"/>
      <c r="W561" s="476"/>
      <c r="X561" s="476"/>
      <c r="Y561" s="476"/>
      <c r="Z561" s="476"/>
      <c r="AA561" s="476"/>
      <c r="AB561" s="476"/>
      <c r="AC561" s="476"/>
      <c r="AD561" s="476"/>
      <c r="AE561" s="476"/>
      <c r="AF561" s="476"/>
      <c r="AG561" s="476"/>
      <c r="AH561" s="476"/>
      <c r="AI561" s="476"/>
      <c r="AJ561" s="476"/>
      <c r="AK561" s="476"/>
      <c r="AL561" s="476"/>
      <c r="AM561" s="476"/>
      <c r="AN561" s="476"/>
      <c r="AO561" s="476"/>
      <c r="AP561" s="476"/>
      <c r="AQ561" s="476"/>
      <c r="AR561" s="476"/>
      <c r="AS561" s="476"/>
      <c r="AT561" s="476"/>
      <c r="AU561" s="476"/>
    </row>
    <row r="562" spans="1:47" s="398" customFormat="1" ht="13.15" customHeight="1" x14ac:dyDescent="0.2">
      <c r="A562" s="476"/>
      <c r="D562" s="467"/>
      <c r="F562" s="468"/>
      <c r="G562" s="468"/>
      <c r="H562" s="468"/>
      <c r="I562" s="468"/>
      <c r="J562" s="469"/>
      <c r="L562" s="476"/>
      <c r="M562" s="476"/>
      <c r="N562" s="476"/>
      <c r="O562" s="476"/>
      <c r="P562" s="476"/>
      <c r="Q562" s="476"/>
      <c r="R562" s="476"/>
      <c r="S562" s="476"/>
      <c r="T562" s="476"/>
      <c r="U562" s="476"/>
      <c r="V562" s="476"/>
      <c r="W562" s="476"/>
      <c r="X562" s="476"/>
      <c r="Y562" s="476"/>
      <c r="Z562" s="476"/>
      <c r="AA562" s="476"/>
      <c r="AB562" s="476"/>
      <c r="AC562" s="476"/>
      <c r="AD562" s="476"/>
      <c r="AE562" s="476"/>
      <c r="AF562" s="476"/>
      <c r="AG562" s="476"/>
      <c r="AH562" s="476"/>
      <c r="AI562" s="476"/>
      <c r="AJ562" s="476"/>
      <c r="AK562" s="476"/>
      <c r="AL562" s="476"/>
      <c r="AM562" s="476"/>
      <c r="AN562" s="476"/>
      <c r="AO562" s="476"/>
      <c r="AP562" s="476"/>
      <c r="AQ562" s="476"/>
      <c r="AR562" s="476"/>
      <c r="AS562" s="476"/>
      <c r="AT562" s="476"/>
      <c r="AU562" s="476"/>
    </row>
    <row r="563" spans="1:47" s="398" customFormat="1" ht="13.15" customHeight="1" x14ac:dyDescent="0.2">
      <c r="A563" s="476"/>
      <c r="D563" s="467"/>
      <c r="F563" s="468"/>
      <c r="G563" s="468"/>
      <c r="H563" s="468"/>
      <c r="I563" s="468"/>
      <c r="J563" s="469"/>
      <c r="L563" s="476"/>
      <c r="M563" s="476"/>
      <c r="N563" s="476"/>
      <c r="O563" s="476"/>
      <c r="P563" s="476"/>
      <c r="Q563" s="476"/>
      <c r="R563" s="476"/>
      <c r="S563" s="476"/>
      <c r="T563" s="476"/>
      <c r="U563" s="476"/>
      <c r="V563" s="476"/>
      <c r="W563" s="476"/>
      <c r="X563" s="476"/>
      <c r="Y563" s="476"/>
      <c r="Z563" s="476"/>
      <c r="AA563" s="476"/>
      <c r="AB563" s="476"/>
      <c r="AC563" s="476"/>
      <c r="AD563" s="476"/>
      <c r="AE563" s="476"/>
      <c r="AF563" s="476"/>
      <c r="AG563" s="476"/>
      <c r="AH563" s="476"/>
      <c r="AI563" s="476"/>
      <c r="AJ563" s="476"/>
      <c r="AK563" s="476"/>
      <c r="AL563" s="476"/>
      <c r="AM563" s="476"/>
      <c r="AN563" s="476"/>
      <c r="AO563" s="476"/>
      <c r="AP563" s="476"/>
      <c r="AQ563" s="476"/>
      <c r="AR563" s="476"/>
      <c r="AS563" s="476"/>
      <c r="AT563" s="476"/>
      <c r="AU563" s="476"/>
    </row>
    <row r="564" spans="1:47" s="398" customFormat="1" ht="13.15" customHeight="1" x14ac:dyDescent="0.2">
      <c r="A564" s="476"/>
      <c r="D564" s="467"/>
      <c r="F564" s="468"/>
      <c r="G564" s="468"/>
      <c r="H564" s="468"/>
      <c r="I564" s="468"/>
      <c r="J564" s="469"/>
      <c r="L564" s="476"/>
      <c r="M564" s="476"/>
      <c r="N564" s="476"/>
      <c r="O564" s="476"/>
      <c r="P564" s="476"/>
      <c r="Q564" s="476"/>
      <c r="R564" s="476"/>
      <c r="S564" s="476"/>
      <c r="T564" s="476"/>
      <c r="U564" s="476"/>
      <c r="V564" s="476"/>
      <c r="W564" s="476"/>
      <c r="X564" s="476"/>
      <c r="Y564" s="476"/>
      <c r="Z564" s="476"/>
      <c r="AA564" s="476"/>
      <c r="AB564" s="476"/>
      <c r="AC564" s="476"/>
      <c r="AD564" s="476"/>
      <c r="AE564" s="476"/>
      <c r="AF564" s="476"/>
      <c r="AG564" s="476"/>
      <c r="AH564" s="476"/>
      <c r="AI564" s="476"/>
      <c r="AJ564" s="476"/>
      <c r="AK564" s="476"/>
      <c r="AL564" s="476"/>
      <c r="AM564" s="476"/>
      <c r="AN564" s="476"/>
      <c r="AO564" s="476"/>
      <c r="AP564" s="476"/>
      <c r="AQ564" s="476"/>
      <c r="AR564" s="476"/>
      <c r="AS564" s="476"/>
      <c r="AT564" s="476"/>
      <c r="AU564" s="476"/>
    </row>
    <row r="565" spans="1:47" s="398" customFormat="1" ht="13.15" customHeight="1" x14ac:dyDescent="0.2">
      <c r="A565" s="476"/>
      <c r="D565" s="467"/>
      <c r="F565" s="468"/>
      <c r="G565" s="468"/>
      <c r="H565" s="468"/>
      <c r="I565" s="468"/>
      <c r="J565" s="469"/>
      <c r="L565" s="476"/>
      <c r="M565" s="476"/>
      <c r="N565" s="476"/>
      <c r="O565" s="476"/>
      <c r="P565" s="476"/>
      <c r="Q565" s="476"/>
      <c r="R565" s="476"/>
      <c r="S565" s="476"/>
      <c r="T565" s="476"/>
      <c r="U565" s="476"/>
      <c r="V565" s="476"/>
      <c r="W565" s="476"/>
      <c r="X565" s="476"/>
      <c r="Y565" s="476"/>
      <c r="Z565" s="476"/>
      <c r="AA565" s="476"/>
      <c r="AB565" s="476"/>
      <c r="AC565" s="476"/>
      <c r="AD565" s="476"/>
      <c r="AE565" s="476"/>
      <c r="AF565" s="476"/>
      <c r="AG565" s="476"/>
      <c r="AH565" s="476"/>
      <c r="AI565" s="476"/>
      <c r="AJ565" s="476"/>
      <c r="AK565" s="476"/>
      <c r="AL565" s="476"/>
      <c r="AM565" s="476"/>
      <c r="AN565" s="476"/>
      <c r="AO565" s="476"/>
      <c r="AP565" s="476"/>
      <c r="AQ565" s="476"/>
      <c r="AR565" s="476"/>
      <c r="AS565" s="476"/>
      <c r="AT565" s="476"/>
      <c r="AU565" s="476"/>
    </row>
    <row r="566" spans="1:47" s="398" customFormat="1" ht="13.15" customHeight="1" x14ac:dyDescent="0.2">
      <c r="A566" s="476"/>
      <c r="D566" s="467"/>
      <c r="F566" s="468"/>
      <c r="G566" s="468"/>
      <c r="H566" s="468"/>
      <c r="I566" s="468"/>
      <c r="J566" s="469"/>
      <c r="L566" s="476"/>
      <c r="M566" s="476"/>
      <c r="N566" s="476"/>
      <c r="O566" s="476"/>
      <c r="P566" s="476"/>
      <c r="Q566" s="476"/>
      <c r="R566" s="476"/>
      <c r="S566" s="476"/>
      <c r="T566" s="476"/>
      <c r="U566" s="476"/>
      <c r="V566" s="476"/>
      <c r="W566" s="476"/>
      <c r="X566" s="476"/>
      <c r="Y566" s="476"/>
      <c r="Z566" s="476"/>
      <c r="AA566" s="476"/>
      <c r="AB566" s="476"/>
      <c r="AC566" s="476"/>
      <c r="AD566" s="476"/>
      <c r="AE566" s="476"/>
      <c r="AF566" s="476"/>
      <c r="AG566" s="476"/>
      <c r="AH566" s="476"/>
      <c r="AI566" s="476"/>
      <c r="AJ566" s="476"/>
      <c r="AK566" s="476"/>
      <c r="AL566" s="476"/>
      <c r="AM566" s="476"/>
      <c r="AN566" s="476"/>
      <c r="AO566" s="476"/>
      <c r="AP566" s="476"/>
      <c r="AQ566" s="476"/>
      <c r="AR566" s="476"/>
      <c r="AS566" s="476"/>
      <c r="AT566" s="476"/>
      <c r="AU566" s="476"/>
    </row>
    <row r="567" spans="1:47" s="398" customFormat="1" ht="13.15" customHeight="1" x14ac:dyDescent="0.2">
      <c r="A567" s="476"/>
      <c r="D567" s="467"/>
      <c r="F567" s="468"/>
      <c r="G567" s="468"/>
      <c r="H567" s="468"/>
      <c r="I567" s="468"/>
      <c r="J567" s="469"/>
      <c r="L567" s="476"/>
      <c r="M567" s="476"/>
      <c r="N567" s="476"/>
      <c r="O567" s="476"/>
      <c r="P567" s="476"/>
      <c r="Q567" s="476"/>
      <c r="R567" s="476"/>
      <c r="S567" s="476"/>
      <c r="T567" s="476"/>
      <c r="U567" s="476"/>
      <c r="V567" s="476"/>
      <c r="W567" s="476"/>
      <c r="X567" s="476"/>
      <c r="Y567" s="476"/>
      <c r="Z567" s="476"/>
      <c r="AA567" s="476"/>
      <c r="AB567" s="476"/>
      <c r="AC567" s="476"/>
      <c r="AD567" s="476"/>
      <c r="AE567" s="476"/>
      <c r="AF567" s="476"/>
      <c r="AG567" s="476"/>
      <c r="AH567" s="476"/>
      <c r="AI567" s="476"/>
      <c r="AJ567" s="476"/>
      <c r="AK567" s="476"/>
      <c r="AL567" s="476"/>
      <c r="AM567" s="476"/>
      <c r="AN567" s="476"/>
      <c r="AO567" s="476"/>
      <c r="AP567" s="476"/>
      <c r="AQ567" s="476"/>
      <c r="AR567" s="476"/>
      <c r="AS567" s="476"/>
      <c r="AT567" s="476"/>
      <c r="AU567" s="476"/>
    </row>
    <row r="568" spans="1:47" s="398" customFormat="1" ht="13.15" customHeight="1" x14ac:dyDescent="0.2">
      <c r="A568" s="476"/>
      <c r="D568" s="467"/>
      <c r="F568" s="468"/>
      <c r="G568" s="468"/>
      <c r="H568" s="468"/>
      <c r="I568" s="468"/>
      <c r="J568" s="469"/>
      <c r="L568" s="476"/>
      <c r="M568" s="476"/>
      <c r="N568" s="476"/>
      <c r="O568" s="476"/>
      <c r="P568" s="476"/>
      <c r="Q568" s="476"/>
      <c r="R568" s="476"/>
      <c r="S568" s="476"/>
      <c r="T568" s="476"/>
      <c r="U568" s="476"/>
      <c r="V568" s="476"/>
      <c r="W568" s="476"/>
      <c r="X568" s="476"/>
      <c r="Y568" s="476"/>
      <c r="Z568" s="476"/>
      <c r="AA568" s="476"/>
      <c r="AB568" s="476"/>
      <c r="AC568" s="476"/>
      <c r="AD568" s="476"/>
      <c r="AE568" s="476"/>
      <c r="AF568" s="476"/>
      <c r="AG568" s="476"/>
      <c r="AH568" s="476"/>
      <c r="AI568" s="476"/>
      <c r="AJ568" s="476"/>
      <c r="AK568" s="476"/>
      <c r="AL568" s="476"/>
      <c r="AM568" s="476"/>
      <c r="AN568" s="476"/>
      <c r="AO568" s="476"/>
      <c r="AP568" s="476"/>
      <c r="AQ568" s="476"/>
      <c r="AR568" s="476"/>
      <c r="AS568" s="476"/>
      <c r="AT568" s="476"/>
      <c r="AU568" s="476"/>
    </row>
    <row r="569" spans="1:47" s="398" customFormat="1" ht="13.15" customHeight="1" x14ac:dyDescent="0.2">
      <c r="A569" s="476"/>
      <c r="D569" s="467"/>
      <c r="F569" s="468"/>
      <c r="G569" s="468"/>
      <c r="H569" s="468"/>
      <c r="I569" s="468"/>
      <c r="J569" s="469"/>
      <c r="L569" s="476"/>
      <c r="M569" s="476"/>
      <c r="N569" s="476"/>
      <c r="O569" s="476"/>
      <c r="P569" s="476"/>
      <c r="Q569" s="476"/>
      <c r="R569" s="476"/>
      <c r="S569" s="476"/>
      <c r="T569" s="476"/>
      <c r="U569" s="476"/>
      <c r="V569" s="476"/>
      <c r="W569" s="476"/>
      <c r="X569" s="476"/>
      <c r="Y569" s="476"/>
      <c r="Z569" s="476"/>
      <c r="AA569" s="476"/>
      <c r="AB569" s="476"/>
      <c r="AC569" s="476"/>
      <c r="AD569" s="476"/>
      <c r="AE569" s="476"/>
      <c r="AF569" s="476"/>
      <c r="AG569" s="476"/>
      <c r="AH569" s="476"/>
      <c r="AI569" s="476"/>
      <c r="AJ569" s="476"/>
      <c r="AK569" s="476"/>
      <c r="AL569" s="476"/>
      <c r="AM569" s="476"/>
      <c r="AN569" s="476"/>
      <c r="AO569" s="476"/>
      <c r="AP569" s="476"/>
      <c r="AQ569" s="476"/>
      <c r="AR569" s="476"/>
      <c r="AS569" s="476"/>
      <c r="AT569" s="476"/>
      <c r="AU569" s="476"/>
    </row>
    <row r="570" spans="1:47" s="398" customFormat="1" ht="13.15" customHeight="1" x14ac:dyDescent="0.2">
      <c r="A570" s="476"/>
      <c r="D570" s="467"/>
      <c r="F570" s="468"/>
      <c r="G570" s="468"/>
      <c r="H570" s="468"/>
      <c r="I570" s="468"/>
      <c r="J570" s="469"/>
      <c r="L570" s="476"/>
      <c r="M570" s="476"/>
      <c r="N570" s="476"/>
      <c r="O570" s="476"/>
      <c r="P570" s="476"/>
      <c r="Q570" s="476"/>
      <c r="R570" s="476"/>
      <c r="S570" s="476"/>
      <c r="T570" s="476"/>
      <c r="U570" s="476"/>
      <c r="V570" s="476"/>
      <c r="W570" s="476"/>
      <c r="X570" s="476"/>
      <c r="Y570" s="476"/>
      <c r="Z570" s="476"/>
      <c r="AA570" s="476"/>
      <c r="AB570" s="476"/>
      <c r="AC570" s="476"/>
      <c r="AD570" s="476"/>
      <c r="AE570" s="476"/>
      <c r="AF570" s="476"/>
      <c r="AG570" s="476"/>
      <c r="AH570" s="476"/>
      <c r="AI570" s="476"/>
      <c r="AJ570" s="476"/>
      <c r="AK570" s="476"/>
      <c r="AL570" s="476"/>
      <c r="AM570" s="476"/>
      <c r="AN570" s="476"/>
      <c r="AO570" s="476"/>
      <c r="AP570" s="476"/>
      <c r="AQ570" s="476"/>
      <c r="AR570" s="476"/>
      <c r="AS570" s="476"/>
      <c r="AT570" s="476"/>
      <c r="AU570" s="476"/>
    </row>
    <row r="571" spans="1:47" s="398" customFormat="1" ht="13.15" customHeight="1" x14ac:dyDescent="0.2">
      <c r="A571" s="476"/>
      <c r="D571" s="467"/>
      <c r="F571" s="468"/>
      <c r="G571" s="468"/>
      <c r="H571" s="468"/>
      <c r="I571" s="468"/>
      <c r="J571" s="469"/>
      <c r="L571" s="476"/>
      <c r="M571" s="476"/>
      <c r="N571" s="476"/>
      <c r="O571" s="476"/>
      <c r="P571" s="476"/>
      <c r="Q571" s="476"/>
      <c r="R571" s="476"/>
      <c r="S571" s="476"/>
      <c r="T571" s="476"/>
      <c r="U571" s="476"/>
      <c r="V571" s="476"/>
      <c r="W571" s="476"/>
      <c r="X571" s="476"/>
      <c r="Y571" s="476"/>
      <c r="Z571" s="476"/>
      <c r="AA571" s="476"/>
      <c r="AB571" s="476"/>
      <c r="AC571" s="476"/>
      <c r="AD571" s="476"/>
      <c r="AE571" s="476"/>
      <c r="AF571" s="476"/>
      <c r="AG571" s="476"/>
      <c r="AH571" s="476"/>
      <c r="AI571" s="476"/>
      <c r="AJ571" s="476"/>
      <c r="AK571" s="476"/>
      <c r="AL571" s="476"/>
      <c r="AM571" s="476"/>
      <c r="AN571" s="476"/>
      <c r="AO571" s="476"/>
      <c r="AP571" s="476"/>
      <c r="AQ571" s="476"/>
      <c r="AR571" s="476"/>
      <c r="AS571" s="476"/>
      <c r="AT571" s="476"/>
      <c r="AU571" s="476"/>
    </row>
    <row r="572" spans="1:47" s="398" customFormat="1" ht="13.15" customHeight="1" x14ac:dyDescent="0.2">
      <c r="A572" s="476"/>
      <c r="D572" s="467"/>
      <c r="F572" s="468"/>
      <c r="G572" s="468"/>
      <c r="H572" s="468"/>
      <c r="I572" s="468"/>
      <c r="J572" s="469"/>
      <c r="L572" s="476"/>
      <c r="M572" s="476"/>
      <c r="N572" s="476"/>
      <c r="O572" s="476"/>
      <c r="P572" s="476"/>
      <c r="Q572" s="476"/>
      <c r="R572" s="476"/>
      <c r="S572" s="476"/>
      <c r="T572" s="476"/>
      <c r="U572" s="476"/>
      <c r="V572" s="476"/>
      <c r="W572" s="476"/>
      <c r="X572" s="476"/>
      <c r="Y572" s="476"/>
      <c r="Z572" s="476"/>
      <c r="AA572" s="476"/>
      <c r="AB572" s="476"/>
      <c r="AC572" s="476"/>
      <c r="AD572" s="476"/>
      <c r="AE572" s="476"/>
      <c r="AF572" s="476"/>
      <c r="AG572" s="476"/>
      <c r="AH572" s="476"/>
      <c r="AI572" s="476"/>
      <c r="AJ572" s="476"/>
      <c r="AK572" s="476"/>
      <c r="AL572" s="476"/>
      <c r="AM572" s="476"/>
      <c r="AN572" s="476"/>
      <c r="AO572" s="476"/>
      <c r="AP572" s="476"/>
      <c r="AQ572" s="476"/>
      <c r="AR572" s="476"/>
      <c r="AS572" s="476"/>
      <c r="AT572" s="476"/>
      <c r="AU572" s="476"/>
    </row>
    <row r="573" spans="1:47" s="398" customFormat="1" ht="13.15" customHeight="1" x14ac:dyDescent="0.2">
      <c r="A573" s="476"/>
      <c r="D573" s="467"/>
      <c r="F573" s="468"/>
      <c r="G573" s="468"/>
      <c r="H573" s="468"/>
      <c r="I573" s="468"/>
      <c r="J573" s="469"/>
      <c r="L573" s="476"/>
      <c r="M573" s="476"/>
      <c r="N573" s="476"/>
      <c r="O573" s="476"/>
      <c r="P573" s="476"/>
      <c r="Q573" s="476"/>
      <c r="R573" s="476"/>
      <c r="S573" s="476"/>
      <c r="T573" s="476"/>
      <c r="U573" s="476"/>
      <c r="V573" s="476"/>
      <c r="W573" s="476"/>
      <c r="X573" s="476"/>
      <c r="Y573" s="476"/>
      <c r="Z573" s="476"/>
      <c r="AA573" s="476"/>
      <c r="AB573" s="476"/>
      <c r="AC573" s="476"/>
      <c r="AD573" s="476"/>
      <c r="AE573" s="476"/>
      <c r="AF573" s="476"/>
      <c r="AG573" s="476"/>
      <c r="AH573" s="476"/>
      <c r="AI573" s="476"/>
      <c r="AJ573" s="476"/>
      <c r="AK573" s="476"/>
      <c r="AL573" s="476"/>
      <c r="AM573" s="476"/>
      <c r="AN573" s="476"/>
      <c r="AO573" s="476"/>
      <c r="AP573" s="476"/>
      <c r="AQ573" s="476"/>
      <c r="AR573" s="476"/>
      <c r="AS573" s="476"/>
      <c r="AT573" s="476"/>
      <c r="AU573" s="476"/>
    </row>
    <row r="574" spans="1:47" s="398" customFormat="1" ht="13.15" customHeight="1" x14ac:dyDescent="0.2">
      <c r="A574" s="476"/>
      <c r="D574" s="467"/>
      <c r="F574" s="468"/>
      <c r="G574" s="468"/>
      <c r="H574" s="468"/>
      <c r="I574" s="468"/>
      <c r="J574" s="469"/>
      <c r="L574" s="476"/>
      <c r="M574" s="476"/>
      <c r="N574" s="476"/>
      <c r="O574" s="476"/>
      <c r="P574" s="476"/>
      <c r="Q574" s="476"/>
      <c r="R574" s="476"/>
      <c r="S574" s="476"/>
      <c r="T574" s="476"/>
      <c r="U574" s="476"/>
      <c r="V574" s="476"/>
      <c r="W574" s="476"/>
      <c r="X574" s="476"/>
      <c r="Y574" s="476"/>
      <c r="Z574" s="476"/>
      <c r="AA574" s="476"/>
      <c r="AB574" s="476"/>
      <c r="AC574" s="476"/>
      <c r="AD574" s="476"/>
      <c r="AE574" s="476"/>
      <c r="AF574" s="476"/>
      <c r="AG574" s="476"/>
      <c r="AH574" s="476"/>
      <c r="AI574" s="476"/>
      <c r="AJ574" s="476"/>
      <c r="AK574" s="476"/>
      <c r="AL574" s="476"/>
      <c r="AM574" s="476"/>
      <c r="AN574" s="476"/>
      <c r="AO574" s="476"/>
      <c r="AP574" s="476"/>
      <c r="AQ574" s="476"/>
      <c r="AR574" s="476"/>
      <c r="AS574" s="476"/>
      <c r="AT574" s="476"/>
      <c r="AU574" s="476"/>
    </row>
    <row r="575" spans="1:47" s="398" customFormat="1" ht="13.15" customHeight="1" x14ac:dyDescent="0.2">
      <c r="A575" s="476"/>
      <c r="D575" s="467"/>
      <c r="F575" s="468"/>
      <c r="G575" s="468"/>
      <c r="H575" s="468"/>
      <c r="I575" s="468"/>
      <c r="J575" s="469"/>
      <c r="L575" s="476"/>
      <c r="M575" s="476"/>
      <c r="N575" s="476"/>
      <c r="O575" s="476"/>
      <c r="P575" s="476"/>
      <c r="Q575" s="476"/>
      <c r="R575" s="476"/>
      <c r="S575" s="476"/>
      <c r="T575" s="476"/>
      <c r="U575" s="476"/>
      <c r="V575" s="476"/>
      <c r="W575" s="476"/>
      <c r="X575" s="476"/>
      <c r="Y575" s="476"/>
      <c r="Z575" s="476"/>
      <c r="AA575" s="476"/>
      <c r="AB575" s="476"/>
      <c r="AC575" s="476"/>
      <c r="AD575" s="476"/>
      <c r="AE575" s="476"/>
      <c r="AF575" s="476"/>
      <c r="AG575" s="476"/>
      <c r="AH575" s="476"/>
      <c r="AI575" s="476"/>
      <c r="AJ575" s="476"/>
      <c r="AK575" s="476"/>
      <c r="AL575" s="476"/>
      <c r="AM575" s="476"/>
      <c r="AN575" s="476"/>
      <c r="AO575" s="476"/>
      <c r="AP575" s="476"/>
      <c r="AQ575" s="476"/>
      <c r="AR575" s="476"/>
      <c r="AS575" s="476"/>
      <c r="AT575" s="476"/>
      <c r="AU575" s="476"/>
    </row>
    <row r="576" spans="1:47" s="398" customFormat="1" ht="13.15" customHeight="1" x14ac:dyDescent="0.2">
      <c r="A576" s="476"/>
      <c r="D576" s="467"/>
      <c r="F576" s="468"/>
      <c r="G576" s="468"/>
      <c r="H576" s="468"/>
      <c r="I576" s="468"/>
      <c r="J576" s="469"/>
      <c r="L576" s="476"/>
      <c r="M576" s="476"/>
      <c r="N576" s="476"/>
      <c r="O576" s="476"/>
      <c r="P576" s="476"/>
      <c r="Q576" s="476"/>
      <c r="R576" s="476"/>
      <c r="S576" s="476"/>
      <c r="T576" s="476"/>
      <c r="U576" s="476"/>
      <c r="V576" s="476"/>
      <c r="W576" s="476"/>
      <c r="X576" s="476"/>
      <c r="Y576" s="476"/>
      <c r="Z576" s="476"/>
      <c r="AA576" s="476"/>
      <c r="AB576" s="476"/>
      <c r="AC576" s="476"/>
      <c r="AD576" s="476"/>
      <c r="AE576" s="476"/>
      <c r="AF576" s="476"/>
      <c r="AG576" s="476"/>
      <c r="AH576" s="476"/>
      <c r="AI576" s="476"/>
      <c r="AJ576" s="476"/>
      <c r="AK576" s="476"/>
      <c r="AL576" s="476"/>
      <c r="AM576" s="476"/>
      <c r="AN576" s="476"/>
      <c r="AO576" s="476"/>
      <c r="AP576" s="476"/>
      <c r="AQ576" s="476"/>
      <c r="AR576" s="476"/>
      <c r="AS576" s="476"/>
      <c r="AT576" s="476"/>
      <c r="AU576" s="476"/>
    </row>
    <row r="577" spans="1:47" s="398" customFormat="1" ht="13.15" customHeight="1" x14ac:dyDescent="0.2">
      <c r="A577" s="476"/>
      <c r="D577" s="467"/>
      <c r="F577" s="468"/>
      <c r="G577" s="468"/>
      <c r="H577" s="468"/>
      <c r="I577" s="468"/>
      <c r="J577" s="469"/>
      <c r="L577" s="476"/>
      <c r="M577" s="476"/>
      <c r="N577" s="476"/>
      <c r="O577" s="476"/>
      <c r="P577" s="476"/>
      <c r="Q577" s="476"/>
      <c r="R577" s="476"/>
      <c r="S577" s="476"/>
      <c r="T577" s="476"/>
      <c r="U577" s="476"/>
      <c r="V577" s="476"/>
      <c r="W577" s="476"/>
      <c r="X577" s="476"/>
      <c r="Y577" s="476"/>
      <c r="Z577" s="476"/>
      <c r="AA577" s="476"/>
      <c r="AB577" s="476"/>
      <c r="AC577" s="476"/>
      <c r="AD577" s="476"/>
      <c r="AE577" s="476"/>
      <c r="AF577" s="476"/>
      <c r="AG577" s="476"/>
      <c r="AH577" s="476"/>
      <c r="AI577" s="476"/>
      <c r="AJ577" s="476"/>
      <c r="AK577" s="476"/>
      <c r="AL577" s="476"/>
      <c r="AM577" s="476"/>
      <c r="AN577" s="476"/>
      <c r="AO577" s="476"/>
      <c r="AP577" s="476"/>
      <c r="AQ577" s="476"/>
      <c r="AR577" s="476"/>
      <c r="AS577" s="476"/>
      <c r="AT577" s="476"/>
      <c r="AU577" s="476"/>
    </row>
    <row r="578" spans="1:47" s="398" customFormat="1" ht="13.15" customHeight="1" x14ac:dyDescent="0.2">
      <c r="A578" s="476"/>
      <c r="D578" s="467"/>
      <c r="F578" s="468"/>
      <c r="G578" s="468"/>
      <c r="H578" s="468"/>
      <c r="I578" s="468"/>
      <c r="J578" s="469"/>
      <c r="L578" s="476"/>
      <c r="M578" s="476"/>
      <c r="N578" s="476"/>
      <c r="O578" s="476"/>
      <c r="P578" s="476"/>
      <c r="Q578" s="476"/>
      <c r="R578" s="476"/>
      <c r="S578" s="476"/>
      <c r="T578" s="476"/>
      <c r="U578" s="476"/>
      <c r="V578" s="476"/>
      <c r="W578" s="476"/>
      <c r="X578" s="476"/>
      <c r="Y578" s="476"/>
      <c r="Z578" s="476"/>
      <c r="AA578" s="476"/>
      <c r="AB578" s="476"/>
      <c r="AC578" s="476"/>
      <c r="AD578" s="476"/>
      <c r="AE578" s="476"/>
      <c r="AF578" s="476"/>
      <c r="AG578" s="476"/>
      <c r="AH578" s="476"/>
      <c r="AI578" s="476"/>
      <c r="AJ578" s="476"/>
      <c r="AK578" s="476"/>
      <c r="AL578" s="476"/>
      <c r="AM578" s="476"/>
      <c r="AN578" s="476"/>
      <c r="AO578" s="476"/>
      <c r="AP578" s="476"/>
      <c r="AQ578" s="476"/>
      <c r="AR578" s="476"/>
      <c r="AS578" s="476"/>
      <c r="AT578" s="476"/>
      <c r="AU578" s="476"/>
    </row>
    <row r="579" spans="1:47" s="398" customFormat="1" ht="13.15" customHeight="1" x14ac:dyDescent="0.2">
      <c r="A579" s="476"/>
      <c r="D579" s="467"/>
      <c r="F579" s="468"/>
      <c r="G579" s="468"/>
      <c r="H579" s="468"/>
      <c r="I579" s="468"/>
      <c r="J579" s="469"/>
      <c r="L579" s="476"/>
      <c r="M579" s="476"/>
      <c r="N579" s="476"/>
      <c r="O579" s="476"/>
      <c r="P579" s="476"/>
      <c r="Q579" s="476"/>
      <c r="R579" s="476"/>
      <c r="S579" s="476"/>
      <c r="T579" s="476"/>
      <c r="U579" s="476"/>
      <c r="V579" s="476"/>
      <c r="W579" s="476"/>
      <c r="X579" s="476"/>
      <c r="Y579" s="476"/>
      <c r="Z579" s="476"/>
      <c r="AA579" s="476"/>
      <c r="AB579" s="476"/>
      <c r="AC579" s="476"/>
      <c r="AD579" s="476"/>
      <c r="AE579" s="476"/>
      <c r="AF579" s="476"/>
      <c r="AG579" s="476"/>
      <c r="AH579" s="476"/>
      <c r="AI579" s="476"/>
      <c r="AJ579" s="476"/>
      <c r="AK579" s="476"/>
      <c r="AL579" s="476"/>
      <c r="AM579" s="476"/>
      <c r="AN579" s="476"/>
      <c r="AO579" s="476"/>
      <c r="AP579" s="476"/>
      <c r="AQ579" s="476"/>
      <c r="AR579" s="476"/>
      <c r="AS579" s="476"/>
      <c r="AT579" s="476"/>
      <c r="AU579" s="476"/>
    </row>
    <row r="580" spans="1:47" s="398" customFormat="1" ht="13.15" customHeight="1" x14ac:dyDescent="0.2">
      <c r="A580" s="476"/>
      <c r="D580" s="467"/>
      <c r="F580" s="468"/>
      <c r="G580" s="468"/>
      <c r="H580" s="468"/>
      <c r="I580" s="468"/>
      <c r="J580" s="469"/>
      <c r="L580" s="476"/>
      <c r="M580" s="476"/>
      <c r="N580" s="476"/>
      <c r="O580" s="476"/>
      <c r="P580" s="476"/>
      <c r="Q580" s="476"/>
      <c r="R580" s="476"/>
      <c r="S580" s="476"/>
      <c r="T580" s="476"/>
      <c r="U580" s="476"/>
      <c r="V580" s="476"/>
      <c r="W580" s="476"/>
      <c r="X580" s="476"/>
      <c r="Y580" s="476"/>
      <c r="Z580" s="476"/>
      <c r="AA580" s="476"/>
      <c r="AB580" s="476"/>
      <c r="AC580" s="476"/>
      <c r="AD580" s="476"/>
      <c r="AE580" s="476"/>
      <c r="AF580" s="476"/>
      <c r="AG580" s="476"/>
      <c r="AH580" s="476"/>
      <c r="AI580" s="476"/>
      <c r="AJ580" s="476"/>
      <c r="AK580" s="476"/>
      <c r="AL580" s="476"/>
      <c r="AM580" s="476"/>
      <c r="AN580" s="476"/>
      <c r="AO580" s="476"/>
      <c r="AP580" s="476"/>
      <c r="AQ580" s="476"/>
      <c r="AR580" s="476"/>
      <c r="AS580" s="476"/>
      <c r="AT580" s="476"/>
      <c r="AU580" s="476"/>
    </row>
    <row r="581" spans="1:47" s="398" customFormat="1" ht="13.15" customHeight="1" x14ac:dyDescent="0.2">
      <c r="A581" s="476"/>
      <c r="D581" s="467"/>
      <c r="F581" s="468"/>
      <c r="G581" s="468"/>
      <c r="H581" s="468"/>
      <c r="I581" s="468"/>
      <c r="J581" s="469"/>
      <c r="L581" s="476"/>
      <c r="M581" s="476"/>
      <c r="N581" s="476"/>
      <c r="O581" s="476"/>
      <c r="P581" s="476"/>
      <c r="Q581" s="476"/>
      <c r="R581" s="476"/>
      <c r="S581" s="476"/>
      <c r="T581" s="476"/>
      <c r="U581" s="476"/>
      <c r="V581" s="476"/>
      <c r="W581" s="476"/>
      <c r="X581" s="476"/>
      <c r="Y581" s="476"/>
      <c r="Z581" s="476"/>
      <c r="AA581" s="476"/>
      <c r="AB581" s="476"/>
      <c r="AC581" s="476"/>
      <c r="AD581" s="476"/>
      <c r="AE581" s="476"/>
      <c r="AF581" s="476"/>
      <c r="AG581" s="476"/>
      <c r="AH581" s="476"/>
      <c r="AI581" s="476"/>
      <c r="AJ581" s="476"/>
      <c r="AK581" s="476"/>
      <c r="AL581" s="476"/>
      <c r="AM581" s="476"/>
      <c r="AN581" s="476"/>
      <c r="AO581" s="476"/>
      <c r="AP581" s="476"/>
      <c r="AQ581" s="476"/>
      <c r="AR581" s="476"/>
      <c r="AS581" s="476"/>
      <c r="AT581" s="476"/>
      <c r="AU581" s="476"/>
    </row>
    <row r="582" spans="1:47" s="398" customFormat="1" ht="13.15" customHeight="1" x14ac:dyDescent="0.2">
      <c r="A582" s="476"/>
      <c r="D582" s="467"/>
      <c r="F582" s="468"/>
      <c r="G582" s="468"/>
      <c r="H582" s="468"/>
      <c r="I582" s="468"/>
      <c r="J582" s="469"/>
      <c r="L582" s="476"/>
      <c r="M582" s="476"/>
      <c r="N582" s="476"/>
      <c r="O582" s="476"/>
      <c r="P582" s="476"/>
      <c r="Q582" s="476"/>
      <c r="R582" s="476"/>
      <c r="S582" s="476"/>
      <c r="T582" s="476"/>
      <c r="U582" s="476"/>
      <c r="V582" s="476"/>
      <c r="W582" s="476"/>
      <c r="X582" s="476"/>
      <c r="Y582" s="476"/>
      <c r="Z582" s="476"/>
      <c r="AA582" s="476"/>
      <c r="AB582" s="476"/>
      <c r="AC582" s="476"/>
      <c r="AD582" s="476"/>
      <c r="AE582" s="476"/>
      <c r="AF582" s="476"/>
      <c r="AG582" s="476"/>
      <c r="AH582" s="476"/>
      <c r="AI582" s="476"/>
      <c r="AJ582" s="476"/>
      <c r="AK582" s="476"/>
      <c r="AL582" s="476"/>
      <c r="AM582" s="476"/>
      <c r="AN582" s="476"/>
      <c r="AO582" s="476"/>
      <c r="AP582" s="476"/>
      <c r="AQ582" s="476"/>
      <c r="AR582" s="476"/>
      <c r="AS582" s="476"/>
      <c r="AT582" s="476"/>
      <c r="AU582" s="476"/>
    </row>
    <row r="583" spans="1:47" s="398" customFormat="1" ht="13.15" customHeight="1" x14ac:dyDescent="0.2">
      <c r="A583" s="476"/>
      <c r="D583" s="467"/>
      <c r="F583" s="468"/>
      <c r="G583" s="468"/>
      <c r="H583" s="468"/>
      <c r="I583" s="468"/>
      <c r="J583" s="469"/>
      <c r="L583" s="476"/>
      <c r="M583" s="476"/>
      <c r="N583" s="476"/>
      <c r="O583" s="476"/>
      <c r="P583" s="476"/>
      <c r="Q583" s="476"/>
      <c r="R583" s="476"/>
      <c r="S583" s="476"/>
      <c r="T583" s="476"/>
      <c r="U583" s="476"/>
      <c r="V583" s="476"/>
      <c r="W583" s="476"/>
      <c r="X583" s="476"/>
      <c r="Y583" s="476"/>
      <c r="Z583" s="476"/>
      <c r="AA583" s="476"/>
      <c r="AB583" s="476"/>
      <c r="AC583" s="476"/>
      <c r="AD583" s="476"/>
      <c r="AE583" s="476"/>
      <c r="AF583" s="476"/>
      <c r="AG583" s="476"/>
      <c r="AH583" s="476"/>
      <c r="AI583" s="476"/>
      <c r="AJ583" s="476"/>
      <c r="AK583" s="476"/>
      <c r="AL583" s="476"/>
      <c r="AM583" s="476"/>
      <c r="AN583" s="476"/>
      <c r="AO583" s="476"/>
      <c r="AP583" s="476"/>
      <c r="AQ583" s="476"/>
      <c r="AR583" s="476"/>
      <c r="AS583" s="476"/>
      <c r="AT583" s="476"/>
      <c r="AU583" s="476"/>
    </row>
    <row r="584" spans="1:47" s="398" customFormat="1" ht="13.15" customHeight="1" x14ac:dyDescent="0.2">
      <c r="A584" s="476"/>
      <c r="D584" s="467"/>
      <c r="F584" s="468"/>
      <c r="G584" s="468"/>
      <c r="H584" s="468"/>
      <c r="I584" s="468"/>
      <c r="J584" s="469"/>
      <c r="L584" s="476"/>
      <c r="M584" s="476"/>
      <c r="N584" s="476"/>
      <c r="O584" s="476"/>
      <c r="P584" s="476"/>
      <c r="Q584" s="476"/>
      <c r="R584" s="476"/>
      <c r="S584" s="476"/>
      <c r="T584" s="476"/>
      <c r="U584" s="476"/>
      <c r="V584" s="476"/>
      <c r="W584" s="476"/>
      <c r="X584" s="476"/>
      <c r="Y584" s="476"/>
      <c r="Z584" s="476"/>
      <c r="AA584" s="476"/>
      <c r="AB584" s="476"/>
      <c r="AC584" s="476"/>
      <c r="AD584" s="476"/>
      <c r="AE584" s="476"/>
      <c r="AF584" s="476"/>
      <c r="AG584" s="476"/>
      <c r="AH584" s="476"/>
      <c r="AI584" s="476"/>
      <c r="AJ584" s="476"/>
      <c r="AK584" s="476"/>
      <c r="AL584" s="476"/>
      <c r="AM584" s="476"/>
      <c r="AN584" s="476"/>
      <c r="AO584" s="476"/>
      <c r="AP584" s="476"/>
      <c r="AQ584" s="476"/>
      <c r="AR584" s="476"/>
      <c r="AS584" s="476"/>
      <c r="AT584" s="476"/>
      <c r="AU584" s="476"/>
    </row>
    <row r="585" spans="1:47" s="398" customFormat="1" ht="13.15" customHeight="1" x14ac:dyDescent="0.2">
      <c r="A585" s="476"/>
      <c r="D585" s="467"/>
      <c r="F585" s="468"/>
      <c r="G585" s="468"/>
      <c r="H585" s="468"/>
      <c r="I585" s="468"/>
      <c r="J585" s="469"/>
      <c r="L585" s="476"/>
      <c r="M585" s="476"/>
      <c r="N585" s="476"/>
      <c r="O585" s="476"/>
      <c r="P585" s="476"/>
      <c r="Q585" s="476"/>
      <c r="R585" s="476"/>
      <c r="S585" s="476"/>
      <c r="T585" s="476"/>
      <c r="U585" s="476"/>
      <c r="V585" s="476"/>
      <c r="W585" s="476"/>
      <c r="X585" s="476"/>
      <c r="Y585" s="476"/>
      <c r="Z585" s="476"/>
      <c r="AA585" s="476"/>
      <c r="AB585" s="476"/>
      <c r="AC585" s="476"/>
      <c r="AD585" s="476"/>
      <c r="AE585" s="476"/>
      <c r="AF585" s="476"/>
      <c r="AG585" s="476"/>
      <c r="AH585" s="476"/>
      <c r="AI585" s="476"/>
      <c r="AJ585" s="476"/>
      <c r="AK585" s="476"/>
      <c r="AL585" s="476"/>
      <c r="AM585" s="476"/>
      <c r="AN585" s="476"/>
      <c r="AO585" s="476"/>
      <c r="AP585" s="476"/>
      <c r="AQ585" s="476"/>
      <c r="AR585" s="476"/>
      <c r="AS585" s="476"/>
      <c r="AT585" s="476"/>
      <c r="AU585" s="476"/>
    </row>
    <row r="586" spans="1:47" s="398" customFormat="1" ht="13.15" customHeight="1" x14ac:dyDescent="0.2">
      <c r="A586" s="476"/>
      <c r="D586" s="467"/>
      <c r="F586" s="468"/>
      <c r="G586" s="468"/>
      <c r="H586" s="468"/>
      <c r="I586" s="468"/>
      <c r="J586" s="469"/>
      <c r="L586" s="476"/>
      <c r="M586" s="476"/>
      <c r="N586" s="476"/>
      <c r="O586" s="476"/>
      <c r="P586" s="476"/>
      <c r="Q586" s="476"/>
      <c r="R586" s="476"/>
      <c r="S586" s="476"/>
      <c r="T586" s="476"/>
      <c r="U586" s="476"/>
      <c r="V586" s="476"/>
      <c r="W586" s="476"/>
      <c r="X586" s="476"/>
      <c r="Y586" s="476"/>
      <c r="Z586" s="476"/>
      <c r="AA586" s="476"/>
      <c r="AB586" s="476"/>
      <c r="AC586" s="476"/>
      <c r="AD586" s="476"/>
      <c r="AE586" s="476"/>
      <c r="AF586" s="476"/>
      <c r="AG586" s="476"/>
      <c r="AH586" s="476"/>
      <c r="AI586" s="476"/>
      <c r="AJ586" s="476"/>
      <c r="AK586" s="476"/>
      <c r="AL586" s="476"/>
      <c r="AM586" s="476"/>
      <c r="AN586" s="476"/>
      <c r="AO586" s="476"/>
      <c r="AP586" s="476"/>
      <c r="AQ586" s="476"/>
      <c r="AR586" s="476"/>
      <c r="AS586" s="476"/>
      <c r="AT586" s="476"/>
      <c r="AU586" s="476"/>
    </row>
    <row r="587" spans="1:47" s="398" customFormat="1" ht="13.15" customHeight="1" x14ac:dyDescent="0.2">
      <c r="A587" s="476"/>
      <c r="D587" s="467"/>
      <c r="F587" s="468"/>
      <c r="G587" s="468"/>
      <c r="H587" s="468"/>
      <c r="I587" s="468"/>
      <c r="J587" s="469"/>
      <c r="L587" s="476"/>
      <c r="M587" s="476"/>
      <c r="N587" s="476"/>
      <c r="O587" s="476"/>
      <c r="P587" s="476"/>
      <c r="Q587" s="476"/>
      <c r="R587" s="476"/>
      <c r="S587" s="476"/>
      <c r="T587" s="476"/>
      <c r="U587" s="476"/>
      <c r="V587" s="476"/>
      <c r="W587" s="476"/>
      <c r="X587" s="476"/>
      <c r="Y587" s="476"/>
      <c r="Z587" s="476"/>
      <c r="AA587" s="476"/>
      <c r="AB587" s="476"/>
      <c r="AC587" s="476"/>
      <c r="AD587" s="476"/>
      <c r="AE587" s="476"/>
      <c r="AF587" s="476"/>
      <c r="AG587" s="476"/>
      <c r="AH587" s="476"/>
      <c r="AI587" s="476"/>
      <c r="AJ587" s="476"/>
      <c r="AK587" s="476"/>
      <c r="AL587" s="476"/>
      <c r="AM587" s="476"/>
      <c r="AN587" s="476"/>
      <c r="AO587" s="476"/>
      <c r="AP587" s="476"/>
      <c r="AQ587" s="476"/>
      <c r="AR587" s="476"/>
      <c r="AS587" s="476"/>
      <c r="AT587" s="476"/>
      <c r="AU587" s="476"/>
    </row>
    <row r="588" spans="1:47" s="398" customFormat="1" ht="13.15" customHeight="1" x14ac:dyDescent="0.2">
      <c r="A588" s="476"/>
      <c r="D588" s="467"/>
      <c r="F588" s="468"/>
      <c r="G588" s="468"/>
      <c r="H588" s="468"/>
      <c r="I588" s="468"/>
      <c r="J588" s="469"/>
      <c r="L588" s="476"/>
      <c r="M588" s="476"/>
      <c r="N588" s="476"/>
      <c r="O588" s="476"/>
      <c r="P588" s="476"/>
      <c r="Q588" s="476"/>
      <c r="R588" s="476"/>
      <c r="S588" s="476"/>
      <c r="T588" s="476"/>
      <c r="U588" s="476"/>
      <c r="V588" s="476"/>
      <c r="W588" s="476"/>
      <c r="X588" s="476"/>
      <c r="Y588" s="476"/>
      <c r="Z588" s="476"/>
      <c r="AA588" s="476"/>
      <c r="AB588" s="476"/>
      <c r="AC588" s="476"/>
      <c r="AD588" s="476"/>
      <c r="AE588" s="476"/>
      <c r="AF588" s="476"/>
      <c r="AG588" s="476"/>
      <c r="AH588" s="476"/>
      <c r="AI588" s="476"/>
      <c r="AJ588" s="476"/>
      <c r="AK588" s="476"/>
      <c r="AL588" s="476"/>
      <c r="AM588" s="476"/>
      <c r="AN588" s="476"/>
      <c r="AO588" s="476"/>
      <c r="AP588" s="476"/>
      <c r="AQ588" s="476"/>
      <c r="AR588" s="476"/>
      <c r="AS588" s="476"/>
      <c r="AT588" s="476"/>
      <c r="AU588" s="476"/>
    </row>
    <row r="589" spans="1:47" s="398" customFormat="1" ht="13.15" customHeight="1" x14ac:dyDescent="0.2">
      <c r="A589" s="476"/>
      <c r="D589" s="467"/>
      <c r="F589" s="468"/>
      <c r="G589" s="468"/>
      <c r="H589" s="468"/>
      <c r="I589" s="468"/>
      <c r="J589" s="469"/>
      <c r="L589" s="476"/>
      <c r="M589" s="476"/>
      <c r="N589" s="476"/>
      <c r="O589" s="476"/>
      <c r="P589" s="476"/>
      <c r="Q589" s="476"/>
      <c r="R589" s="476"/>
      <c r="S589" s="476"/>
      <c r="T589" s="476"/>
      <c r="U589" s="476"/>
      <c r="V589" s="476"/>
      <c r="W589" s="476"/>
      <c r="X589" s="476"/>
      <c r="Y589" s="476"/>
      <c r="Z589" s="476"/>
      <c r="AA589" s="476"/>
      <c r="AB589" s="476"/>
      <c r="AC589" s="476"/>
      <c r="AD589" s="476"/>
      <c r="AE589" s="476"/>
      <c r="AF589" s="476"/>
      <c r="AG589" s="476"/>
      <c r="AH589" s="476"/>
      <c r="AI589" s="476"/>
      <c r="AJ589" s="476"/>
      <c r="AK589" s="476"/>
      <c r="AL589" s="476"/>
      <c r="AM589" s="476"/>
      <c r="AN589" s="476"/>
      <c r="AO589" s="476"/>
      <c r="AP589" s="476"/>
      <c r="AQ589" s="476"/>
      <c r="AR589" s="476"/>
      <c r="AS589" s="476"/>
      <c r="AT589" s="476"/>
      <c r="AU589" s="476"/>
    </row>
    <row r="590" spans="1:47" s="398" customFormat="1" ht="13.15" customHeight="1" x14ac:dyDescent="0.2">
      <c r="A590" s="476"/>
      <c r="D590" s="467"/>
      <c r="F590" s="468"/>
      <c r="G590" s="468"/>
      <c r="H590" s="468"/>
      <c r="I590" s="468"/>
      <c r="J590" s="469"/>
      <c r="L590" s="476"/>
      <c r="M590" s="476"/>
      <c r="N590" s="476"/>
      <c r="O590" s="476"/>
      <c r="P590" s="476"/>
      <c r="Q590" s="476"/>
      <c r="R590" s="476"/>
      <c r="S590" s="476"/>
      <c r="T590" s="476"/>
      <c r="U590" s="476"/>
      <c r="V590" s="476"/>
      <c r="W590" s="476"/>
      <c r="X590" s="476"/>
      <c r="Y590" s="476"/>
      <c r="Z590" s="476"/>
      <c r="AA590" s="476"/>
      <c r="AB590" s="476"/>
      <c r="AC590" s="476"/>
      <c r="AD590" s="476"/>
      <c r="AE590" s="476"/>
      <c r="AF590" s="476"/>
      <c r="AG590" s="476"/>
      <c r="AH590" s="476"/>
      <c r="AI590" s="476"/>
      <c r="AJ590" s="476"/>
      <c r="AK590" s="476"/>
      <c r="AL590" s="476"/>
      <c r="AM590" s="476"/>
      <c r="AN590" s="476"/>
      <c r="AO590" s="476"/>
      <c r="AP590" s="476"/>
      <c r="AQ590" s="476"/>
      <c r="AR590" s="476"/>
      <c r="AS590" s="476"/>
      <c r="AT590" s="476"/>
      <c r="AU590" s="476"/>
    </row>
    <row r="591" spans="1:47" s="398" customFormat="1" ht="13.15" customHeight="1" x14ac:dyDescent="0.2">
      <c r="A591" s="476"/>
      <c r="D591" s="467"/>
      <c r="F591" s="468"/>
      <c r="G591" s="468"/>
      <c r="H591" s="468"/>
      <c r="I591" s="468"/>
      <c r="J591" s="469"/>
      <c r="L591" s="476"/>
      <c r="M591" s="476"/>
      <c r="N591" s="476"/>
      <c r="O591" s="476"/>
      <c r="P591" s="476"/>
      <c r="Q591" s="476"/>
      <c r="R591" s="476"/>
      <c r="S591" s="476"/>
      <c r="T591" s="476"/>
      <c r="U591" s="476"/>
      <c r="V591" s="476"/>
      <c r="W591" s="476"/>
      <c r="X591" s="476"/>
      <c r="Y591" s="476"/>
      <c r="Z591" s="476"/>
      <c r="AA591" s="476"/>
      <c r="AB591" s="476"/>
      <c r="AC591" s="476"/>
      <c r="AD591" s="476"/>
      <c r="AE591" s="476"/>
      <c r="AF591" s="476"/>
      <c r="AG591" s="476"/>
      <c r="AH591" s="476"/>
      <c r="AI591" s="476"/>
      <c r="AJ591" s="476"/>
      <c r="AK591" s="476"/>
      <c r="AL591" s="476"/>
      <c r="AM591" s="476"/>
      <c r="AN591" s="476"/>
      <c r="AO591" s="476"/>
      <c r="AP591" s="476"/>
      <c r="AQ591" s="476"/>
      <c r="AR591" s="476"/>
      <c r="AS591" s="476"/>
      <c r="AT591" s="476"/>
      <c r="AU591" s="476"/>
    </row>
    <row r="592" spans="1:47" s="398" customFormat="1" ht="13.15" customHeight="1" x14ac:dyDescent="0.2">
      <c r="A592" s="476"/>
      <c r="D592" s="467"/>
      <c r="F592" s="468"/>
      <c r="G592" s="468"/>
      <c r="H592" s="468"/>
      <c r="I592" s="468"/>
      <c r="J592" s="469"/>
      <c r="L592" s="476"/>
      <c r="M592" s="476"/>
      <c r="N592" s="476"/>
      <c r="O592" s="476"/>
      <c r="P592" s="476"/>
      <c r="Q592" s="476"/>
      <c r="R592" s="476"/>
      <c r="S592" s="476"/>
      <c r="T592" s="476"/>
      <c r="U592" s="476"/>
      <c r="V592" s="476"/>
      <c r="W592" s="476"/>
      <c r="X592" s="476"/>
      <c r="Y592" s="476"/>
      <c r="Z592" s="476"/>
      <c r="AA592" s="476"/>
      <c r="AB592" s="476"/>
      <c r="AC592" s="476"/>
      <c r="AD592" s="476"/>
      <c r="AE592" s="476"/>
      <c r="AF592" s="476"/>
      <c r="AG592" s="476"/>
      <c r="AH592" s="476"/>
      <c r="AI592" s="476"/>
      <c r="AJ592" s="476"/>
      <c r="AK592" s="476"/>
      <c r="AL592" s="476"/>
      <c r="AM592" s="476"/>
      <c r="AN592" s="476"/>
      <c r="AO592" s="476"/>
      <c r="AP592" s="476"/>
      <c r="AQ592" s="476"/>
      <c r="AR592" s="476"/>
      <c r="AS592" s="476"/>
      <c r="AT592" s="476"/>
      <c r="AU592" s="476"/>
    </row>
    <row r="593" spans="1:47" s="398" customFormat="1" ht="13.15" customHeight="1" x14ac:dyDescent="0.2">
      <c r="A593" s="476"/>
      <c r="D593" s="467"/>
      <c r="F593" s="468"/>
      <c r="G593" s="468"/>
      <c r="H593" s="468"/>
      <c r="I593" s="468"/>
      <c r="J593" s="469"/>
      <c r="L593" s="476"/>
      <c r="M593" s="476"/>
      <c r="N593" s="476"/>
      <c r="O593" s="476"/>
      <c r="P593" s="476"/>
      <c r="Q593" s="476"/>
      <c r="R593" s="476"/>
      <c r="S593" s="476"/>
      <c r="T593" s="476"/>
      <c r="U593" s="476"/>
      <c r="V593" s="476"/>
      <c r="W593" s="476"/>
      <c r="X593" s="476"/>
      <c r="Y593" s="476"/>
      <c r="Z593" s="476"/>
      <c r="AA593" s="476"/>
      <c r="AB593" s="476"/>
      <c r="AC593" s="476"/>
      <c r="AD593" s="476"/>
      <c r="AE593" s="476"/>
      <c r="AF593" s="476"/>
      <c r="AG593" s="476"/>
      <c r="AH593" s="476"/>
      <c r="AI593" s="476"/>
      <c r="AJ593" s="476"/>
      <c r="AK593" s="476"/>
      <c r="AL593" s="476"/>
      <c r="AM593" s="476"/>
      <c r="AN593" s="476"/>
      <c r="AO593" s="476"/>
      <c r="AP593" s="476"/>
      <c r="AQ593" s="476"/>
      <c r="AR593" s="476"/>
      <c r="AS593" s="476"/>
      <c r="AT593" s="476"/>
      <c r="AU593" s="476"/>
    </row>
    <row r="594" spans="1:47" s="398" customFormat="1" ht="13.15" customHeight="1" x14ac:dyDescent="0.2">
      <c r="A594" s="476"/>
      <c r="D594" s="467"/>
      <c r="F594" s="468"/>
      <c r="G594" s="468"/>
      <c r="H594" s="468"/>
      <c r="I594" s="468"/>
      <c r="J594" s="469"/>
      <c r="L594" s="476"/>
      <c r="M594" s="476"/>
      <c r="N594" s="476"/>
      <c r="O594" s="476"/>
      <c r="P594" s="476"/>
      <c r="Q594" s="476"/>
      <c r="R594" s="476"/>
      <c r="S594" s="476"/>
      <c r="T594" s="476"/>
      <c r="U594" s="476"/>
      <c r="V594" s="476"/>
      <c r="W594" s="476"/>
      <c r="X594" s="476"/>
      <c r="Y594" s="476"/>
      <c r="Z594" s="476"/>
      <c r="AA594" s="476"/>
      <c r="AB594" s="476"/>
      <c r="AC594" s="476"/>
      <c r="AD594" s="476"/>
      <c r="AE594" s="476"/>
      <c r="AF594" s="476"/>
      <c r="AG594" s="476"/>
      <c r="AH594" s="476"/>
      <c r="AI594" s="476"/>
      <c r="AJ594" s="476"/>
      <c r="AK594" s="476"/>
      <c r="AL594" s="476"/>
      <c r="AM594" s="476"/>
      <c r="AN594" s="476"/>
      <c r="AO594" s="476"/>
      <c r="AP594" s="476"/>
      <c r="AQ594" s="476"/>
      <c r="AR594" s="476"/>
      <c r="AS594" s="476"/>
      <c r="AT594" s="476"/>
      <c r="AU594" s="476"/>
    </row>
    <row r="595" spans="1:47" s="398" customFormat="1" ht="13.15" customHeight="1" x14ac:dyDescent="0.2">
      <c r="A595" s="476"/>
      <c r="D595" s="467"/>
      <c r="F595" s="468"/>
      <c r="G595" s="468"/>
      <c r="H595" s="468"/>
      <c r="I595" s="468"/>
      <c r="J595" s="469"/>
      <c r="L595" s="476"/>
      <c r="M595" s="476"/>
      <c r="N595" s="476"/>
      <c r="O595" s="476"/>
      <c r="P595" s="476"/>
      <c r="Q595" s="476"/>
      <c r="R595" s="476"/>
      <c r="S595" s="476"/>
      <c r="T595" s="476"/>
      <c r="U595" s="476"/>
      <c r="V595" s="476"/>
      <c r="W595" s="476"/>
      <c r="X595" s="476"/>
      <c r="Y595" s="476"/>
      <c r="Z595" s="476"/>
      <c r="AA595" s="476"/>
      <c r="AB595" s="476"/>
      <c r="AC595" s="476"/>
      <c r="AD595" s="476"/>
      <c r="AE595" s="476"/>
      <c r="AF595" s="476"/>
      <c r="AG595" s="476"/>
      <c r="AH595" s="476"/>
      <c r="AI595" s="476"/>
      <c r="AJ595" s="476"/>
      <c r="AK595" s="476"/>
      <c r="AL595" s="476"/>
      <c r="AM595" s="476"/>
      <c r="AN595" s="476"/>
      <c r="AO595" s="476"/>
      <c r="AP595" s="476"/>
      <c r="AQ595" s="476"/>
      <c r="AR595" s="476"/>
      <c r="AS595" s="476"/>
      <c r="AT595" s="476"/>
      <c r="AU595" s="476"/>
    </row>
    <row r="596" spans="1:47" s="398" customFormat="1" ht="13.15" customHeight="1" x14ac:dyDescent="0.2">
      <c r="A596" s="476"/>
      <c r="D596" s="467"/>
      <c r="F596" s="468"/>
      <c r="G596" s="468"/>
      <c r="H596" s="468"/>
      <c r="I596" s="468"/>
      <c r="J596" s="469"/>
      <c r="L596" s="476"/>
      <c r="M596" s="476"/>
      <c r="N596" s="476"/>
      <c r="O596" s="476"/>
      <c r="P596" s="476"/>
      <c r="Q596" s="476"/>
      <c r="R596" s="476"/>
      <c r="S596" s="476"/>
      <c r="T596" s="476"/>
      <c r="U596" s="476"/>
      <c r="V596" s="476"/>
      <c r="W596" s="476"/>
      <c r="X596" s="476"/>
      <c r="Y596" s="476"/>
      <c r="Z596" s="476"/>
      <c r="AA596" s="476"/>
      <c r="AB596" s="476"/>
      <c r="AC596" s="476"/>
      <c r="AD596" s="476"/>
      <c r="AE596" s="476"/>
      <c r="AF596" s="476"/>
      <c r="AG596" s="476"/>
      <c r="AH596" s="476"/>
      <c r="AI596" s="476"/>
      <c r="AJ596" s="476"/>
      <c r="AK596" s="476"/>
      <c r="AL596" s="476"/>
      <c r="AM596" s="476"/>
      <c r="AN596" s="476"/>
      <c r="AO596" s="476"/>
      <c r="AP596" s="476"/>
      <c r="AQ596" s="476"/>
      <c r="AR596" s="476"/>
      <c r="AS596" s="476"/>
      <c r="AT596" s="476"/>
      <c r="AU596" s="476"/>
    </row>
    <row r="597" spans="1:47" s="398" customFormat="1" ht="13.15" customHeight="1" x14ac:dyDescent="0.2">
      <c r="A597" s="476"/>
      <c r="D597" s="467"/>
      <c r="F597" s="468"/>
      <c r="G597" s="468"/>
      <c r="H597" s="468"/>
      <c r="I597" s="468"/>
      <c r="J597" s="469"/>
      <c r="L597" s="476"/>
      <c r="M597" s="476"/>
      <c r="N597" s="476"/>
      <c r="O597" s="476"/>
      <c r="P597" s="476"/>
      <c r="Q597" s="476"/>
      <c r="R597" s="476"/>
      <c r="S597" s="476"/>
      <c r="T597" s="476"/>
      <c r="U597" s="476"/>
      <c r="V597" s="476"/>
      <c r="W597" s="476"/>
      <c r="X597" s="476"/>
      <c r="Y597" s="476"/>
      <c r="Z597" s="476"/>
      <c r="AA597" s="476"/>
      <c r="AB597" s="476"/>
      <c r="AC597" s="476"/>
      <c r="AD597" s="476"/>
      <c r="AE597" s="476"/>
      <c r="AF597" s="476"/>
      <c r="AG597" s="476"/>
      <c r="AH597" s="476"/>
      <c r="AI597" s="476"/>
      <c r="AJ597" s="476"/>
      <c r="AK597" s="476"/>
      <c r="AL597" s="476"/>
      <c r="AM597" s="476"/>
      <c r="AN597" s="476"/>
      <c r="AO597" s="476"/>
      <c r="AP597" s="476"/>
      <c r="AQ597" s="476"/>
      <c r="AR597" s="476"/>
      <c r="AS597" s="476"/>
      <c r="AT597" s="476"/>
      <c r="AU597" s="476"/>
    </row>
    <row r="598" spans="1:47" s="398" customFormat="1" ht="13.15" customHeight="1" x14ac:dyDescent="0.2">
      <c r="A598" s="476"/>
      <c r="D598" s="467"/>
      <c r="F598" s="468"/>
      <c r="G598" s="468"/>
      <c r="H598" s="468"/>
      <c r="I598" s="468"/>
      <c r="J598" s="469"/>
      <c r="L598" s="476"/>
      <c r="M598" s="476"/>
      <c r="N598" s="476"/>
      <c r="O598" s="476"/>
      <c r="P598" s="476"/>
      <c r="Q598" s="476"/>
      <c r="R598" s="476"/>
      <c r="S598" s="476"/>
      <c r="T598" s="476"/>
      <c r="U598" s="476"/>
      <c r="V598" s="476"/>
      <c r="W598" s="476"/>
      <c r="X598" s="476"/>
      <c r="Y598" s="476"/>
      <c r="Z598" s="476"/>
      <c r="AA598" s="476"/>
      <c r="AB598" s="476"/>
      <c r="AC598" s="476"/>
      <c r="AD598" s="476"/>
      <c r="AE598" s="476"/>
      <c r="AF598" s="476"/>
      <c r="AG598" s="476"/>
      <c r="AH598" s="476"/>
      <c r="AI598" s="476"/>
      <c r="AJ598" s="476"/>
      <c r="AK598" s="476"/>
      <c r="AL598" s="476"/>
      <c r="AM598" s="476"/>
      <c r="AN598" s="476"/>
      <c r="AO598" s="476"/>
      <c r="AP598" s="476"/>
      <c r="AQ598" s="476"/>
      <c r="AR598" s="476"/>
      <c r="AS598" s="476"/>
      <c r="AT598" s="476"/>
      <c r="AU598" s="476"/>
    </row>
    <row r="599" spans="1:47" s="398" customFormat="1" ht="13.15" customHeight="1" x14ac:dyDescent="0.2">
      <c r="A599" s="476"/>
      <c r="D599" s="467"/>
      <c r="F599" s="468"/>
      <c r="G599" s="468"/>
      <c r="H599" s="468"/>
      <c r="I599" s="468"/>
      <c r="J599" s="469"/>
      <c r="L599" s="476"/>
      <c r="M599" s="476"/>
      <c r="N599" s="476"/>
      <c r="O599" s="476"/>
      <c r="P599" s="476"/>
      <c r="Q599" s="476"/>
      <c r="R599" s="476"/>
      <c r="S599" s="476"/>
      <c r="T599" s="476"/>
      <c r="U599" s="476"/>
      <c r="V599" s="476"/>
      <c r="W599" s="476"/>
      <c r="X599" s="476"/>
      <c r="Y599" s="476"/>
      <c r="Z599" s="476"/>
      <c r="AA599" s="476"/>
      <c r="AB599" s="476"/>
      <c r="AC599" s="476"/>
      <c r="AD599" s="476"/>
      <c r="AE599" s="476"/>
      <c r="AF599" s="476"/>
      <c r="AG599" s="476"/>
      <c r="AH599" s="476"/>
      <c r="AI599" s="476"/>
      <c r="AJ599" s="476"/>
      <c r="AK599" s="476"/>
      <c r="AL599" s="476"/>
      <c r="AM599" s="476"/>
      <c r="AN599" s="476"/>
      <c r="AO599" s="476"/>
      <c r="AP599" s="476"/>
      <c r="AQ599" s="476"/>
      <c r="AR599" s="476"/>
      <c r="AS599" s="476"/>
      <c r="AT599" s="476"/>
      <c r="AU599" s="476"/>
    </row>
    <row r="600" spans="1:47" s="398" customFormat="1" ht="13.15" customHeight="1" x14ac:dyDescent="0.2">
      <c r="A600" s="476"/>
      <c r="D600" s="467"/>
      <c r="F600" s="468"/>
      <c r="G600" s="468"/>
      <c r="H600" s="468"/>
      <c r="I600" s="468"/>
      <c r="J600" s="469"/>
      <c r="L600" s="476"/>
      <c r="M600" s="476"/>
      <c r="N600" s="476"/>
      <c r="O600" s="476"/>
      <c r="P600" s="476"/>
      <c r="Q600" s="476"/>
      <c r="R600" s="476"/>
      <c r="S600" s="476"/>
      <c r="T600" s="476"/>
      <c r="U600" s="476"/>
      <c r="V600" s="476"/>
      <c r="W600" s="476"/>
      <c r="X600" s="476"/>
      <c r="Y600" s="476"/>
      <c r="Z600" s="476"/>
      <c r="AA600" s="476"/>
      <c r="AB600" s="476"/>
      <c r="AC600" s="476"/>
      <c r="AD600" s="476"/>
      <c r="AE600" s="476"/>
      <c r="AF600" s="476"/>
      <c r="AG600" s="476"/>
      <c r="AH600" s="476"/>
      <c r="AI600" s="476"/>
      <c r="AJ600" s="476"/>
      <c r="AK600" s="476"/>
      <c r="AL600" s="476"/>
      <c r="AM600" s="476"/>
      <c r="AN600" s="476"/>
      <c r="AO600" s="476"/>
      <c r="AP600" s="476"/>
      <c r="AQ600" s="476"/>
      <c r="AR600" s="476"/>
      <c r="AS600" s="476"/>
      <c r="AT600" s="476"/>
      <c r="AU600" s="476"/>
    </row>
    <row r="601" spans="1:47" s="398" customFormat="1" ht="13.15" customHeight="1" x14ac:dyDescent="0.2">
      <c r="A601" s="476"/>
      <c r="D601" s="467"/>
      <c r="F601" s="468"/>
      <c r="G601" s="468"/>
      <c r="H601" s="468"/>
      <c r="I601" s="468"/>
      <c r="J601" s="469"/>
      <c r="L601" s="476"/>
      <c r="M601" s="476"/>
      <c r="N601" s="476"/>
      <c r="O601" s="476"/>
      <c r="P601" s="476"/>
      <c r="Q601" s="476"/>
      <c r="R601" s="476"/>
      <c r="S601" s="476"/>
      <c r="T601" s="476"/>
      <c r="U601" s="476"/>
      <c r="V601" s="476"/>
      <c r="W601" s="476"/>
      <c r="X601" s="476"/>
      <c r="Y601" s="476"/>
      <c r="Z601" s="476"/>
      <c r="AA601" s="476"/>
      <c r="AB601" s="476"/>
      <c r="AC601" s="476"/>
      <c r="AD601" s="476"/>
      <c r="AE601" s="476"/>
      <c r="AF601" s="476"/>
      <c r="AG601" s="476"/>
      <c r="AH601" s="476"/>
      <c r="AI601" s="476"/>
      <c r="AJ601" s="476"/>
      <c r="AK601" s="476"/>
      <c r="AL601" s="476"/>
      <c r="AM601" s="476"/>
      <c r="AN601" s="476"/>
      <c r="AO601" s="476"/>
      <c r="AP601" s="476"/>
      <c r="AQ601" s="476"/>
      <c r="AR601" s="476"/>
      <c r="AS601" s="476"/>
      <c r="AT601" s="476"/>
      <c r="AU601" s="476"/>
    </row>
    <row r="602" spans="1:47" s="398" customFormat="1" ht="13.15" customHeight="1" x14ac:dyDescent="0.2">
      <c r="A602" s="476"/>
      <c r="D602" s="467"/>
      <c r="F602" s="468"/>
      <c r="G602" s="468"/>
      <c r="H602" s="468"/>
      <c r="I602" s="468"/>
      <c r="J602" s="469"/>
      <c r="L602" s="476"/>
      <c r="M602" s="476"/>
      <c r="N602" s="476"/>
      <c r="O602" s="476"/>
      <c r="P602" s="476"/>
      <c r="Q602" s="476"/>
      <c r="R602" s="476"/>
      <c r="S602" s="476"/>
      <c r="T602" s="476"/>
      <c r="U602" s="476"/>
      <c r="V602" s="476"/>
      <c r="W602" s="476"/>
      <c r="X602" s="476"/>
      <c r="Y602" s="476"/>
      <c r="Z602" s="476"/>
      <c r="AA602" s="476"/>
      <c r="AB602" s="476"/>
      <c r="AC602" s="476"/>
      <c r="AD602" s="476"/>
      <c r="AE602" s="476"/>
      <c r="AF602" s="476"/>
      <c r="AG602" s="476"/>
      <c r="AH602" s="476"/>
      <c r="AI602" s="476"/>
      <c r="AJ602" s="476"/>
      <c r="AK602" s="476"/>
      <c r="AL602" s="476"/>
      <c r="AM602" s="476"/>
      <c r="AN602" s="476"/>
      <c r="AO602" s="476"/>
      <c r="AP602" s="476"/>
      <c r="AQ602" s="476"/>
      <c r="AR602" s="476"/>
      <c r="AS602" s="476"/>
      <c r="AT602" s="476"/>
      <c r="AU602" s="476"/>
    </row>
    <row r="603" spans="1:47" s="398" customFormat="1" ht="13.15" customHeight="1" x14ac:dyDescent="0.2">
      <c r="A603" s="476"/>
      <c r="D603" s="467"/>
      <c r="F603" s="468"/>
      <c r="G603" s="468"/>
      <c r="H603" s="468"/>
      <c r="I603" s="468"/>
      <c r="J603" s="469"/>
      <c r="L603" s="476"/>
      <c r="M603" s="476"/>
      <c r="N603" s="476"/>
      <c r="O603" s="476"/>
      <c r="P603" s="476"/>
      <c r="Q603" s="476"/>
      <c r="R603" s="476"/>
      <c r="S603" s="476"/>
      <c r="T603" s="476"/>
      <c r="U603" s="476"/>
      <c r="V603" s="476"/>
      <c r="W603" s="476"/>
      <c r="X603" s="476"/>
      <c r="Y603" s="476"/>
      <c r="Z603" s="476"/>
      <c r="AA603" s="476"/>
      <c r="AB603" s="476"/>
      <c r="AC603" s="476"/>
      <c r="AD603" s="476"/>
      <c r="AE603" s="476"/>
      <c r="AF603" s="476"/>
      <c r="AG603" s="476"/>
      <c r="AH603" s="476"/>
      <c r="AI603" s="476"/>
      <c r="AJ603" s="476"/>
      <c r="AK603" s="476"/>
      <c r="AL603" s="476"/>
      <c r="AM603" s="476"/>
      <c r="AN603" s="476"/>
      <c r="AO603" s="476"/>
      <c r="AP603" s="476"/>
      <c r="AQ603" s="476"/>
      <c r="AR603" s="476"/>
      <c r="AS603" s="476"/>
      <c r="AT603" s="476"/>
      <c r="AU603" s="476"/>
    </row>
    <row r="604" spans="1:47" s="398" customFormat="1" ht="13.15" customHeight="1" x14ac:dyDescent="0.2">
      <c r="A604" s="476"/>
      <c r="D604" s="467"/>
      <c r="F604" s="468"/>
      <c r="G604" s="468"/>
      <c r="H604" s="468"/>
      <c r="I604" s="468"/>
      <c r="J604" s="469"/>
      <c r="L604" s="476"/>
      <c r="M604" s="476"/>
      <c r="N604" s="476"/>
      <c r="O604" s="476"/>
      <c r="P604" s="476"/>
      <c r="Q604" s="476"/>
      <c r="R604" s="476"/>
      <c r="S604" s="476"/>
      <c r="T604" s="476"/>
      <c r="U604" s="476"/>
      <c r="V604" s="476"/>
      <c r="W604" s="476"/>
      <c r="X604" s="476"/>
      <c r="Y604" s="476"/>
      <c r="Z604" s="476"/>
      <c r="AA604" s="476"/>
      <c r="AB604" s="476"/>
      <c r="AC604" s="476"/>
      <c r="AD604" s="476"/>
      <c r="AE604" s="476"/>
      <c r="AF604" s="476"/>
      <c r="AG604" s="476"/>
      <c r="AH604" s="476"/>
      <c r="AI604" s="476"/>
      <c r="AJ604" s="476"/>
      <c r="AK604" s="476"/>
      <c r="AL604" s="476"/>
      <c r="AM604" s="476"/>
      <c r="AN604" s="476"/>
      <c r="AO604" s="476"/>
      <c r="AP604" s="476"/>
      <c r="AQ604" s="476"/>
      <c r="AR604" s="476"/>
      <c r="AS604" s="476"/>
      <c r="AT604" s="476"/>
      <c r="AU604" s="476"/>
    </row>
    <row r="605" spans="1:47" s="398" customFormat="1" ht="13.15" customHeight="1" x14ac:dyDescent="0.2">
      <c r="A605" s="476"/>
      <c r="D605" s="467"/>
      <c r="F605" s="468"/>
      <c r="G605" s="468"/>
      <c r="H605" s="468"/>
      <c r="I605" s="468"/>
      <c r="J605" s="469"/>
      <c r="L605" s="476"/>
      <c r="M605" s="476"/>
      <c r="N605" s="476"/>
      <c r="O605" s="476"/>
      <c r="P605" s="476"/>
      <c r="Q605" s="476"/>
      <c r="R605" s="476"/>
      <c r="S605" s="476"/>
      <c r="T605" s="476"/>
      <c r="U605" s="476"/>
      <c r="V605" s="476"/>
      <c r="W605" s="476"/>
      <c r="X605" s="476"/>
      <c r="Y605" s="476"/>
      <c r="Z605" s="476"/>
      <c r="AA605" s="476"/>
      <c r="AB605" s="476"/>
      <c r="AC605" s="476"/>
      <c r="AD605" s="476"/>
      <c r="AE605" s="476"/>
      <c r="AF605" s="476"/>
      <c r="AG605" s="476"/>
      <c r="AH605" s="476"/>
      <c r="AI605" s="476"/>
      <c r="AJ605" s="476"/>
      <c r="AK605" s="476"/>
      <c r="AL605" s="476"/>
      <c r="AM605" s="476"/>
      <c r="AN605" s="476"/>
      <c r="AO605" s="476"/>
      <c r="AP605" s="476"/>
      <c r="AQ605" s="476"/>
      <c r="AR605" s="476"/>
      <c r="AS605" s="476"/>
      <c r="AT605" s="476"/>
      <c r="AU605" s="476"/>
    </row>
    <row r="606" spans="1:47" s="398" customFormat="1" ht="13.15" customHeight="1" x14ac:dyDescent="0.2">
      <c r="A606" s="476"/>
      <c r="D606" s="467"/>
      <c r="F606" s="468"/>
      <c r="G606" s="468"/>
      <c r="H606" s="468"/>
      <c r="I606" s="468"/>
      <c r="J606" s="469"/>
      <c r="L606" s="476"/>
      <c r="M606" s="476"/>
      <c r="N606" s="476"/>
      <c r="O606" s="476"/>
      <c r="P606" s="476"/>
      <c r="Q606" s="476"/>
      <c r="R606" s="476"/>
      <c r="S606" s="476"/>
      <c r="T606" s="476"/>
      <c r="U606" s="476"/>
      <c r="V606" s="476"/>
      <c r="W606" s="476"/>
      <c r="X606" s="476"/>
      <c r="Y606" s="476"/>
      <c r="Z606" s="476"/>
      <c r="AA606" s="476"/>
      <c r="AB606" s="476"/>
      <c r="AC606" s="476"/>
      <c r="AD606" s="476"/>
      <c r="AE606" s="476"/>
      <c r="AF606" s="476"/>
      <c r="AG606" s="476"/>
      <c r="AH606" s="476"/>
      <c r="AI606" s="476"/>
      <c r="AJ606" s="476"/>
      <c r="AK606" s="476"/>
      <c r="AL606" s="476"/>
      <c r="AM606" s="476"/>
      <c r="AN606" s="476"/>
      <c r="AO606" s="476"/>
      <c r="AP606" s="476"/>
      <c r="AQ606" s="476"/>
      <c r="AR606" s="476"/>
      <c r="AS606" s="476"/>
      <c r="AT606" s="476"/>
      <c r="AU606" s="476"/>
    </row>
    <row r="607" spans="1:47" s="398" customFormat="1" ht="13.15" customHeight="1" x14ac:dyDescent="0.2">
      <c r="A607" s="476"/>
      <c r="D607" s="467"/>
      <c r="F607" s="468"/>
      <c r="G607" s="468"/>
      <c r="H607" s="468"/>
      <c r="I607" s="468"/>
      <c r="J607" s="469"/>
      <c r="L607" s="476"/>
      <c r="M607" s="476"/>
      <c r="N607" s="476"/>
      <c r="O607" s="476"/>
      <c r="P607" s="476"/>
      <c r="Q607" s="476"/>
      <c r="R607" s="476"/>
      <c r="S607" s="476"/>
      <c r="T607" s="476"/>
      <c r="U607" s="476"/>
      <c r="V607" s="476"/>
      <c r="W607" s="476"/>
      <c r="X607" s="476"/>
      <c r="Y607" s="476"/>
      <c r="Z607" s="476"/>
      <c r="AA607" s="476"/>
      <c r="AB607" s="476"/>
      <c r="AC607" s="476"/>
      <c r="AD607" s="476"/>
      <c r="AE607" s="476"/>
      <c r="AF607" s="476"/>
      <c r="AG607" s="476"/>
      <c r="AH607" s="476"/>
      <c r="AI607" s="476"/>
      <c r="AJ607" s="476"/>
      <c r="AK607" s="476"/>
      <c r="AL607" s="476"/>
      <c r="AM607" s="476"/>
      <c r="AN607" s="476"/>
      <c r="AO607" s="476"/>
      <c r="AP607" s="476"/>
      <c r="AQ607" s="476"/>
      <c r="AR607" s="476"/>
      <c r="AS607" s="476"/>
      <c r="AT607" s="476"/>
      <c r="AU607" s="476"/>
    </row>
    <row r="608" spans="1:47" s="398" customFormat="1" ht="13.15" customHeight="1" x14ac:dyDescent="0.2">
      <c r="A608" s="476"/>
      <c r="D608" s="467"/>
      <c r="F608" s="468"/>
      <c r="G608" s="468"/>
      <c r="H608" s="468"/>
      <c r="I608" s="468"/>
      <c r="J608" s="469"/>
      <c r="L608" s="476"/>
      <c r="M608" s="476"/>
      <c r="N608" s="476"/>
      <c r="O608" s="476"/>
      <c r="P608" s="476"/>
      <c r="Q608" s="476"/>
      <c r="R608" s="476"/>
      <c r="S608" s="476"/>
      <c r="T608" s="476"/>
      <c r="U608" s="476"/>
      <c r="V608" s="476"/>
      <c r="W608" s="476"/>
      <c r="X608" s="476"/>
      <c r="Y608" s="476"/>
      <c r="Z608" s="476"/>
      <c r="AA608" s="476"/>
      <c r="AB608" s="476"/>
      <c r="AC608" s="476"/>
      <c r="AD608" s="476"/>
      <c r="AE608" s="476"/>
      <c r="AF608" s="476"/>
      <c r="AG608" s="476"/>
      <c r="AH608" s="476"/>
      <c r="AI608" s="476"/>
      <c r="AJ608" s="476"/>
      <c r="AK608" s="476"/>
      <c r="AL608" s="476"/>
      <c r="AM608" s="476"/>
      <c r="AN608" s="476"/>
      <c r="AO608" s="476"/>
      <c r="AP608" s="476"/>
      <c r="AQ608" s="476"/>
      <c r="AR608" s="476"/>
      <c r="AS608" s="476"/>
      <c r="AT608" s="476"/>
      <c r="AU608" s="476"/>
    </row>
    <row r="609" spans="1:47" s="398" customFormat="1" ht="13.15" customHeight="1" x14ac:dyDescent="0.2">
      <c r="A609" s="476"/>
      <c r="D609" s="467"/>
      <c r="F609" s="468"/>
      <c r="G609" s="468"/>
      <c r="H609" s="468"/>
      <c r="I609" s="468"/>
      <c r="J609" s="469"/>
      <c r="L609" s="476"/>
      <c r="M609" s="476"/>
      <c r="N609" s="476"/>
      <c r="O609" s="476"/>
      <c r="P609" s="476"/>
      <c r="Q609" s="476"/>
      <c r="R609" s="476"/>
      <c r="S609" s="476"/>
      <c r="T609" s="476"/>
      <c r="U609" s="476"/>
      <c r="V609" s="476"/>
      <c r="W609" s="476"/>
      <c r="X609" s="476"/>
      <c r="Y609" s="476"/>
      <c r="Z609" s="476"/>
      <c r="AA609" s="476"/>
      <c r="AB609" s="476"/>
      <c r="AC609" s="476"/>
      <c r="AD609" s="476"/>
      <c r="AE609" s="476"/>
      <c r="AF609" s="476"/>
      <c r="AG609" s="476"/>
      <c r="AH609" s="476"/>
      <c r="AI609" s="476"/>
      <c r="AJ609" s="476"/>
      <c r="AK609" s="476"/>
      <c r="AL609" s="476"/>
      <c r="AM609" s="476"/>
      <c r="AN609" s="476"/>
      <c r="AO609" s="476"/>
      <c r="AP609" s="476"/>
      <c r="AQ609" s="476"/>
      <c r="AR609" s="476"/>
      <c r="AS609" s="476"/>
      <c r="AT609" s="476"/>
      <c r="AU609" s="476"/>
    </row>
    <row r="610" spans="1:47" s="398" customFormat="1" ht="13.15" customHeight="1" x14ac:dyDescent="0.2">
      <c r="A610" s="476"/>
      <c r="D610" s="467"/>
      <c r="F610" s="468"/>
      <c r="G610" s="468"/>
      <c r="H610" s="468"/>
      <c r="I610" s="468"/>
      <c r="J610" s="469"/>
      <c r="L610" s="476"/>
      <c r="M610" s="476"/>
      <c r="N610" s="476"/>
      <c r="O610" s="476"/>
      <c r="P610" s="476"/>
      <c r="Q610" s="476"/>
      <c r="R610" s="476"/>
      <c r="S610" s="476"/>
      <c r="T610" s="476"/>
      <c r="U610" s="476"/>
      <c r="V610" s="476"/>
      <c r="W610" s="476"/>
      <c r="X610" s="476"/>
      <c r="Y610" s="476"/>
      <c r="Z610" s="476"/>
      <c r="AA610" s="476"/>
      <c r="AB610" s="476"/>
      <c r="AC610" s="476"/>
      <c r="AD610" s="476"/>
      <c r="AE610" s="476"/>
      <c r="AF610" s="476"/>
      <c r="AG610" s="476"/>
      <c r="AH610" s="476"/>
      <c r="AI610" s="476"/>
      <c r="AJ610" s="476"/>
      <c r="AK610" s="476"/>
      <c r="AL610" s="476"/>
      <c r="AM610" s="476"/>
      <c r="AN610" s="476"/>
      <c r="AO610" s="476"/>
      <c r="AP610" s="476"/>
      <c r="AQ610" s="476"/>
      <c r="AR610" s="476"/>
      <c r="AS610" s="476"/>
      <c r="AT610" s="476"/>
      <c r="AU610" s="476"/>
    </row>
    <row r="611" spans="1:47" s="398" customFormat="1" ht="13.15" customHeight="1" x14ac:dyDescent="0.2">
      <c r="A611" s="476"/>
      <c r="D611" s="467"/>
      <c r="F611" s="468"/>
      <c r="G611" s="468"/>
      <c r="H611" s="468"/>
      <c r="I611" s="468"/>
      <c r="J611" s="469"/>
      <c r="L611" s="476"/>
      <c r="M611" s="476"/>
      <c r="N611" s="476"/>
      <c r="O611" s="476"/>
      <c r="P611" s="476"/>
      <c r="Q611" s="476"/>
      <c r="R611" s="476"/>
      <c r="S611" s="476"/>
      <c r="T611" s="476"/>
      <c r="U611" s="476"/>
      <c r="V611" s="476"/>
      <c r="W611" s="476"/>
      <c r="X611" s="476"/>
      <c r="Y611" s="476"/>
      <c r="Z611" s="476"/>
      <c r="AA611" s="476"/>
      <c r="AB611" s="476"/>
      <c r="AC611" s="476"/>
      <c r="AD611" s="476"/>
      <c r="AE611" s="476"/>
      <c r="AF611" s="476"/>
      <c r="AG611" s="476"/>
      <c r="AH611" s="476"/>
      <c r="AI611" s="476"/>
      <c r="AJ611" s="476"/>
      <c r="AK611" s="476"/>
      <c r="AL611" s="476"/>
      <c r="AM611" s="476"/>
      <c r="AN611" s="476"/>
      <c r="AO611" s="476"/>
      <c r="AP611" s="476"/>
      <c r="AQ611" s="476"/>
      <c r="AR611" s="476"/>
      <c r="AS611" s="476"/>
      <c r="AT611" s="476"/>
      <c r="AU611" s="476"/>
    </row>
    <row r="612" spans="1:47" s="398" customFormat="1" ht="13.15" customHeight="1" x14ac:dyDescent="0.2">
      <c r="A612" s="476"/>
      <c r="D612" s="467"/>
      <c r="F612" s="468"/>
      <c r="G612" s="468"/>
      <c r="H612" s="468"/>
      <c r="I612" s="468"/>
      <c r="J612" s="469"/>
      <c r="L612" s="476"/>
      <c r="M612" s="476"/>
      <c r="N612" s="476"/>
      <c r="O612" s="476"/>
      <c r="P612" s="476"/>
      <c r="Q612" s="476"/>
      <c r="R612" s="476"/>
      <c r="S612" s="476"/>
      <c r="T612" s="476"/>
      <c r="U612" s="476"/>
      <c r="V612" s="476"/>
      <c r="W612" s="476"/>
      <c r="X612" s="476"/>
      <c r="Y612" s="476"/>
      <c r="Z612" s="476"/>
      <c r="AA612" s="476"/>
      <c r="AB612" s="476"/>
      <c r="AC612" s="476"/>
      <c r="AD612" s="476"/>
      <c r="AE612" s="476"/>
      <c r="AF612" s="476"/>
      <c r="AG612" s="476"/>
      <c r="AH612" s="476"/>
      <c r="AI612" s="476"/>
      <c r="AJ612" s="476"/>
      <c r="AK612" s="476"/>
      <c r="AL612" s="476"/>
      <c r="AM612" s="476"/>
      <c r="AN612" s="476"/>
      <c r="AO612" s="476"/>
      <c r="AP612" s="476"/>
      <c r="AQ612" s="476"/>
      <c r="AR612" s="476"/>
      <c r="AS612" s="476"/>
      <c r="AT612" s="476"/>
      <c r="AU612" s="476"/>
    </row>
    <row r="613" spans="1:47" s="398" customFormat="1" ht="13.15" customHeight="1" x14ac:dyDescent="0.2">
      <c r="A613" s="476"/>
      <c r="D613" s="467"/>
      <c r="F613" s="468"/>
      <c r="G613" s="468"/>
      <c r="H613" s="468"/>
      <c r="I613" s="468"/>
      <c r="J613" s="469"/>
      <c r="L613" s="476"/>
      <c r="M613" s="476"/>
      <c r="N613" s="476"/>
      <c r="O613" s="476"/>
      <c r="P613" s="476"/>
      <c r="Q613" s="476"/>
      <c r="R613" s="476"/>
      <c r="S613" s="476"/>
      <c r="T613" s="476"/>
      <c r="U613" s="476"/>
      <c r="V613" s="476"/>
      <c r="W613" s="476"/>
      <c r="X613" s="476"/>
      <c r="Y613" s="476"/>
      <c r="Z613" s="476"/>
      <c r="AA613" s="476"/>
      <c r="AB613" s="476"/>
      <c r="AC613" s="476"/>
      <c r="AD613" s="476"/>
      <c r="AE613" s="476"/>
      <c r="AF613" s="476"/>
      <c r="AG613" s="476"/>
      <c r="AH613" s="476"/>
      <c r="AI613" s="476"/>
      <c r="AJ613" s="476"/>
      <c r="AK613" s="476"/>
      <c r="AL613" s="476"/>
      <c r="AM613" s="476"/>
      <c r="AN613" s="476"/>
      <c r="AO613" s="476"/>
      <c r="AP613" s="476"/>
      <c r="AQ613" s="476"/>
      <c r="AR613" s="476"/>
      <c r="AS613" s="476"/>
      <c r="AT613" s="476"/>
      <c r="AU613" s="476"/>
    </row>
    <row r="614" spans="1:47" s="398" customFormat="1" ht="13.15" customHeight="1" x14ac:dyDescent="0.2">
      <c r="A614" s="476"/>
      <c r="D614" s="467"/>
      <c r="F614" s="468"/>
      <c r="G614" s="468"/>
      <c r="H614" s="468"/>
      <c r="I614" s="468"/>
      <c r="J614" s="469"/>
      <c r="L614" s="476"/>
      <c r="M614" s="476"/>
      <c r="N614" s="476"/>
      <c r="O614" s="476"/>
      <c r="P614" s="476"/>
      <c r="Q614" s="476"/>
      <c r="R614" s="476"/>
      <c r="S614" s="476"/>
      <c r="T614" s="476"/>
      <c r="U614" s="476"/>
      <c r="V614" s="476"/>
      <c r="W614" s="476"/>
      <c r="X614" s="476"/>
      <c r="Y614" s="476"/>
      <c r="Z614" s="476"/>
      <c r="AA614" s="476"/>
      <c r="AB614" s="476"/>
      <c r="AC614" s="476"/>
      <c r="AD614" s="476"/>
      <c r="AE614" s="476"/>
      <c r="AF614" s="476"/>
      <c r="AG614" s="476"/>
      <c r="AH614" s="476"/>
      <c r="AI614" s="476"/>
      <c r="AJ614" s="476"/>
      <c r="AK614" s="476"/>
      <c r="AL614" s="476"/>
      <c r="AM614" s="476"/>
      <c r="AN614" s="476"/>
      <c r="AO614" s="476"/>
      <c r="AP614" s="476"/>
      <c r="AQ614" s="476"/>
      <c r="AR614" s="476"/>
      <c r="AS614" s="476"/>
      <c r="AT614" s="476"/>
      <c r="AU614" s="476"/>
    </row>
    <row r="615" spans="1:47" s="398" customFormat="1" ht="13.15" customHeight="1" x14ac:dyDescent="0.2">
      <c r="A615" s="476"/>
      <c r="D615" s="467"/>
      <c r="F615" s="468"/>
      <c r="G615" s="468"/>
      <c r="H615" s="468"/>
      <c r="I615" s="468"/>
      <c r="J615" s="469"/>
      <c r="L615" s="476"/>
      <c r="M615" s="476"/>
      <c r="N615" s="476"/>
      <c r="O615" s="476"/>
      <c r="P615" s="476"/>
      <c r="Q615" s="476"/>
      <c r="R615" s="476"/>
      <c r="S615" s="476"/>
      <c r="T615" s="476"/>
      <c r="U615" s="476"/>
      <c r="V615" s="476"/>
      <c r="W615" s="476"/>
      <c r="X615" s="476"/>
      <c r="Y615" s="476"/>
      <c r="Z615" s="476"/>
      <c r="AA615" s="476"/>
      <c r="AB615" s="476"/>
      <c r="AC615" s="476"/>
      <c r="AD615" s="476"/>
      <c r="AE615" s="476"/>
      <c r="AF615" s="476"/>
      <c r="AG615" s="476"/>
      <c r="AH615" s="476"/>
      <c r="AI615" s="476"/>
      <c r="AJ615" s="476"/>
      <c r="AK615" s="476"/>
      <c r="AL615" s="476"/>
      <c r="AM615" s="476"/>
      <c r="AN615" s="476"/>
      <c r="AO615" s="476"/>
      <c r="AP615" s="476"/>
      <c r="AQ615" s="476"/>
      <c r="AR615" s="476"/>
      <c r="AS615" s="476"/>
      <c r="AT615" s="476"/>
      <c r="AU615" s="476"/>
    </row>
    <row r="616" spans="1:47" s="398" customFormat="1" ht="13.15" customHeight="1" x14ac:dyDescent="0.2">
      <c r="A616" s="476"/>
      <c r="D616" s="467"/>
      <c r="F616" s="468"/>
      <c r="G616" s="468"/>
      <c r="H616" s="468"/>
      <c r="I616" s="468"/>
      <c r="J616" s="469"/>
      <c r="L616" s="476"/>
      <c r="M616" s="476"/>
      <c r="N616" s="476"/>
      <c r="O616" s="476"/>
      <c r="P616" s="476"/>
      <c r="Q616" s="476"/>
      <c r="R616" s="476"/>
      <c r="S616" s="476"/>
      <c r="T616" s="476"/>
      <c r="U616" s="476"/>
      <c r="V616" s="476"/>
      <c r="W616" s="476"/>
      <c r="X616" s="476"/>
      <c r="Y616" s="476"/>
      <c r="Z616" s="476"/>
      <c r="AA616" s="476"/>
      <c r="AB616" s="476"/>
      <c r="AC616" s="476"/>
      <c r="AD616" s="476"/>
      <c r="AE616" s="476"/>
      <c r="AF616" s="476"/>
      <c r="AG616" s="476"/>
      <c r="AH616" s="476"/>
      <c r="AI616" s="476"/>
      <c r="AJ616" s="476"/>
      <c r="AK616" s="476"/>
      <c r="AL616" s="476"/>
      <c r="AM616" s="476"/>
      <c r="AN616" s="476"/>
      <c r="AO616" s="476"/>
      <c r="AP616" s="476"/>
      <c r="AQ616" s="476"/>
      <c r="AR616" s="476"/>
      <c r="AS616" s="476"/>
      <c r="AT616" s="476"/>
      <c r="AU616" s="476"/>
    </row>
    <row r="617" spans="1:47" s="398" customFormat="1" ht="13.15" customHeight="1" x14ac:dyDescent="0.2">
      <c r="A617" s="476"/>
      <c r="D617" s="467"/>
      <c r="F617" s="468"/>
      <c r="G617" s="468"/>
      <c r="H617" s="468"/>
      <c r="I617" s="468"/>
      <c r="J617" s="469"/>
      <c r="L617" s="476"/>
      <c r="M617" s="476"/>
      <c r="N617" s="476"/>
      <c r="O617" s="476"/>
      <c r="P617" s="476"/>
      <c r="Q617" s="476"/>
      <c r="R617" s="476"/>
      <c r="S617" s="476"/>
      <c r="T617" s="476"/>
      <c r="U617" s="476"/>
      <c r="V617" s="476"/>
      <c r="W617" s="476"/>
      <c r="X617" s="476"/>
      <c r="Y617" s="476"/>
      <c r="Z617" s="476"/>
      <c r="AA617" s="476"/>
      <c r="AB617" s="476"/>
      <c r="AC617" s="476"/>
      <c r="AD617" s="476"/>
      <c r="AE617" s="476"/>
      <c r="AF617" s="476"/>
      <c r="AG617" s="476"/>
      <c r="AH617" s="476"/>
      <c r="AI617" s="476"/>
      <c r="AJ617" s="476"/>
      <c r="AK617" s="476"/>
      <c r="AL617" s="476"/>
      <c r="AM617" s="476"/>
      <c r="AN617" s="476"/>
      <c r="AO617" s="476"/>
      <c r="AP617" s="476"/>
      <c r="AQ617" s="476"/>
      <c r="AR617" s="476"/>
      <c r="AS617" s="476"/>
      <c r="AT617" s="476"/>
      <c r="AU617" s="476"/>
    </row>
    <row r="618" spans="1:47" s="398" customFormat="1" ht="13.15" customHeight="1" x14ac:dyDescent="0.2">
      <c r="A618" s="476"/>
      <c r="D618" s="467"/>
      <c r="F618" s="468"/>
      <c r="G618" s="468"/>
      <c r="H618" s="468"/>
      <c r="I618" s="468"/>
      <c r="J618" s="469"/>
      <c r="L618" s="476"/>
      <c r="M618" s="476"/>
      <c r="N618" s="476"/>
      <c r="O618" s="476"/>
      <c r="P618" s="476"/>
      <c r="Q618" s="476"/>
      <c r="R618" s="476"/>
      <c r="S618" s="476"/>
      <c r="T618" s="476"/>
      <c r="U618" s="476"/>
      <c r="V618" s="476"/>
      <c r="W618" s="476"/>
      <c r="X618" s="476"/>
      <c r="Y618" s="476"/>
      <c r="Z618" s="476"/>
      <c r="AA618" s="476"/>
      <c r="AB618" s="476"/>
      <c r="AC618" s="476"/>
      <c r="AD618" s="476"/>
      <c r="AE618" s="476"/>
      <c r="AF618" s="476"/>
      <c r="AG618" s="476"/>
      <c r="AH618" s="476"/>
      <c r="AI618" s="476"/>
      <c r="AJ618" s="476"/>
      <c r="AK618" s="476"/>
      <c r="AL618" s="476"/>
      <c r="AM618" s="476"/>
      <c r="AN618" s="476"/>
      <c r="AO618" s="476"/>
      <c r="AP618" s="476"/>
      <c r="AQ618" s="476"/>
      <c r="AR618" s="476"/>
      <c r="AS618" s="476"/>
      <c r="AT618" s="476"/>
      <c r="AU618" s="476"/>
    </row>
    <row r="619" spans="1:47" s="398" customFormat="1" ht="13.15" customHeight="1" x14ac:dyDescent="0.2">
      <c r="A619" s="476"/>
      <c r="D619" s="467"/>
      <c r="F619" s="468"/>
      <c r="G619" s="468"/>
      <c r="H619" s="468"/>
      <c r="I619" s="468"/>
      <c r="J619" s="469"/>
      <c r="L619" s="476"/>
      <c r="M619" s="476"/>
      <c r="N619" s="476"/>
      <c r="O619" s="476"/>
      <c r="P619" s="476"/>
      <c r="Q619" s="476"/>
      <c r="R619" s="476"/>
      <c r="S619" s="476"/>
      <c r="T619" s="476"/>
      <c r="U619" s="476"/>
      <c r="V619" s="476"/>
      <c r="W619" s="476"/>
      <c r="X619" s="476"/>
      <c r="Y619" s="476"/>
      <c r="Z619" s="476"/>
      <c r="AA619" s="476"/>
      <c r="AB619" s="476"/>
      <c r="AC619" s="476"/>
      <c r="AD619" s="476"/>
      <c r="AE619" s="476"/>
      <c r="AF619" s="476"/>
      <c r="AG619" s="476"/>
      <c r="AH619" s="476"/>
      <c r="AI619" s="476"/>
      <c r="AJ619" s="476"/>
      <c r="AK619" s="476"/>
      <c r="AL619" s="476"/>
      <c r="AM619" s="476"/>
      <c r="AN619" s="476"/>
      <c r="AO619" s="476"/>
      <c r="AP619" s="476"/>
      <c r="AQ619" s="476"/>
      <c r="AR619" s="476"/>
      <c r="AS619" s="476"/>
      <c r="AT619" s="476"/>
      <c r="AU619" s="476"/>
    </row>
    <row r="620" spans="1:47" s="398" customFormat="1" ht="13.15" customHeight="1" x14ac:dyDescent="0.2">
      <c r="A620" s="476"/>
      <c r="D620" s="467"/>
      <c r="F620" s="468"/>
      <c r="G620" s="468"/>
      <c r="H620" s="468"/>
      <c r="I620" s="468"/>
      <c r="J620" s="469"/>
      <c r="L620" s="476"/>
      <c r="M620" s="476"/>
      <c r="N620" s="476"/>
      <c r="O620" s="476"/>
      <c r="P620" s="476"/>
      <c r="Q620" s="476"/>
      <c r="R620" s="476"/>
      <c r="S620" s="476"/>
      <c r="T620" s="476"/>
      <c r="U620" s="476"/>
      <c r="V620" s="476"/>
      <c r="W620" s="476"/>
      <c r="X620" s="476"/>
      <c r="Y620" s="476"/>
      <c r="Z620" s="476"/>
      <c r="AA620" s="476"/>
      <c r="AB620" s="476"/>
      <c r="AC620" s="476"/>
      <c r="AD620" s="476"/>
      <c r="AE620" s="476"/>
      <c r="AF620" s="476"/>
      <c r="AG620" s="476"/>
      <c r="AH620" s="476"/>
      <c r="AI620" s="476"/>
      <c r="AJ620" s="476"/>
      <c r="AK620" s="476"/>
      <c r="AL620" s="476"/>
      <c r="AM620" s="476"/>
      <c r="AN620" s="476"/>
      <c r="AO620" s="476"/>
      <c r="AP620" s="476"/>
      <c r="AQ620" s="476"/>
      <c r="AR620" s="476"/>
      <c r="AS620" s="476"/>
      <c r="AT620" s="476"/>
      <c r="AU620" s="476"/>
    </row>
    <row r="621" spans="1:47" s="398" customFormat="1" ht="13.15" customHeight="1" x14ac:dyDescent="0.2">
      <c r="A621" s="476"/>
      <c r="D621" s="467"/>
      <c r="F621" s="468"/>
      <c r="G621" s="468"/>
      <c r="H621" s="468"/>
      <c r="I621" s="468"/>
      <c r="J621" s="469"/>
      <c r="L621" s="476"/>
      <c r="M621" s="476"/>
      <c r="N621" s="476"/>
      <c r="O621" s="476"/>
      <c r="P621" s="476"/>
      <c r="Q621" s="476"/>
      <c r="R621" s="476"/>
      <c r="S621" s="476"/>
      <c r="T621" s="476"/>
      <c r="U621" s="476"/>
      <c r="V621" s="476"/>
      <c r="W621" s="476"/>
      <c r="X621" s="476"/>
      <c r="Y621" s="476"/>
      <c r="Z621" s="476"/>
      <c r="AA621" s="476"/>
      <c r="AB621" s="476"/>
      <c r="AC621" s="476"/>
      <c r="AD621" s="476"/>
      <c r="AE621" s="476"/>
      <c r="AF621" s="476"/>
      <c r="AG621" s="476"/>
      <c r="AH621" s="476"/>
      <c r="AI621" s="476"/>
      <c r="AJ621" s="476"/>
      <c r="AK621" s="476"/>
      <c r="AL621" s="476"/>
      <c r="AM621" s="476"/>
      <c r="AN621" s="476"/>
      <c r="AO621" s="476"/>
      <c r="AP621" s="476"/>
      <c r="AQ621" s="476"/>
      <c r="AR621" s="476"/>
      <c r="AS621" s="476"/>
      <c r="AT621" s="476"/>
      <c r="AU621" s="476"/>
    </row>
    <row r="622" spans="1:47" s="398" customFormat="1" ht="13.15" customHeight="1" x14ac:dyDescent="0.2">
      <c r="A622" s="476"/>
      <c r="D622" s="467"/>
      <c r="F622" s="468"/>
      <c r="G622" s="468"/>
      <c r="H622" s="468"/>
      <c r="I622" s="468"/>
      <c r="J622" s="469"/>
      <c r="L622" s="476"/>
      <c r="M622" s="476"/>
      <c r="N622" s="476"/>
      <c r="O622" s="476"/>
      <c r="P622" s="476"/>
      <c r="Q622" s="476"/>
      <c r="R622" s="476"/>
      <c r="S622" s="476"/>
      <c r="T622" s="476"/>
      <c r="U622" s="476"/>
      <c r="V622" s="476"/>
      <c r="W622" s="476"/>
      <c r="X622" s="476"/>
      <c r="Y622" s="476"/>
      <c r="Z622" s="476"/>
      <c r="AA622" s="476"/>
      <c r="AB622" s="476"/>
      <c r="AC622" s="476"/>
      <c r="AD622" s="476"/>
      <c r="AE622" s="476"/>
      <c r="AF622" s="476"/>
      <c r="AG622" s="476"/>
      <c r="AH622" s="476"/>
      <c r="AI622" s="476"/>
      <c r="AJ622" s="476"/>
      <c r="AK622" s="476"/>
      <c r="AL622" s="476"/>
      <c r="AM622" s="476"/>
      <c r="AN622" s="476"/>
      <c r="AO622" s="476"/>
      <c r="AP622" s="476"/>
      <c r="AQ622" s="476"/>
      <c r="AR622" s="476"/>
      <c r="AS622" s="476"/>
      <c r="AT622" s="476"/>
      <c r="AU622" s="476"/>
    </row>
    <row r="623" spans="1:47" s="398" customFormat="1" ht="13.15" customHeight="1" x14ac:dyDescent="0.2">
      <c r="A623" s="476"/>
      <c r="D623" s="467"/>
      <c r="F623" s="468"/>
      <c r="G623" s="468"/>
      <c r="H623" s="468"/>
      <c r="I623" s="468"/>
      <c r="J623" s="469"/>
      <c r="L623" s="476"/>
      <c r="M623" s="476"/>
      <c r="N623" s="476"/>
      <c r="O623" s="476"/>
      <c r="P623" s="476"/>
      <c r="Q623" s="476"/>
      <c r="R623" s="476"/>
      <c r="S623" s="476"/>
      <c r="T623" s="476"/>
      <c r="U623" s="476"/>
      <c r="V623" s="476"/>
      <c r="W623" s="476"/>
      <c r="X623" s="476"/>
      <c r="Y623" s="476"/>
      <c r="Z623" s="476"/>
      <c r="AA623" s="476"/>
      <c r="AB623" s="476"/>
      <c r="AC623" s="476"/>
      <c r="AD623" s="476"/>
      <c r="AE623" s="476"/>
      <c r="AF623" s="476"/>
      <c r="AG623" s="476"/>
      <c r="AH623" s="476"/>
      <c r="AI623" s="476"/>
      <c r="AJ623" s="476"/>
      <c r="AK623" s="476"/>
      <c r="AL623" s="476"/>
      <c r="AM623" s="476"/>
      <c r="AN623" s="476"/>
      <c r="AO623" s="476"/>
      <c r="AP623" s="476"/>
      <c r="AQ623" s="476"/>
      <c r="AR623" s="476"/>
      <c r="AS623" s="476"/>
      <c r="AT623" s="476"/>
      <c r="AU623" s="476"/>
    </row>
    <row r="624" spans="1:47" s="398" customFormat="1" ht="13.15" customHeight="1" x14ac:dyDescent="0.2">
      <c r="A624" s="476"/>
      <c r="D624" s="467"/>
      <c r="F624" s="468"/>
      <c r="G624" s="468"/>
      <c r="H624" s="468"/>
      <c r="I624" s="468"/>
      <c r="J624" s="469"/>
      <c r="L624" s="476"/>
      <c r="M624" s="476"/>
      <c r="N624" s="476"/>
      <c r="O624" s="476"/>
      <c r="P624" s="476"/>
      <c r="Q624" s="476"/>
      <c r="R624" s="476"/>
      <c r="S624" s="476"/>
      <c r="T624" s="476"/>
      <c r="U624" s="476"/>
      <c r="V624" s="476"/>
      <c r="W624" s="476"/>
      <c r="X624" s="476"/>
      <c r="Y624" s="476"/>
      <c r="Z624" s="476"/>
      <c r="AA624" s="476"/>
      <c r="AB624" s="476"/>
      <c r="AC624" s="476"/>
      <c r="AD624" s="476"/>
      <c r="AE624" s="476"/>
      <c r="AF624" s="476"/>
      <c r="AG624" s="476"/>
      <c r="AH624" s="476"/>
      <c r="AI624" s="476"/>
      <c r="AJ624" s="476"/>
      <c r="AK624" s="476"/>
      <c r="AL624" s="476"/>
      <c r="AM624" s="476"/>
      <c r="AN624" s="476"/>
      <c r="AO624" s="476"/>
      <c r="AP624" s="476"/>
      <c r="AQ624" s="476"/>
      <c r="AR624" s="476"/>
      <c r="AS624" s="476"/>
      <c r="AT624" s="476"/>
      <c r="AU624" s="476"/>
    </row>
    <row r="625" spans="1:47" s="398" customFormat="1" ht="13.15" customHeight="1" x14ac:dyDescent="0.2">
      <c r="A625" s="476"/>
      <c r="D625" s="467"/>
      <c r="F625" s="468"/>
      <c r="G625" s="468"/>
      <c r="H625" s="468"/>
      <c r="I625" s="468"/>
      <c r="J625" s="469"/>
      <c r="L625" s="476"/>
      <c r="M625" s="476"/>
      <c r="N625" s="476"/>
      <c r="O625" s="476"/>
      <c r="P625" s="476"/>
      <c r="Q625" s="476"/>
      <c r="R625" s="476"/>
      <c r="S625" s="476"/>
      <c r="T625" s="476"/>
      <c r="U625" s="476"/>
      <c r="V625" s="476"/>
      <c r="W625" s="476"/>
      <c r="X625" s="476"/>
      <c r="Y625" s="476"/>
      <c r="Z625" s="476"/>
      <c r="AA625" s="476"/>
      <c r="AB625" s="476"/>
      <c r="AC625" s="476"/>
      <c r="AD625" s="476"/>
      <c r="AE625" s="476"/>
      <c r="AF625" s="476"/>
      <c r="AG625" s="476"/>
      <c r="AH625" s="476"/>
      <c r="AI625" s="476"/>
      <c r="AJ625" s="476"/>
      <c r="AK625" s="476"/>
      <c r="AL625" s="476"/>
      <c r="AM625" s="476"/>
      <c r="AN625" s="476"/>
      <c r="AO625" s="476"/>
      <c r="AP625" s="476"/>
      <c r="AQ625" s="476"/>
      <c r="AR625" s="476"/>
      <c r="AS625" s="476"/>
      <c r="AT625" s="476"/>
      <c r="AU625" s="476"/>
    </row>
    <row r="626" spans="1:47" s="398" customFormat="1" ht="13.15" customHeight="1" x14ac:dyDescent="0.2">
      <c r="A626" s="476"/>
      <c r="D626" s="467"/>
      <c r="F626" s="468"/>
      <c r="G626" s="468"/>
      <c r="H626" s="468"/>
      <c r="I626" s="468"/>
      <c r="J626" s="469"/>
      <c r="L626" s="476"/>
      <c r="M626" s="476"/>
      <c r="N626" s="476"/>
      <c r="O626" s="476"/>
      <c r="P626" s="476"/>
      <c r="Q626" s="476"/>
      <c r="R626" s="476"/>
      <c r="S626" s="476"/>
      <c r="T626" s="476"/>
      <c r="U626" s="476"/>
      <c r="V626" s="476"/>
      <c r="W626" s="476"/>
      <c r="X626" s="476"/>
      <c r="Y626" s="476"/>
      <c r="Z626" s="476"/>
      <c r="AA626" s="476"/>
      <c r="AB626" s="476"/>
      <c r="AC626" s="476"/>
      <c r="AD626" s="476"/>
      <c r="AE626" s="476"/>
      <c r="AF626" s="476"/>
      <c r="AG626" s="476"/>
      <c r="AH626" s="476"/>
      <c r="AI626" s="476"/>
      <c r="AJ626" s="476"/>
      <c r="AK626" s="476"/>
      <c r="AL626" s="476"/>
      <c r="AM626" s="476"/>
      <c r="AN626" s="476"/>
      <c r="AO626" s="476"/>
      <c r="AP626" s="476"/>
      <c r="AQ626" s="476"/>
      <c r="AR626" s="476"/>
      <c r="AS626" s="476"/>
      <c r="AT626" s="476"/>
      <c r="AU626" s="476"/>
    </row>
    <row r="627" spans="1:47" s="398" customFormat="1" ht="13.15" customHeight="1" x14ac:dyDescent="0.2">
      <c r="A627" s="476"/>
      <c r="D627" s="467"/>
      <c r="F627" s="468"/>
      <c r="G627" s="468"/>
      <c r="H627" s="468"/>
      <c r="I627" s="468"/>
      <c r="J627" s="469"/>
      <c r="L627" s="476"/>
      <c r="M627" s="476"/>
      <c r="N627" s="476"/>
      <c r="O627" s="476"/>
      <c r="P627" s="476"/>
      <c r="Q627" s="476"/>
      <c r="R627" s="476"/>
      <c r="S627" s="476"/>
      <c r="T627" s="476"/>
      <c r="U627" s="476"/>
      <c r="V627" s="476"/>
      <c r="W627" s="476"/>
      <c r="X627" s="476"/>
      <c r="Y627" s="476"/>
      <c r="Z627" s="476"/>
      <c r="AA627" s="476"/>
      <c r="AB627" s="476"/>
      <c r="AC627" s="476"/>
      <c r="AD627" s="476"/>
      <c r="AE627" s="476"/>
      <c r="AF627" s="476"/>
      <c r="AG627" s="476"/>
      <c r="AH627" s="476"/>
      <c r="AI627" s="476"/>
      <c r="AJ627" s="476"/>
      <c r="AK627" s="476"/>
      <c r="AL627" s="476"/>
      <c r="AM627" s="476"/>
      <c r="AN627" s="476"/>
      <c r="AO627" s="476"/>
      <c r="AP627" s="476"/>
      <c r="AQ627" s="476"/>
      <c r="AR627" s="476"/>
      <c r="AS627" s="476"/>
      <c r="AT627" s="476"/>
      <c r="AU627" s="476"/>
    </row>
    <row r="628" spans="1:47" s="398" customFormat="1" ht="13.15" customHeight="1" x14ac:dyDescent="0.2">
      <c r="A628" s="476"/>
      <c r="D628" s="467"/>
      <c r="F628" s="468"/>
      <c r="G628" s="468"/>
      <c r="H628" s="468"/>
      <c r="I628" s="468"/>
      <c r="J628" s="469"/>
      <c r="L628" s="476"/>
      <c r="M628" s="476"/>
      <c r="N628" s="476"/>
      <c r="O628" s="476"/>
      <c r="P628" s="476"/>
      <c r="Q628" s="476"/>
      <c r="R628" s="476"/>
      <c r="S628" s="476"/>
      <c r="T628" s="476"/>
      <c r="U628" s="476"/>
      <c r="V628" s="476"/>
      <c r="W628" s="476"/>
      <c r="X628" s="476"/>
      <c r="Y628" s="476"/>
      <c r="Z628" s="476"/>
      <c r="AA628" s="476"/>
      <c r="AB628" s="476"/>
      <c r="AC628" s="476"/>
      <c r="AD628" s="476"/>
      <c r="AE628" s="476"/>
      <c r="AF628" s="476"/>
      <c r="AG628" s="476"/>
      <c r="AH628" s="476"/>
      <c r="AI628" s="476"/>
      <c r="AJ628" s="476"/>
      <c r="AK628" s="476"/>
      <c r="AL628" s="476"/>
      <c r="AM628" s="476"/>
      <c r="AN628" s="476"/>
      <c r="AO628" s="476"/>
      <c r="AP628" s="476"/>
      <c r="AQ628" s="476"/>
      <c r="AR628" s="476"/>
      <c r="AS628" s="476"/>
      <c r="AT628" s="476"/>
      <c r="AU628" s="476"/>
    </row>
    <row r="629" spans="1:47" s="398" customFormat="1" ht="13.15" customHeight="1" x14ac:dyDescent="0.2">
      <c r="A629" s="476"/>
      <c r="D629" s="467"/>
      <c r="F629" s="468"/>
      <c r="G629" s="468"/>
      <c r="H629" s="468"/>
      <c r="I629" s="468"/>
      <c r="J629" s="469"/>
      <c r="L629" s="476"/>
      <c r="M629" s="476"/>
      <c r="N629" s="476"/>
      <c r="O629" s="476"/>
      <c r="P629" s="476"/>
      <c r="Q629" s="476"/>
      <c r="R629" s="476"/>
      <c r="S629" s="476"/>
      <c r="T629" s="476"/>
      <c r="U629" s="476"/>
      <c r="V629" s="476"/>
      <c r="W629" s="476"/>
      <c r="X629" s="476"/>
      <c r="Y629" s="476"/>
      <c r="Z629" s="476"/>
      <c r="AA629" s="476"/>
      <c r="AB629" s="476"/>
      <c r="AC629" s="476"/>
      <c r="AD629" s="476"/>
      <c r="AE629" s="476"/>
      <c r="AF629" s="476"/>
      <c r="AG629" s="476"/>
      <c r="AH629" s="476"/>
      <c r="AI629" s="476"/>
      <c r="AJ629" s="476"/>
      <c r="AK629" s="476"/>
      <c r="AL629" s="476"/>
      <c r="AM629" s="476"/>
      <c r="AN629" s="476"/>
      <c r="AO629" s="476"/>
      <c r="AP629" s="476"/>
      <c r="AQ629" s="476"/>
      <c r="AR629" s="476"/>
      <c r="AS629" s="476"/>
      <c r="AT629" s="476"/>
      <c r="AU629" s="476"/>
    </row>
    <row r="630" spans="1:47" s="398" customFormat="1" ht="13.15" customHeight="1" x14ac:dyDescent="0.2">
      <c r="A630" s="476"/>
      <c r="D630" s="467"/>
      <c r="F630" s="468"/>
      <c r="G630" s="468"/>
      <c r="H630" s="468"/>
      <c r="I630" s="468"/>
      <c r="J630" s="469"/>
      <c r="L630" s="476"/>
      <c r="M630" s="476"/>
      <c r="N630" s="476"/>
      <c r="O630" s="476"/>
      <c r="P630" s="476"/>
      <c r="Q630" s="476"/>
      <c r="R630" s="476"/>
      <c r="S630" s="476"/>
      <c r="T630" s="476"/>
      <c r="U630" s="476"/>
      <c r="V630" s="476"/>
      <c r="W630" s="476"/>
      <c r="X630" s="476"/>
      <c r="Y630" s="476"/>
      <c r="Z630" s="476"/>
      <c r="AA630" s="476"/>
      <c r="AB630" s="476"/>
      <c r="AC630" s="476"/>
      <c r="AD630" s="476"/>
      <c r="AE630" s="476"/>
      <c r="AF630" s="476"/>
      <c r="AG630" s="476"/>
      <c r="AH630" s="476"/>
      <c r="AI630" s="476"/>
      <c r="AJ630" s="476"/>
      <c r="AK630" s="476"/>
      <c r="AL630" s="476"/>
      <c r="AM630" s="476"/>
      <c r="AN630" s="476"/>
      <c r="AO630" s="476"/>
      <c r="AP630" s="476"/>
      <c r="AQ630" s="476"/>
      <c r="AR630" s="476"/>
      <c r="AS630" s="476"/>
      <c r="AT630" s="476"/>
      <c r="AU630" s="476"/>
    </row>
    <row r="631" spans="1:47" s="398" customFormat="1" ht="13.15" customHeight="1" x14ac:dyDescent="0.2">
      <c r="A631" s="476"/>
      <c r="D631" s="467"/>
      <c r="F631" s="468"/>
      <c r="G631" s="468"/>
      <c r="H631" s="468"/>
      <c r="I631" s="468"/>
      <c r="J631" s="469"/>
      <c r="L631" s="476"/>
      <c r="M631" s="476"/>
      <c r="N631" s="476"/>
      <c r="O631" s="476"/>
      <c r="P631" s="476"/>
      <c r="Q631" s="476"/>
      <c r="R631" s="476"/>
      <c r="S631" s="476"/>
      <c r="T631" s="476"/>
      <c r="U631" s="476"/>
      <c r="V631" s="476"/>
      <c r="W631" s="476"/>
      <c r="X631" s="476"/>
      <c r="Y631" s="476"/>
      <c r="Z631" s="476"/>
      <c r="AA631" s="476"/>
      <c r="AB631" s="476"/>
      <c r="AC631" s="476"/>
      <c r="AD631" s="476"/>
      <c r="AE631" s="476"/>
      <c r="AF631" s="476"/>
      <c r="AG631" s="476"/>
      <c r="AH631" s="476"/>
      <c r="AI631" s="476"/>
      <c r="AJ631" s="476"/>
      <c r="AK631" s="476"/>
      <c r="AL631" s="476"/>
      <c r="AM631" s="476"/>
      <c r="AN631" s="476"/>
      <c r="AO631" s="476"/>
      <c r="AP631" s="476"/>
      <c r="AQ631" s="476"/>
      <c r="AR631" s="476"/>
      <c r="AS631" s="476"/>
      <c r="AT631" s="476"/>
      <c r="AU631" s="476"/>
    </row>
    <row r="632" spans="1:47" s="398" customFormat="1" ht="13.15" customHeight="1" x14ac:dyDescent="0.2">
      <c r="A632" s="476"/>
      <c r="D632" s="467"/>
      <c r="F632" s="468"/>
      <c r="G632" s="468"/>
      <c r="H632" s="468"/>
      <c r="I632" s="468"/>
      <c r="J632" s="469"/>
      <c r="L632" s="476"/>
      <c r="M632" s="476"/>
      <c r="N632" s="476"/>
      <c r="O632" s="476"/>
      <c r="P632" s="476"/>
      <c r="Q632" s="476"/>
      <c r="R632" s="476"/>
      <c r="S632" s="476"/>
      <c r="T632" s="476"/>
      <c r="U632" s="476"/>
      <c r="V632" s="476"/>
      <c r="W632" s="476"/>
      <c r="X632" s="476"/>
      <c r="Y632" s="476"/>
      <c r="Z632" s="476"/>
      <c r="AA632" s="476"/>
      <c r="AB632" s="476"/>
      <c r="AC632" s="476"/>
      <c r="AD632" s="476"/>
      <c r="AE632" s="476"/>
      <c r="AF632" s="476"/>
      <c r="AG632" s="476"/>
      <c r="AH632" s="476"/>
      <c r="AI632" s="476"/>
      <c r="AJ632" s="476"/>
      <c r="AK632" s="476"/>
      <c r="AL632" s="476"/>
      <c r="AM632" s="476"/>
      <c r="AN632" s="476"/>
      <c r="AO632" s="476"/>
      <c r="AP632" s="476"/>
      <c r="AQ632" s="476"/>
      <c r="AR632" s="476"/>
      <c r="AS632" s="476"/>
      <c r="AT632" s="476"/>
      <c r="AU632" s="476"/>
    </row>
    <row r="633" spans="1:47" s="398" customFormat="1" ht="13.15" customHeight="1" x14ac:dyDescent="0.2">
      <c r="A633" s="476"/>
      <c r="D633" s="467"/>
      <c r="F633" s="468"/>
      <c r="G633" s="468"/>
      <c r="H633" s="468"/>
      <c r="I633" s="468"/>
      <c r="J633" s="469"/>
      <c r="L633" s="476"/>
      <c r="M633" s="476"/>
      <c r="N633" s="476"/>
      <c r="O633" s="476"/>
      <c r="P633" s="476"/>
      <c r="Q633" s="476"/>
      <c r="R633" s="476"/>
      <c r="S633" s="476"/>
      <c r="T633" s="476"/>
      <c r="U633" s="476"/>
      <c r="V633" s="476"/>
      <c r="W633" s="476"/>
      <c r="X633" s="476"/>
      <c r="Y633" s="476"/>
      <c r="Z633" s="476"/>
      <c r="AA633" s="476"/>
      <c r="AB633" s="476"/>
      <c r="AC633" s="476"/>
      <c r="AD633" s="476"/>
      <c r="AE633" s="476"/>
      <c r="AF633" s="476"/>
      <c r="AG633" s="476"/>
      <c r="AH633" s="476"/>
      <c r="AI633" s="476"/>
      <c r="AJ633" s="476"/>
      <c r="AK633" s="476"/>
      <c r="AL633" s="476"/>
      <c r="AM633" s="476"/>
      <c r="AN633" s="476"/>
      <c r="AO633" s="476"/>
      <c r="AP633" s="476"/>
      <c r="AQ633" s="476"/>
      <c r="AR633" s="476"/>
      <c r="AS633" s="476"/>
      <c r="AT633" s="476"/>
      <c r="AU633" s="476"/>
    </row>
    <row r="634" spans="1:47" s="398" customFormat="1" ht="13.15" customHeight="1" x14ac:dyDescent="0.2">
      <c r="A634" s="476"/>
      <c r="D634" s="467"/>
      <c r="F634" s="468"/>
      <c r="G634" s="468"/>
      <c r="H634" s="468"/>
      <c r="I634" s="468"/>
      <c r="J634" s="469"/>
      <c r="L634" s="476"/>
      <c r="M634" s="476"/>
      <c r="N634" s="476"/>
      <c r="O634" s="476"/>
      <c r="P634" s="476"/>
      <c r="Q634" s="476"/>
      <c r="R634" s="476"/>
      <c r="S634" s="476"/>
      <c r="T634" s="476"/>
      <c r="U634" s="476"/>
      <c r="V634" s="476"/>
      <c r="W634" s="476"/>
      <c r="X634" s="476"/>
      <c r="Y634" s="476"/>
      <c r="Z634" s="476"/>
      <c r="AA634" s="476"/>
      <c r="AB634" s="476"/>
      <c r="AC634" s="476"/>
      <c r="AD634" s="476"/>
      <c r="AE634" s="476"/>
      <c r="AF634" s="476"/>
      <c r="AG634" s="476"/>
      <c r="AH634" s="476"/>
      <c r="AI634" s="476"/>
      <c r="AJ634" s="476"/>
      <c r="AK634" s="476"/>
      <c r="AL634" s="476"/>
      <c r="AM634" s="476"/>
      <c r="AN634" s="476"/>
      <c r="AO634" s="476"/>
      <c r="AP634" s="476"/>
      <c r="AQ634" s="476"/>
      <c r="AR634" s="476"/>
      <c r="AS634" s="476"/>
      <c r="AT634" s="476"/>
      <c r="AU634" s="476"/>
    </row>
    <row r="635" spans="1:47" s="398" customFormat="1" ht="13.15" customHeight="1" x14ac:dyDescent="0.2">
      <c r="A635" s="476"/>
      <c r="D635" s="467"/>
      <c r="F635" s="468"/>
      <c r="G635" s="468"/>
      <c r="H635" s="468"/>
      <c r="I635" s="468"/>
      <c r="J635" s="469"/>
      <c r="L635" s="476"/>
      <c r="M635" s="476"/>
      <c r="N635" s="476"/>
      <c r="O635" s="476"/>
      <c r="P635" s="476"/>
      <c r="Q635" s="476"/>
      <c r="R635" s="476"/>
      <c r="S635" s="476"/>
      <c r="T635" s="476"/>
      <c r="U635" s="476"/>
      <c r="V635" s="476"/>
      <c r="W635" s="476"/>
      <c r="X635" s="476"/>
      <c r="Y635" s="476"/>
      <c r="Z635" s="476"/>
      <c r="AA635" s="476"/>
      <c r="AB635" s="476"/>
      <c r="AC635" s="476"/>
      <c r="AD635" s="476"/>
      <c r="AE635" s="476"/>
      <c r="AF635" s="476"/>
      <c r="AG635" s="476"/>
      <c r="AH635" s="476"/>
      <c r="AI635" s="476"/>
      <c r="AJ635" s="476"/>
      <c r="AK635" s="476"/>
      <c r="AL635" s="476"/>
      <c r="AM635" s="476"/>
      <c r="AN635" s="476"/>
      <c r="AO635" s="476"/>
      <c r="AP635" s="476"/>
      <c r="AQ635" s="476"/>
      <c r="AR635" s="476"/>
      <c r="AS635" s="476"/>
      <c r="AT635" s="476"/>
      <c r="AU635" s="476"/>
    </row>
    <row r="636" spans="1:47" s="398" customFormat="1" ht="13.15" customHeight="1" x14ac:dyDescent="0.2">
      <c r="A636" s="476"/>
      <c r="D636" s="467"/>
      <c r="F636" s="468"/>
      <c r="G636" s="468"/>
      <c r="H636" s="468"/>
      <c r="I636" s="468"/>
      <c r="J636" s="469"/>
      <c r="L636" s="476"/>
      <c r="M636" s="476"/>
      <c r="N636" s="476"/>
      <c r="O636" s="476"/>
      <c r="P636" s="476"/>
      <c r="Q636" s="476"/>
      <c r="R636" s="476"/>
      <c r="S636" s="476"/>
      <c r="T636" s="476"/>
      <c r="U636" s="476"/>
      <c r="V636" s="476"/>
      <c r="W636" s="476"/>
      <c r="X636" s="476"/>
      <c r="Y636" s="476"/>
      <c r="Z636" s="476"/>
      <c r="AA636" s="476"/>
      <c r="AB636" s="476"/>
      <c r="AC636" s="476"/>
      <c r="AD636" s="476"/>
      <c r="AE636" s="476"/>
      <c r="AF636" s="476"/>
      <c r="AG636" s="476"/>
      <c r="AH636" s="476"/>
      <c r="AI636" s="476"/>
      <c r="AJ636" s="476"/>
      <c r="AK636" s="476"/>
      <c r="AL636" s="476"/>
      <c r="AM636" s="476"/>
      <c r="AN636" s="476"/>
      <c r="AO636" s="476"/>
      <c r="AP636" s="476"/>
      <c r="AQ636" s="476"/>
      <c r="AR636" s="476"/>
      <c r="AS636" s="476"/>
      <c r="AT636" s="476"/>
      <c r="AU636" s="476"/>
    </row>
    <row r="637" spans="1:47" s="398" customFormat="1" ht="13.15" customHeight="1" x14ac:dyDescent="0.2">
      <c r="A637" s="476"/>
      <c r="D637" s="467"/>
      <c r="F637" s="468"/>
      <c r="G637" s="468"/>
      <c r="H637" s="468"/>
      <c r="I637" s="468"/>
      <c r="J637" s="469"/>
      <c r="L637" s="476"/>
      <c r="M637" s="476"/>
      <c r="N637" s="476"/>
      <c r="O637" s="476"/>
      <c r="P637" s="476"/>
      <c r="Q637" s="476"/>
      <c r="R637" s="476"/>
      <c r="S637" s="476"/>
      <c r="T637" s="476"/>
      <c r="U637" s="476"/>
      <c r="V637" s="476"/>
      <c r="W637" s="476"/>
      <c r="X637" s="476"/>
      <c r="Y637" s="476"/>
      <c r="Z637" s="476"/>
      <c r="AA637" s="476"/>
      <c r="AB637" s="476"/>
      <c r="AC637" s="476"/>
      <c r="AD637" s="476"/>
      <c r="AE637" s="476"/>
      <c r="AF637" s="476"/>
      <c r="AG637" s="476"/>
      <c r="AH637" s="476"/>
      <c r="AI637" s="476"/>
      <c r="AJ637" s="476"/>
      <c r="AK637" s="476"/>
      <c r="AL637" s="476"/>
      <c r="AM637" s="476"/>
      <c r="AN637" s="476"/>
      <c r="AO637" s="476"/>
      <c r="AP637" s="476"/>
      <c r="AQ637" s="476"/>
      <c r="AR637" s="476"/>
      <c r="AS637" s="476"/>
      <c r="AT637" s="476"/>
      <c r="AU637" s="476"/>
    </row>
    <row r="638" spans="1:47" s="398" customFormat="1" ht="13.15" customHeight="1" x14ac:dyDescent="0.2">
      <c r="A638" s="476"/>
      <c r="D638" s="467"/>
      <c r="F638" s="468"/>
      <c r="G638" s="468"/>
      <c r="H638" s="468"/>
      <c r="I638" s="468"/>
      <c r="J638" s="469"/>
      <c r="L638" s="476"/>
      <c r="M638" s="476"/>
      <c r="N638" s="476"/>
      <c r="O638" s="476"/>
      <c r="P638" s="476"/>
      <c r="Q638" s="476"/>
      <c r="R638" s="476"/>
      <c r="S638" s="476"/>
      <c r="T638" s="476"/>
      <c r="U638" s="476"/>
      <c r="V638" s="476"/>
      <c r="W638" s="476"/>
      <c r="X638" s="476"/>
      <c r="Y638" s="476"/>
      <c r="Z638" s="476"/>
      <c r="AA638" s="476"/>
      <c r="AB638" s="476"/>
      <c r="AC638" s="476"/>
      <c r="AD638" s="476"/>
      <c r="AE638" s="476"/>
      <c r="AF638" s="476"/>
      <c r="AG638" s="476"/>
      <c r="AH638" s="476"/>
      <c r="AI638" s="476"/>
      <c r="AJ638" s="476"/>
      <c r="AK638" s="476"/>
      <c r="AL638" s="476"/>
      <c r="AM638" s="476"/>
      <c r="AN638" s="476"/>
      <c r="AO638" s="476"/>
      <c r="AP638" s="476"/>
      <c r="AQ638" s="476"/>
      <c r="AR638" s="476"/>
      <c r="AS638" s="476"/>
      <c r="AT638" s="476"/>
      <c r="AU638" s="476"/>
    </row>
    <row r="639" spans="1:47" s="398" customFormat="1" ht="13.15" customHeight="1" x14ac:dyDescent="0.2">
      <c r="A639" s="476"/>
      <c r="D639" s="467"/>
      <c r="F639" s="468"/>
      <c r="G639" s="468"/>
      <c r="H639" s="468"/>
      <c r="I639" s="468"/>
      <c r="J639" s="469"/>
      <c r="L639" s="476"/>
      <c r="M639" s="476"/>
      <c r="N639" s="476"/>
      <c r="O639" s="476"/>
      <c r="P639" s="476"/>
      <c r="Q639" s="476"/>
      <c r="R639" s="476"/>
      <c r="S639" s="476"/>
      <c r="T639" s="476"/>
      <c r="U639" s="476"/>
      <c r="V639" s="476"/>
      <c r="W639" s="476"/>
      <c r="X639" s="476"/>
      <c r="Y639" s="476"/>
      <c r="Z639" s="476"/>
      <c r="AA639" s="476"/>
      <c r="AB639" s="476"/>
      <c r="AC639" s="476"/>
      <c r="AD639" s="476"/>
      <c r="AE639" s="476"/>
      <c r="AF639" s="476"/>
      <c r="AG639" s="476"/>
      <c r="AH639" s="476"/>
      <c r="AI639" s="476"/>
      <c r="AJ639" s="476"/>
      <c r="AK639" s="476"/>
      <c r="AL639" s="476"/>
      <c r="AM639" s="476"/>
      <c r="AN639" s="476"/>
      <c r="AO639" s="476"/>
      <c r="AP639" s="476"/>
      <c r="AQ639" s="476"/>
      <c r="AR639" s="476"/>
      <c r="AS639" s="476"/>
      <c r="AT639" s="476"/>
      <c r="AU639" s="476"/>
    </row>
    <row r="640" spans="1:47" s="398" customFormat="1" ht="13.15" customHeight="1" x14ac:dyDescent="0.2">
      <c r="A640" s="476"/>
      <c r="D640" s="467"/>
      <c r="F640" s="468"/>
      <c r="G640" s="468"/>
      <c r="H640" s="468"/>
      <c r="I640" s="468"/>
      <c r="J640" s="469"/>
      <c r="L640" s="476"/>
      <c r="M640" s="476"/>
      <c r="N640" s="476"/>
      <c r="O640" s="476"/>
      <c r="P640" s="476"/>
      <c r="Q640" s="476"/>
      <c r="R640" s="476"/>
      <c r="S640" s="476"/>
      <c r="T640" s="476"/>
      <c r="U640" s="476"/>
      <c r="V640" s="476"/>
      <c r="W640" s="476"/>
      <c r="X640" s="476"/>
      <c r="Y640" s="476"/>
      <c r="Z640" s="476"/>
      <c r="AA640" s="476"/>
      <c r="AB640" s="476"/>
      <c r="AC640" s="476"/>
      <c r="AD640" s="476"/>
      <c r="AE640" s="476"/>
      <c r="AF640" s="476"/>
      <c r="AG640" s="476"/>
      <c r="AH640" s="476"/>
      <c r="AI640" s="476"/>
      <c r="AJ640" s="476"/>
      <c r="AK640" s="476"/>
      <c r="AL640" s="476"/>
      <c r="AM640" s="476"/>
      <c r="AN640" s="476"/>
      <c r="AO640" s="476"/>
      <c r="AP640" s="476"/>
      <c r="AQ640" s="476"/>
      <c r="AR640" s="476"/>
      <c r="AS640" s="476"/>
      <c r="AT640" s="476"/>
      <c r="AU640" s="476"/>
    </row>
    <row r="641" spans="1:47" s="398" customFormat="1" ht="13.15" customHeight="1" x14ac:dyDescent="0.2">
      <c r="A641" s="476"/>
      <c r="D641" s="467"/>
      <c r="F641" s="468"/>
      <c r="G641" s="468"/>
      <c r="H641" s="468"/>
      <c r="I641" s="468"/>
      <c r="J641" s="469"/>
      <c r="L641" s="476"/>
      <c r="M641" s="476"/>
      <c r="N641" s="476"/>
      <c r="O641" s="476"/>
      <c r="P641" s="476"/>
      <c r="Q641" s="476"/>
      <c r="R641" s="476"/>
      <c r="S641" s="476"/>
      <c r="T641" s="476"/>
      <c r="U641" s="476"/>
      <c r="V641" s="476"/>
      <c r="W641" s="476"/>
      <c r="X641" s="476"/>
      <c r="Y641" s="476"/>
      <c r="Z641" s="476"/>
      <c r="AA641" s="476"/>
      <c r="AB641" s="476"/>
      <c r="AC641" s="476"/>
      <c r="AD641" s="476"/>
      <c r="AE641" s="476"/>
      <c r="AF641" s="476"/>
      <c r="AG641" s="476"/>
      <c r="AH641" s="476"/>
      <c r="AI641" s="476"/>
      <c r="AJ641" s="476"/>
      <c r="AK641" s="476"/>
      <c r="AL641" s="476"/>
      <c r="AM641" s="476"/>
      <c r="AN641" s="476"/>
      <c r="AO641" s="476"/>
      <c r="AP641" s="476"/>
      <c r="AQ641" s="476"/>
      <c r="AR641" s="476"/>
      <c r="AS641" s="476"/>
      <c r="AT641" s="476"/>
      <c r="AU641" s="476"/>
    </row>
    <row r="642" spans="1:47" s="398" customFormat="1" ht="13.15" customHeight="1" x14ac:dyDescent="0.2">
      <c r="A642" s="476"/>
      <c r="D642" s="467"/>
      <c r="F642" s="468"/>
      <c r="G642" s="468"/>
      <c r="H642" s="468"/>
      <c r="I642" s="468"/>
      <c r="J642" s="469"/>
      <c r="L642" s="476"/>
      <c r="M642" s="476"/>
      <c r="N642" s="476"/>
      <c r="O642" s="476"/>
      <c r="P642" s="476"/>
      <c r="Q642" s="476"/>
      <c r="R642" s="476"/>
      <c r="S642" s="476"/>
      <c r="T642" s="476"/>
      <c r="U642" s="476"/>
      <c r="V642" s="476"/>
      <c r="W642" s="476"/>
      <c r="X642" s="476"/>
      <c r="Y642" s="476"/>
      <c r="Z642" s="476"/>
      <c r="AA642" s="476"/>
      <c r="AB642" s="476"/>
      <c r="AC642" s="476"/>
      <c r="AD642" s="476"/>
      <c r="AE642" s="476"/>
      <c r="AF642" s="476"/>
      <c r="AG642" s="476"/>
      <c r="AH642" s="476"/>
      <c r="AI642" s="476"/>
      <c r="AJ642" s="476"/>
      <c r="AK642" s="476"/>
      <c r="AL642" s="476"/>
      <c r="AM642" s="476"/>
      <c r="AN642" s="476"/>
      <c r="AO642" s="476"/>
      <c r="AP642" s="476"/>
      <c r="AQ642" s="476"/>
      <c r="AR642" s="476"/>
      <c r="AS642" s="476"/>
      <c r="AT642" s="476"/>
      <c r="AU642" s="476"/>
    </row>
    <row r="643" spans="1:47" s="398" customFormat="1" ht="13.15" customHeight="1" x14ac:dyDescent="0.2">
      <c r="A643" s="476"/>
      <c r="D643" s="467"/>
      <c r="F643" s="468"/>
      <c r="G643" s="468"/>
      <c r="H643" s="468"/>
      <c r="I643" s="468"/>
      <c r="J643" s="469"/>
      <c r="L643" s="476"/>
      <c r="M643" s="476"/>
      <c r="N643" s="476"/>
      <c r="O643" s="476"/>
      <c r="P643" s="476"/>
      <c r="Q643" s="476"/>
      <c r="R643" s="476"/>
      <c r="S643" s="476"/>
      <c r="T643" s="476"/>
      <c r="U643" s="476"/>
      <c r="V643" s="476"/>
      <c r="W643" s="476"/>
      <c r="X643" s="476"/>
      <c r="Y643" s="476"/>
      <c r="Z643" s="476"/>
      <c r="AA643" s="476"/>
      <c r="AB643" s="476"/>
      <c r="AC643" s="476"/>
      <c r="AD643" s="476"/>
      <c r="AE643" s="476"/>
      <c r="AF643" s="476"/>
      <c r="AG643" s="476"/>
      <c r="AH643" s="476"/>
      <c r="AI643" s="476"/>
      <c r="AJ643" s="476"/>
      <c r="AK643" s="476"/>
      <c r="AL643" s="476"/>
      <c r="AM643" s="476"/>
      <c r="AN643" s="476"/>
      <c r="AO643" s="476"/>
      <c r="AP643" s="476"/>
      <c r="AQ643" s="476"/>
      <c r="AR643" s="476"/>
      <c r="AS643" s="476"/>
      <c r="AT643" s="476"/>
      <c r="AU643" s="476"/>
    </row>
    <row r="644" spans="1:47" s="398" customFormat="1" ht="13.15" customHeight="1" x14ac:dyDescent="0.2">
      <c r="A644" s="476"/>
      <c r="D644" s="467"/>
      <c r="F644" s="468"/>
      <c r="G644" s="468"/>
      <c r="H644" s="468"/>
      <c r="I644" s="468"/>
      <c r="J644" s="469"/>
      <c r="L644" s="476"/>
      <c r="M644" s="476"/>
      <c r="N644" s="476"/>
      <c r="O644" s="476"/>
      <c r="P644" s="476"/>
      <c r="Q644" s="476"/>
      <c r="R644" s="476"/>
      <c r="S644" s="476"/>
      <c r="T644" s="476"/>
      <c r="U644" s="476"/>
      <c r="V644" s="476"/>
      <c r="W644" s="476"/>
      <c r="X644" s="476"/>
      <c r="Y644" s="476"/>
      <c r="Z644" s="476"/>
      <c r="AA644" s="476"/>
      <c r="AB644" s="476"/>
      <c r="AC644" s="476"/>
      <c r="AD644" s="476"/>
      <c r="AE644" s="476"/>
      <c r="AF644" s="476"/>
      <c r="AG644" s="476"/>
      <c r="AH644" s="476"/>
      <c r="AI644" s="476"/>
      <c r="AJ644" s="476"/>
      <c r="AK644" s="476"/>
      <c r="AL644" s="476"/>
      <c r="AM644" s="476"/>
      <c r="AN644" s="476"/>
      <c r="AO644" s="476"/>
      <c r="AP644" s="476"/>
      <c r="AQ644" s="476"/>
      <c r="AR644" s="476"/>
      <c r="AS644" s="476"/>
      <c r="AT644" s="476"/>
      <c r="AU644" s="476"/>
    </row>
    <row r="645" spans="1:47" s="398" customFormat="1" ht="13.15" customHeight="1" x14ac:dyDescent="0.2">
      <c r="A645" s="476"/>
      <c r="D645" s="467"/>
      <c r="F645" s="468"/>
      <c r="G645" s="468"/>
      <c r="H645" s="468"/>
      <c r="I645" s="468"/>
      <c r="J645" s="469"/>
      <c r="L645" s="476"/>
      <c r="M645" s="476"/>
      <c r="N645" s="476"/>
      <c r="O645" s="476"/>
      <c r="P645" s="476"/>
      <c r="Q645" s="476"/>
      <c r="R645" s="476"/>
      <c r="S645" s="476"/>
      <c r="T645" s="476"/>
      <c r="U645" s="476"/>
      <c r="V645" s="476"/>
      <c r="W645" s="476"/>
      <c r="X645" s="476"/>
      <c r="Y645" s="476"/>
      <c r="Z645" s="476"/>
      <c r="AA645" s="476"/>
      <c r="AB645" s="476"/>
      <c r="AC645" s="476"/>
      <c r="AD645" s="476"/>
      <c r="AE645" s="476"/>
      <c r="AF645" s="476"/>
      <c r="AG645" s="476"/>
      <c r="AH645" s="476"/>
      <c r="AI645" s="476"/>
      <c r="AJ645" s="476"/>
      <c r="AK645" s="476"/>
      <c r="AL645" s="476"/>
      <c r="AM645" s="476"/>
      <c r="AN645" s="476"/>
      <c r="AO645" s="476"/>
      <c r="AP645" s="476"/>
      <c r="AQ645" s="476"/>
      <c r="AR645" s="476"/>
      <c r="AS645" s="476"/>
      <c r="AT645" s="476"/>
      <c r="AU645" s="476"/>
    </row>
    <row r="646" spans="1:47" s="398" customFormat="1" ht="13.15" customHeight="1" x14ac:dyDescent="0.2">
      <c r="A646" s="476"/>
      <c r="D646" s="467"/>
      <c r="F646" s="468"/>
      <c r="G646" s="468"/>
      <c r="H646" s="468"/>
      <c r="I646" s="468"/>
      <c r="J646" s="469"/>
      <c r="L646" s="476"/>
      <c r="M646" s="476"/>
      <c r="N646" s="476"/>
      <c r="O646" s="476"/>
      <c r="P646" s="476"/>
      <c r="Q646" s="476"/>
      <c r="R646" s="476"/>
      <c r="S646" s="476"/>
      <c r="T646" s="476"/>
      <c r="U646" s="476"/>
      <c r="V646" s="476"/>
      <c r="W646" s="476"/>
      <c r="X646" s="476"/>
      <c r="Y646" s="476"/>
      <c r="Z646" s="476"/>
      <c r="AA646" s="476"/>
      <c r="AB646" s="476"/>
      <c r="AC646" s="476"/>
      <c r="AD646" s="476"/>
      <c r="AE646" s="476"/>
      <c r="AF646" s="476"/>
      <c r="AG646" s="476"/>
      <c r="AH646" s="476"/>
      <c r="AI646" s="476"/>
      <c r="AJ646" s="476"/>
      <c r="AK646" s="476"/>
      <c r="AL646" s="476"/>
      <c r="AM646" s="476"/>
      <c r="AN646" s="476"/>
      <c r="AO646" s="476"/>
      <c r="AP646" s="476"/>
      <c r="AQ646" s="476"/>
      <c r="AR646" s="476"/>
      <c r="AS646" s="476"/>
      <c r="AT646" s="476"/>
      <c r="AU646" s="476"/>
    </row>
    <row r="647" spans="1:47" s="398" customFormat="1" ht="13.15" customHeight="1" x14ac:dyDescent="0.2">
      <c r="A647" s="476"/>
      <c r="D647" s="467"/>
      <c r="F647" s="468"/>
      <c r="G647" s="468"/>
      <c r="H647" s="468"/>
      <c r="I647" s="468"/>
      <c r="J647" s="469"/>
      <c r="L647" s="476"/>
      <c r="M647" s="476"/>
      <c r="N647" s="476"/>
      <c r="O647" s="476"/>
      <c r="P647" s="476"/>
      <c r="Q647" s="476"/>
      <c r="R647" s="476"/>
      <c r="S647" s="476"/>
      <c r="T647" s="476"/>
      <c r="U647" s="476"/>
      <c r="V647" s="476"/>
      <c r="W647" s="476"/>
      <c r="X647" s="476"/>
      <c r="Y647" s="476"/>
      <c r="Z647" s="476"/>
      <c r="AA647" s="476"/>
      <c r="AB647" s="476"/>
      <c r="AC647" s="476"/>
      <c r="AD647" s="476"/>
      <c r="AE647" s="476"/>
      <c r="AF647" s="476"/>
      <c r="AG647" s="476"/>
      <c r="AH647" s="476"/>
      <c r="AI647" s="476"/>
      <c r="AJ647" s="476"/>
      <c r="AK647" s="476"/>
      <c r="AL647" s="476"/>
      <c r="AM647" s="476"/>
      <c r="AN647" s="476"/>
      <c r="AO647" s="476"/>
      <c r="AP647" s="476"/>
      <c r="AQ647" s="476"/>
      <c r="AR647" s="476"/>
      <c r="AS647" s="476"/>
      <c r="AT647" s="476"/>
      <c r="AU647" s="476"/>
    </row>
    <row r="648" spans="1:47" s="398" customFormat="1" ht="13.15" customHeight="1" x14ac:dyDescent="0.2">
      <c r="A648" s="476"/>
      <c r="D648" s="467"/>
      <c r="F648" s="468"/>
      <c r="G648" s="468"/>
      <c r="H648" s="468"/>
      <c r="I648" s="468"/>
      <c r="J648" s="469"/>
      <c r="L648" s="476"/>
      <c r="M648" s="476"/>
      <c r="N648" s="476"/>
      <c r="O648" s="476"/>
      <c r="P648" s="476"/>
      <c r="Q648" s="476"/>
      <c r="R648" s="476"/>
      <c r="S648" s="476"/>
      <c r="T648" s="476"/>
      <c r="U648" s="476"/>
      <c r="V648" s="476"/>
      <c r="W648" s="476"/>
      <c r="X648" s="476"/>
      <c r="Y648" s="476"/>
      <c r="Z648" s="476"/>
      <c r="AA648" s="476"/>
      <c r="AB648" s="476"/>
      <c r="AC648" s="476"/>
      <c r="AD648" s="476"/>
      <c r="AE648" s="476"/>
      <c r="AF648" s="476"/>
      <c r="AG648" s="476"/>
      <c r="AH648" s="476"/>
      <c r="AI648" s="476"/>
      <c r="AJ648" s="476"/>
      <c r="AK648" s="476"/>
      <c r="AL648" s="476"/>
      <c r="AM648" s="476"/>
      <c r="AN648" s="476"/>
      <c r="AO648" s="476"/>
      <c r="AP648" s="476"/>
      <c r="AQ648" s="476"/>
      <c r="AR648" s="476"/>
      <c r="AS648" s="476"/>
      <c r="AT648" s="476"/>
      <c r="AU648" s="476"/>
    </row>
    <row r="649" spans="1:47" s="398" customFormat="1" ht="13.15" customHeight="1" x14ac:dyDescent="0.2">
      <c r="A649" s="476"/>
      <c r="D649" s="467"/>
      <c r="F649" s="468"/>
      <c r="G649" s="468"/>
      <c r="H649" s="468"/>
      <c r="I649" s="468"/>
      <c r="J649" s="469"/>
      <c r="L649" s="476"/>
      <c r="M649" s="476"/>
      <c r="N649" s="476"/>
      <c r="O649" s="476"/>
      <c r="P649" s="476"/>
      <c r="Q649" s="476"/>
      <c r="R649" s="476"/>
      <c r="S649" s="476"/>
      <c r="T649" s="476"/>
      <c r="U649" s="476"/>
      <c r="V649" s="476"/>
      <c r="W649" s="476"/>
      <c r="X649" s="476"/>
      <c r="Y649" s="476"/>
      <c r="Z649" s="476"/>
      <c r="AA649" s="476"/>
      <c r="AB649" s="476"/>
      <c r="AC649" s="476"/>
      <c r="AD649" s="476"/>
      <c r="AE649" s="476"/>
      <c r="AF649" s="476"/>
      <c r="AG649" s="476"/>
      <c r="AH649" s="476"/>
      <c r="AI649" s="476"/>
      <c r="AJ649" s="476"/>
      <c r="AK649" s="476"/>
      <c r="AL649" s="476"/>
      <c r="AM649" s="476"/>
      <c r="AN649" s="476"/>
      <c r="AO649" s="476"/>
      <c r="AP649" s="476"/>
      <c r="AQ649" s="476"/>
      <c r="AR649" s="476"/>
      <c r="AS649" s="476"/>
      <c r="AT649" s="476"/>
      <c r="AU649" s="476"/>
    </row>
    <row r="650" spans="1:47" s="398" customFormat="1" ht="13.15" customHeight="1" x14ac:dyDescent="0.2">
      <c r="A650" s="476"/>
      <c r="D650" s="467"/>
      <c r="F650" s="468"/>
      <c r="G650" s="468"/>
      <c r="H650" s="468"/>
      <c r="I650" s="468"/>
      <c r="J650" s="469"/>
      <c r="L650" s="476"/>
      <c r="M650" s="476"/>
      <c r="N650" s="476"/>
      <c r="O650" s="476"/>
      <c r="P650" s="476"/>
      <c r="Q650" s="476"/>
      <c r="R650" s="476"/>
      <c r="S650" s="476"/>
      <c r="T650" s="476"/>
      <c r="U650" s="476"/>
      <c r="V650" s="476"/>
      <c r="W650" s="476"/>
      <c r="X650" s="476"/>
      <c r="Y650" s="476"/>
      <c r="Z650" s="476"/>
      <c r="AA650" s="476"/>
      <c r="AB650" s="476"/>
      <c r="AC650" s="476"/>
      <c r="AD650" s="476"/>
      <c r="AE650" s="476"/>
      <c r="AF650" s="476"/>
      <c r="AG650" s="476"/>
      <c r="AH650" s="476"/>
      <c r="AI650" s="476"/>
      <c r="AJ650" s="476"/>
      <c r="AK650" s="476"/>
      <c r="AL650" s="476"/>
      <c r="AM650" s="476"/>
      <c r="AN650" s="476"/>
      <c r="AO650" s="476"/>
      <c r="AP650" s="476"/>
      <c r="AQ650" s="476"/>
      <c r="AR650" s="476"/>
      <c r="AS650" s="476"/>
      <c r="AT650" s="476"/>
      <c r="AU650" s="476"/>
    </row>
    <row r="651" spans="1:47" s="398" customFormat="1" ht="13.15" customHeight="1" x14ac:dyDescent="0.2">
      <c r="A651" s="476"/>
      <c r="D651" s="467"/>
      <c r="F651" s="468"/>
      <c r="G651" s="468"/>
      <c r="H651" s="468"/>
      <c r="I651" s="468"/>
      <c r="J651" s="469"/>
      <c r="L651" s="476"/>
      <c r="M651" s="476"/>
      <c r="N651" s="476"/>
      <c r="O651" s="476"/>
      <c r="P651" s="476"/>
      <c r="Q651" s="476"/>
      <c r="R651" s="476"/>
      <c r="S651" s="476"/>
      <c r="T651" s="476"/>
      <c r="U651" s="476"/>
      <c r="V651" s="476"/>
      <c r="W651" s="476"/>
      <c r="X651" s="476"/>
      <c r="Y651" s="476"/>
      <c r="Z651" s="476"/>
      <c r="AA651" s="476"/>
      <c r="AB651" s="476"/>
      <c r="AC651" s="476"/>
      <c r="AD651" s="476"/>
      <c r="AE651" s="476"/>
      <c r="AF651" s="476"/>
      <c r="AG651" s="476"/>
      <c r="AH651" s="476"/>
      <c r="AI651" s="476"/>
      <c r="AJ651" s="476"/>
      <c r="AK651" s="476"/>
      <c r="AL651" s="476"/>
      <c r="AM651" s="476"/>
      <c r="AN651" s="476"/>
      <c r="AO651" s="476"/>
      <c r="AP651" s="476"/>
      <c r="AQ651" s="476"/>
      <c r="AR651" s="476"/>
      <c r="AS651" s="476"/>
      <c r="AT651" s="476"/>
      <c r="AU651" s="476"/>
    </row>
    <row r="652" spans="1:47" s="398" customFormat="1" ht="13.15" customHeight="1" x14ac:dyDescent="0.2">
      <c r="A652" s="476"/>
      <c r="D652" s="467"/>
      <c r="F652" s="468"/>
      <c r="G652" s="468"/>
      <c r="H652" s="468"/>
      <c r="I652" s="468"/>
      <c r="J652" s="469"/>
      <c r="L652" s="476"/>
      <c r="M652" s="476"/>
      <c r="N652" s="476"/>
      <c r="O652" s="476"/>
      <c r="P652" s="476"/>
      <c r="Q652" s="476"/>
      <c r="R652" s="476"/>
      <c r="S652" s="476"/>
      <c r="T652" s="476"/>
      <c r="U652" s="476"/>
      <c r="V652" s="476"/>
      <c r="W652" s="476"/>
      <c r="X652" s="476"/>
      <c r="Y652" s="476"/>
      <c r="Z652" s="476"/>
      <c r="AA652" s="476"/>
      <c r="AB652" s="476"/>
      <c r="AC652" s="476"/>
      <c r="AD652" s="476"/>
      <c r="AE652" s="476"/>
      <c r="AF652" s="476"/>
      <c r="AG652" s="476"/>
      <c r="AH652" s="476"/>
      <c r="AI652" s="476"/>
      <c r="AJ652" s="476"/>
      <c r="AK652" s="476"/>
      <c r="AL652" s="476"/>
      <c r="AM652" s="476"/>
      <c r="AN652" s="476"/>
      <c r="AO652" s="476"/>
      <c r="AP652" s="476"/>
      <c r="AQ652" s="476"/>
      <c r="AR652" s="476"/>
      <c r="AS652" s="476"/>
      <c r="AT652" s="476"/>
      <c r="AU652" s="476"/>
    </row>
    <row r="653" spans="1:47" s="398" customFormat="1" ht="13.15" customHeight="1" x14ac:dyDescent="0.2">
      <c r="A653" s="476"/>
      <c r="D653" s="467"/>
      <c r="F653" s="468"/>
      <c r="G653" s="468"/>
      <c r="H653" s="468"/>
      <c r="I653" s="468"/>
      <c r="J653" s="469"/>
      <c r="L653" s="476"/>
      <c r="M653" s="476"/>
      <c r="N653" s="476"/>
      <c r="O653" s="476"/>
      <c r="P653" s="476"/>
      <c r="Q653" s="476"/>
      <c r="R653" s="476"/>
      <c r="S653" s="476"/>
      <c r="T653" s="476"/>
      <c r="U653" s="476"/>
      <c r="V653" s="476"/>
      <c r="W653" s="476"/>
      <c r="X653" s="476"/>
      <c r="Y653" s="476"/>
      <c r="Z653" s="476"/>
      <c r="AA653" s="476"/>
      <c r="AB653" s="476"/>
      <c r="AC653" s="476"/>
      <c r="AD653" s="476"/>
      <c r="AE653" s="476"/>
      <c r="AF653" s="476"/>
      <c r="AG653" s="476"/>
      <c r="AH653" s="476"/>
      <c r="AI653" s="476"/>
      <c r="AJ653" s="476"/>
      <c r="AK653" s="476"/>
      <c r="AL653" s="476"/>
      <c r="AM653" s="476"/>
      <c r="AN653" s="476"/>
      <c r="AO653" s="476"/>
      <c r="AP653" s="476"/>
      <c r="AQ653" s="476"/>
      <c r="AR653" s="476"/>
      <c r="AS653" s="476"/>
      <c r="AT653" s="476"/>
      <c r="AU653" s="476"/>
    </row>
    <row r="654" spans="1:47" s="398" customFormat="1" ht="13.15" customHeight="1" x14ac:dyDescent="0.2">
      <c r="A654" s="476"/>
      <c r="D654" s="467"/>
      <c r="F654" s="468"/>
      <c r="G654" s="468"/>
      <c r="H654" s="468"/>
      <c r="I654" s="468"/>
      <c r="J654" s="469"/>
      <c r="L654" s="476"/>
      <c r="M654" s="476"/>
      <c r="N654" s="476"/>
      <c r="O654" s="476"/>
      <c r="P654" s="476"/>
      <c r="Q654" s="476"/>
      <c r="R654" s="476"/>
      <c r="S654" s="476"/>
      <c r="T654" s="476"/>
      <c r="U654" s="476"/>
      <c r="V654" s="476"/>
      <c r="W654" s="476"/>
      <c r="X654" s="476"/>
      <c r="Y654" s="476"/>
      <c r="Z654" s="476"/>
      <c r="AA654" s="476"/>
      <c r="AB654" s="476"/>
      <c r="AC654" s="476"/>
      <c r="AD654" s="476"/>
      <c r="AE654" s="476"/>
      <c r="AF654" s="476"/>
      <c r="AG654" s="476"/>
      <c r="AH654" s="476"/>
      <c r="AI654" s="476"/>
      <c r="AJ654" s="476"/>
      <c r="AK654" s="476"/>
      <c r="AL654" s="476"/>
      <c r="AM654" s="476"/>
      <c r="AN654" s="476"/>
      <c r="AO654" s="476"/>
      <c r="AP654" s="476"/>
      <c r="AQ654" s="476"/>
      <c r="AR654" s="476"/>
      <c r="AS654" s="476"/>
      <c r="AT654" s="476"/>
      <c r="AU654" s="476"/>
    </row>
    <row r="655" spans="1:47" s="398" customFormat="1" ht="13.15" customHeight="1" x14ac:dyDescent="0.2">
      <c r="A655" s="476"/>
      <c r="D655" s="467"/>
      <c r="F655" s="468"/>
      <c r="G655" s="468"/>
      <c r="H655" s="468"/>
      <c r="I655" s="468"/>
      <c r="J655" s="469"/>
      <c r="L655" s="476"/>
      <c r="M655" s="476"/>
      <c r="N655" s="476"/>
      <c r="O655" s="476"/>
      <c r="P655" s="476"/>
      <c r="Q655" s="476"/>
      <c r="R655" s="476"/>
      <c r="S655" s="476"/>
      <c r="T655" s="476"/>
      <c r="U655" s="476"/>
      <c r="V655" s="476"/>
      <c r="W655" s="476"/>
      <c r="X655" s="476"/>
      <c r="Y655" s="476"/>
      <c r="Z655" s="476"/>
      <c r="AA655" s="476"/>
      <c r="AB655" s="476"/>
      <c r="AC655" s="476"/>
      <c r="AD655" s="476"/>
      <c r="AE655" s="476"/>
      <c r="AF655" s="476"/>
      <c r="AG655" s="476"/>
      <c r="AH655" s="476"/>
      <c r="AI655" s="476"/>
      <c r="AJ655" s="476"/>
      <c r="AK655" s="476"/>
      <c r="AL655" s="476"/>
      <c r="AM655" s="476"/>
      <c r="AN655" s="476"/>
      <c r="AO655" s="476"/>
      <c r="AP655" s="476"/>
      <c r="AQ655" s="476"/>
      <c r="AR655" s="476"/>
      <c r="AS655" s="476"/>
      <c r="AT655" s="476"/>
      <c r="AU655" s="476"/>
    </row>
    <row r="656" spans="1:47" s="398" customFormat="1" ht="13.15" customHeight="1" x14ac:dyDescent="0.2">
      <c r="A656" s="476"/>
      <c r="D656" s="467"/>
      <c r="F656" s="468"/>
      <c r="G656" s="468"/>
      <c r="H656" s="468"/>
      <c r="I656" s="468"/>
      <c r="J656" s="469"/>
      <c r="L656" s="476"/>
      <c r="M656" s="476"/>
      <c r="N656" s="476"/>
      <c r="O656" s="476"/>
      <c r="P656" s="476"/>
      <c r="Q656" s="476"/>
      <c r="R656" s="476"/>
      <c r="S656" s="476"/>
      <c r="T656" s="476"/>
      <c r="U656" s="476"/>
      <c r="V656" s="476"/>
      <c r="W656" s="476"/>
      <c r="X656" s="476"/>
      <c r="Y656" s="476"/>
      <c r="Z656" s="476"/>
      <c r="AA656" s="476"/>
      <c r="AB656" s="476"/>
      <c r="AC656" s="476"/>
      <c r="AD656" s="476"/>
      <c r="AE656" s="476"/>
      <c r="AF656" s="476"/>
      <c r="AG656" s="476"/>
      <c r="AH656" s="476"/>
      <c r="AI656" s="476"/>
      <c r="AJ656" s="476"/>
      <c r="AK656" s="476"/>
      <c r="AL656" s="476"/>
      <c r="AM656" s="476"/>
      <c r="AN656" s="476"/>
      <c r="AO656" s="476"/>
      <c r="AP656" s="476"/>
      <c r="AQ656" s="476"/>
      <c r="AR656" s="476"/>
      <c r="AS656" s="476"/>
      <c r="AT656" s="476"/>
      <c r="AU656" s="476"/>
    </row>
    <row r="657" spans="1:47" s="398" customFormat="1" ht="13.15" customHeight="1" x14ac:dyDescent="0.2">
      <c r="A657" s="476"/>
      <c r="D657" s="467"/>
      <c r="F657" s="468"/>
      <c r="G657" s="468"/>
      <c r="H657" s="468"/>
      <c r="I657" s="468"/>
      <c r="J657" s="469"/>
      <c r="L657" s="476"/>
      <c r="M657" s="476"/>
      <c r="N657" s="476"/>
      <c r="O657" s="476"/>
      <c r="P657" s="476"/>
      <c r="Q657" s="476"/>
      <c r="R657" s="476"/>
      <c r="S657" s="476"/>
      <c r="T657" s="476"/>
      <c r="U657" s="476"/>
      <c r="V657" s="476"/>
      <c r="W657" s="476"/>
      <c r="X657" s="476"/>
      <c r="Y657" s="476"/>
      <c r="Z657" s="476"/>
      <c r="AA657" s="476"/>
      <c r="AB657" s="476"/>
      <c r="AC657" s="476"/>
      <c r="AD657" s="476"/>
      <c r="AE657" s="476"/>
      <c r="AF657" s="476"/>
      <c r="AG657" s="476"/>
      <c r="AH657" s="476"/>
      <c r="AI657" s="476"/>
      <c r="AJ657" s="476"/>
      <c r="AK657" s="476"/>
      <c r="AL657" s="476"/>
      <c r="AM657" s="476"/>
      <c r="AN657" s="476"/>
      <c r="AO657" s="476"/>
      <c r="AP657" s="476"/>
      <c r="AQ657" s="476"/>
      <c r="AR657" s="476"/>
      <c r="AS657" s="476"/>
      <c r="AT657" s="476"/>
      <c r="AU657" s="476"/>
    </row>
    <row r="658" spans="1:47" s="398" customFormat="1" ht="13.15" customHeight="1" x14ac:dyDescent="0.2">
      <c r="A658" s="476"/>
      <c r="D658" s="467"/>
      <c r="F658" s="468"/>
      <c r="G658" s="468"/>
      <c r="H658" s="468"/>
      <c r="I658" s="468"/>
      <c r="J658" s="469"/>
      <c r="L658" s="476"/>
      <c r="M658" s="476"/>
      <c r="N658" s="476"/>
      <c r="O658" s="476"/>
      <c r="P658" s="476"/>
      <c r="Q658" s="476"/>
      <c r="R658" s="476"/>
      <c r="S658" s="476"/>
      <c r="T658" s="476"/>
      <c r="U658" s="476"/>
      <c r="V658" s="476"/>
      <c r="W658" s="476"/>
      <c r="X658" s="476"/>
      <c r="Y658" s="476"/>
      <c r="Z658" s="476"/>
      <c r="AA658" s="476"/>
      <c r="AB658" s="476"/>
      <c r="AC658" s="476"/>
      <c r="AD658" s="476"/>
      <c r="AE658" s="476"/>
      <c r="AF658" s="476"/>
      <c r="AG658" s="476"/>
      <c r="AH658" s="476"/>
      <c r="AI658" s="476"/>
      <c r="AJ658" s="476"/>
      <c r="AK658" s="476"/>
      <c r="AL658" s="476"/>
      <c r="AM658" s="476"/>
      <c r="AN658" s="476"/>
      <c r="AO658" s="476"/>
      <c r="AP658" s="476"/>
      <c r="AQ658" s="476"/>
      <c r="AR658" s="476"/>
      <c r="AS658" s="476"/>
      <c r="AT658" s="476"/>
      <c r="AU658" s="476"/>
    </row>
    <row r="659" spans="1:47" s="398" customFormat="1" ht="13.15" customHeight="1" x14ac:dyDescent="0.2">
      <c r="A659" s="476"/>
      <c r="D659" s="467"/>
      <c r="F659" s="468"/>
      <c r="G659" s="468"/>
      <c r="H659" s="468"/>
      <c r="I659" s="468"/>
      <c r="J659" s="469"/>
      <c r="L659" s="476"/>
      <c r="M659" s="476"/>
      <c r="N659" s="476"/>
      <c r="O659" s="476"/>
      <c r="P659" s="476"/>
      <c r="Q659" s="476"/>
      <c r="R659" s="476"/>
      <c r="S659" s="476"/>
      <c r="T659" s="476"/>
      <c r="U659" s="476"/>
      <c r="V659" s="476"/>
      <c r="W659" s="476"/>
      <c r="X659" s="476"/>
      <c r="Y659" s="476"/>
      <c r="Z659" s="476"/>
      <c r="AA659" s="476"/>
      <c r="AB659" s="476"/>
      <c r="AC659" s="476"/>
      <c r="AD659" s="476"/>
      <c r="AE659" s="476"/>
      <c r="AF659" s="476"/>
      <c r="AG659" s="476"/>
      <c r="AH659" s="476"/>
      <c r="AI659" s="476"/>
      <c r="AJ659" s="476"/>
      <c r="AK659" s="476"/>
      <c r="AL659" s="476"/>
      <c r="AM659" s="476"/>
      <c r="AN659" s="476"/>
      <c r="AO659" s="476"/>
      <c r="AP659" s="476"/>
      <c r="AQ659" s="476"/>
      <c r="AR659" s="476"/>
      <c r="AS659" s="476"/>
      <c r="AT659" s="476"/>
      <c r="AU659" s="476"/>
    </row>
    <row r="660" spans="1:47" s="398" customFormat="1" ht="13.15" customHeight="1" x14ac:dyDescent="0.2">
      <c r="A660" s="476"/>
      <c r="D660" s="467"/>
      <c r="F660" s="468"/>
      <c r="G660" s="468"/>
      <c r="H660" s="468"/>
      <c r="I660" s="468"/>
      <c r="J660" s="469"/>
      <c r="L660" s="476"/>
      <c r="M660" s="476"/>
      <c r="N660" s="476"/>
      <c r="O660" s="476"/>
      <c r="P660" s="476"/>
      <c r="Q660" s="476"/>
      <c r="R660" s="476"/>
      <c r="S660" s="476"/>
      <c r="T660" s="476"/>
      <c r="U660" s="476"/>
      <c r="V660" s="476"/>
      <c r="W660" s="476"/>
      <c r="X660" s="476"/>
      <c r="Y660" s="476"/>
      <c r="Z660" s="476"/>
      <c r="AA660" s="476"/>
      <c r="AB660" s="476"/>
      <c r="AC660" s="476"/>
      <c r="AD660" s="476"/>
      <c r="AE660" s="476"/>
      <c r="AF660" s="476"/>
      <c r="AG660" s="476"/>
      <c r="AH660" s="476"/>
      <c r="AI660" s="476"/>
      <c r="AJ660" s="476"/>
      <c r="AK660" s="476"/>
      <c r="AL660" s="476"/>
      <c r="AM660" s="476"/>
      <c r="AN660" s="476"/>
      <c r="AO660" s="476"/>
      <c r="AP660" s="476"/>
      <c r="AQ660" s="476"/>
      <c r="AR660" s="476"/>
      <c r="AS660" s="476"/>
      <c r="AT660" s="476"/>
      <c r="AU660" s="476"/>
    </row>
    <row r="661" spans="1:47" s="398" customFormat="1" ht="13.15" customHeight="1" x14ac:dyDescent="0.2">
      <c r="A661" s="476"/>
      <c r="D661" s="467"/>
      <c r="F661" s="468"/>
      <c r="G661" s="468"/>
      <c r="H661" s="468"/>
      <c r="I661" s="468"/>
      <c r="J661" s="469"/>
      <c r="L661" s="476"/>
      <c r="M661" s="476"/>
      <c r="N661" s="476"/>
      <c r="O661" s="476"/>
      <c r="P661" s="476"/>
      <c r="Q661" s="476"/>
      <c r="R661" s="476"/>
      <c r="S661" s="476"/>
      <c r="T661" s="476"/>
      <c r="U661" s="476"/>
      <c r="V661" s="476"/>
      <c r="W661" s="476"/>
      <c r="X661" s="476"/>
      <c r="Y661" s="476"/>
      <c r="Z661" s="476"/>
      <c r="AA661" s="476"/>
      <c r="AB661" s="476"/>
      <c r="AC661" s="476"/>
      <c r="AD661" s="476"/>
      <c r="AE661" s="476"/>
      <c r="AF661" s="476"/>
      <c r="AG661" s="476"/>
      <c r="AH661" s="476"/>
      <c r="AI661" s="476"/>
      <c r="AJ661" s="476"/>
      <c r="AK661" s="476"/>
      <c r="AL661" s="476"/>
      <c r="AM661" s="476"/>
      <c r="AN661" s="476"/>
      <c r="AO661" s="476"/>
      <c r="AP661" s="476"/>
      <c r="AQ661" s="476"/>
      <c r="AR661" s="476"/>
      <c r="AS661" s="476"/>
      <c r="AT661" s="476"/>
      <c r="AU661" s="476"/>
    </row>
    <row r="662" spans="1:47" s="398" customFormat="1" ht="13.15" customHeight="1" x14ac:dyDescent="0.2">
      <c r="A662" s="476"/>
      <c r="D662" s="467"/>
      <c r="F662" s="468"/>
      <c r="G662" s="468"/>
      <c r="H662" s="468"/>
      <c r="I662" s="468"/>
      <c r="J662" s="469"/>
      <c r="L662" s="476"/>
      <c r="M662" s="476"/>
      <c r="N662" s="476"/>
      <c r="O662" s="476"/>
      <c r="P662" s="476"/>
      <c r="Q662" s="476"/>
      <c r="R662" s="476"/>
      <c r="S662" s="476"/>
      <c r="T662" s="476"/>
      <c r="U662" s="476"/>
      <c r="V662" s="476"/>
      <c r="W662" s="476"/>
      <c r="X662" s="476"/>
      <c r="Y662" s="476"/>
      <c r="Z662" s="476"/>
      <c r="AA662" s="476"/>
      <c r="AB662" s="476"/>
      <c r="AC662" s="476"/>
      <c r="AD662" s="476"/>
      <c r="AE662" s="476"/>
      <c r="AF662" s="476"/>
      <c r="AG662" s="476"/>
      <c r="AH662" s="476"/>
      <c r="AI662" s="476"/>
      <c r="AJ662" s="476"/>
      <c r="AK662" s="476"/>
      <c r="AL662" s="476"/>
      <c r="AM662" s="476"/>
      <c r="AN662" s="476"/>
      <c r="AO662" s="476"/>
      <c r="AP662" s="476"/>
      <c r="AQ662" s="476"/>
      <c r="AR662" s="476"/>
      <c r="AS662" s="476"/>
      <c r="AT662" s="476"/>
      <c r="AU662" s="476"/>
    </row>
    <row r="663" spans="1:47" s="398" customFormat="1" ht="13.15" customHeight="1" x14ac:dyDescent="0.2">
      <c r="A663" s="476"/>
      <c r="D663" s="467"/>
      <c r="F663" s="468"/>
      <c r="G663" s="468"/>
      <c r="H663" s="468"/>
      <c r="I663" s="468"/>
      <c r="J663" s="469"/>
      <c r="L663" s="476"/>
      <c r="M663" s="476"/>
      <c r="N663" s="476"/>
      <c r="O663" s="476"/>
      <c r="P663" s="476"/>
      <c r="Q663" s="476"/>
      <c r="R663" s="476"/>
      <c r="S663" s="476"/>
      <c r="T663" s="476"/>
      <c r="U663" s="476"/>
      <c r="V663" s="476"/>
      <c r="W663" s="476"/>
      <c r="X663" s="476"/>
      <c r="Y663" s="476"/>
      <c r="Z663" s="476"/>
      <c r="AA663" s="476"/>
      <c r="AB663" s="476"/>
      <c r="AC663" s="476"/>
      <c r="AD663" s="476"/>
      <c r="AE663" s="476"/>
      <c r="AF663" s="476"/>
      <c r="AG663" s="476"/>
      <c r="AH663" s="476"/>
      <c r="AI663" s="476"/>
      <c r="AJ663" s="476"/>
      <c r="AK663" s="476"/>
      <c r="AL663" s="476"/>
      <c r="AM663" s="476"/>
      <c r="AN663" s="476"/>
      <c r="AO663" s="476"/>
      <c r="AP663" s="476"/>
      <c r="AQ663" s="476"/>
      <c r="AR663" s="476"/>
      <c r="AS663" s="476"/>
      <c r="AT663" s="476"/>
      <c r="AU663" s="476"/>
    </row>
    <row r="664" spans="1:47" s="398" customFormat="1" ht="13.15" customHeight="1" x14ac:dyDescent="0.2">
      <c r="A664" s="476"/>
      <c r="D664" s="467"/>
      <c r="F664" s="468"/>
      <c r="G664" s="468"/>
      <c r="H664" s="468"/>
      <c r="I664" s="468"/>
      <c r="J664" s="469"/>
      <c r="L664" s="476"/>
      <c r="M664" s="476"/>
      <c r="N664" s="476"/>
      <c r="O664" s="476"/>
      <c r="P664" s="476"/>
      <c r="Q664" s="476"/>
      <c r="R664" s="476"/>
      <c r="S664" s="476"/>
      <c r="T664" s="476"/>
      <c r="U664" s="476"/>
      <c r="V664" s="476"/>
      <c r="W664" s="476"/>
      <c r="X664" s="476"/>
      <c r="Y664" s="476"/>
      <c r="Z664" s="476"/>
      <c r="AA664" s="476"/>
      <c r="AB664" s="476"/>
      <c r="AC664" s="476"/>
      <c r="AD664" s="476"/>
      <c r="AE664" s="476"/>
      <c r="AF664" s="476"/>
      <c r="AG664" s="476"/>
      <c r="AH664" s="476"/>
      <c r="AI664" s="476"/>
      <c r="AJ664" s="476"/>
      <c r="AK664" s="476"/>
      <c r="AL664" s="476"/>
      <c r="AM664" s="476"/>
      <c r="AN664" s="476"/>
      <c r="AO664" s="476"/>
      <c r="AP664" s="476"/>
      <c r="AQ664" s="476"/>
      <c r="AR664" s="476"/>
      <c r="AS664" s="476"/>
      <c r="AT664" s="476"/>
      <c r="AU664" s="476"/>
    </row>
    <row r="665" spans="1:47" s="398" customFormat="1" ht="13.15" customHeight="1" x14ac:dyDescent="0.2">
      <c r="A665" s="476"/>
      <c r="D665" s="467"/>
      <c r="F665" s="468"/>
      <c r="G665" s="468"/>
      <c r="H665" s="468"/>
      <c r="I665" s="468"/>
      <c r="J665" s="469"/>
      <c r="L665" s="476"/>
      <c r="M665" s="476"/>
      <c r="N665" s="476"/>
      <c r="O665" s="476"/>
      <c r="P665" s="476"/>
      <c r="Q665" s="476"/>
      <c r="R665" s="476"/>
      <c r="S665" s="476"/>
      <c r="T665" s="476"/>
      <c r="U665" s="476"/>
      <c r="V665" s="476"/>
      <c r="W665" s="476"/>
      <c r="X665" s="476"/>
      <c r="Y665" s="476"/>
      <c r="Z665" s="476"/>
      <c r="AA665" s="476"/>
      <c r="AB665" s="476"/>
      <c r="AC665" s="476"/>
      <c r="AD665" s="476"/>
      <c r="AE665" s="476"/>
      <c r="AF665" s="476"/>
      <c r="AG665" s="476"/>
      <c r="AH665" s="476"/>
      <c r="AI665" s="476"/>
      <c r="AJ665" s="476"/>
      <c r="AK665" s="476"/>
      <c r="AL665" s="476"/>
      <c r="AM665" s="476"/>
      <c r="AN665" s="476"/>
      <c r="AO665" s="476"/>
      <c r="AP665" s="476"/>
      <c r="AQ665" s="476"/>
      <c r="AR665" s="476"/>
      <c r="AS665" s="476"/>
      <c r="AT665" s="476"/>
      <c r="AU665" s="476"/>
    </row>
    <row r="666" spans="1:47" s="398" customFormat="1" ht="13.15" customHeight="1" x14ac:dyDescent="0.2">
      <c r="A666" s="476"/>
      <c r="D666" s="467"/>
      <c r="F666" s="468"/>
      <c r="G666" s="468"/>
      <c r="H666" s="468"/>
      <c r="I666" s="468"/>
      <c r="J666" s="469"/>
      <c r="L666" s="476"/>
      <c r="M666" s="476"/>
      <c r="N666" s="476"/>
      <c r="O666" s="476"/>
      <c r="P666" s="476"/>
      <c r="Q666" s="476"/>
      <c r="R666" s="476"/>
      <c r="S666" s="476"/>
      <c r="T666" s="476"/>
      <c r="U666" s="476"/>
      <c r="V666" s="476"/>
      <c r="W666" s="476"/>
      <c r="X666" s="476"/>
      <c r="Y666" s="476"/>
      <c r="Z666" s="476"/>
      <c r="AA666" s="476"/>
      <c r="AB666" s="476"/>
      <c r="AC666" s="476"/>
      <c r="AD666" s="476"/>
      <c r="AE666" s="476"/>
      <c r="AF666" s="476"/>
      <c r="AG666" s="476"/>
      <c r="AH666" s="476"/>
      <c r="AI666" s="476"/>
      <c r="AJ666" s="476"/>
      <c r="AK666" s="476"/>
      <c r="AL666" s="476"/>
      <c r="AM666" s="476"/>
      <c r="AN666" s="476"/>
      <c r="AO666" s="476"/>
      <c r="AP666" s="476"/>
      <c r="AQ666" s="476"/>
      <c r="AR666" s="476"/>
      <c r="AS666" s="476"/>
      <c r="AT666" s="476"/>
      <c r="AU666" s="476"/>
    </row>
    <row r="667" spans="1:47" s="398" customFormat="1" ht="13.15" customHeight="1" x14ac:dyDescent="0.2">
      <c r="A667" s="476"/>
      <c r="D667" s="467"/>
      <c r="F667" s="468"/>
      <c r="G667" s="468"/>
      <c r="H667" s="468"/>
      <c r="I667" s="468"/>
      <c r="J667" s="469"/>
      <c r="L667" s="476"/>
      <c r="M667" s="476"/>
      <c r="N667" s="476"/>
      <c r="O667" s="476"/>
      <c r="P667" s="476"/>
      <c r="Q667" s="476"/>
      <c r="R667" s="476"/>
      <c r="S667" s="476"/>
      <c r="T667" s="476"/>
      <c r="U667" s="476"/>
      <c r="V667" s="476"/>
      <c r="W667" s="476"/>
      <c r="X667" s="476"/>
      <c r="Y667" s="476"/>
      <c r="Z667" s="476"/>
      <c r="AA667" s="476"/>
      <c r="AB667" s="476"/>
      <c r="AC667" s="476"/>
      <c r="AD667" s="476"/>
      <c r="AE667" s="476"/>
      <c r="AF667" s="476"/>
      <c r="AG667" s="476"/>
      <c r="AH667" s="476"/>
      <c r="AI667" s="476"/>
      <c r="AJ667" s="476"/>
      <c r="AK667" s="476"/>
      <c r="AL667" s="476"/>
      <c r="AM667" s="476"/>
      <c r="AN667" s="476"/>
      <c r="AO667" s="476"/>
      <c r="AP667" s="476"/>
      <c r="AQ667" s="476"/>
      <c r="AR667" s="476"/>
      <c r="AS667" s="476"/>
      <c r="AT667" s="476"/>
      <c r="AU667" s="476"/>
    </row>
    <row r="668" spans="1:47" s="398" customFormat="1" ht="13.15" customHeight="1" x14ac:dyDescent="0.2">
      <c r="A668" s="476"/>
      <c r="D668" s="467"/>
      <c r="F668" s="468"/>
      <c r="G668" s="468"/>
      <c r="H668" s="468"/>
      <c r="I668" s="468"/>
      <c r="J668" s="469"/>
      <c r="L668" s="476"/>
      <c r="M668" s="476"/>
      <c r="N668" s="476"/>
      <c r="O668" s="476"/>
      <c r="P668" s="476"/>
      <c r="Q668" s="476"/>
      <c r="R668" s="476"/>
      <c r="S668" s="476"/>
      <c r="T668" s="476"/>
      <c r="U668" s="476"/>
      <c r="V668" s="476"/>
      <c r="W668" s="476"/>
      <c r="X668" s="476"/>
      <c r="Y668" s="476"/>
      <c r="Z668" s="476"/>
      <c r="AA668" s="476"/>
      <c r="AB668" s="476"/>
      <c r="AC668" s="476"/>
      <c r="AD668" s="476"/>
      <c r="AE668" s="476"/>
      <c r="AF668" s="476"/>
      <c r="AG668" s="476"/>
      <c r="AH668" s="476"/>
      <c r="AI668" s="476"/>
      <c r="AJ668" s="476"/>
      <c r="AK668" s="476"/>
      <c r="AL668" s="476"/>
      <c r="AM668" s="476"/>
      <c r="AN668" s="476"/>
      <c r="AO668" s="476"/>
      <c r="AP668" s="476"/>
      <c r="AQ668" s="476"/>
      <c r="AR668" s="476"/>
      <c r="AS668" s="476"/>
      <c r="AT668" s="476"/>
      <c r="AU668" s="476"/>
    </row>
    <row r="669" spans="1:47" s="398" customFormat="1" ht="13.15" customHeight="1" x14ac:dyDescent="0.2">
      <c r="A669" s="476"/>
      <c r="D669" s="467"/>
      <c r="F669" s="468"/>
      <c r="G669" s="468"/>
      <c r="H669" s="468"/>
      <c r="I669" s="468"/>
      <c r="J669" s="469"/>
      <c r="L669" s="476"/>
      <c r="M669" s="476"/>
      <c r="N669" s="476"/>
      <c r="O669" s="476"/>
      <c r="P669" s="476"/>
      <c r="Q669" s="476"/>
      <c r="R669" s="476"/>
      <c r="S669" s="476"/>
      <c r="T669" s="476"/>
      <c r="U669" s="476"/>
      <c r="V669" s="476"/>
      <c r="W669" s="476"/>
      <c r="X669" s="476"/>
      <c r="Y669" s="476"/>
      <c r="Z669" s="476"/>
      <c r="AA669" s="476"/>
      <c r="AB669" s="476"/>
      <c r="AC669" s="476"/>
      <c r="AD669" s="476"/>
      <c r="AE669" s="476"/>
      <c r="AF669" s="476"/>
      <c r="AG669" s="476"/>
      <c r="AH669" s="476"/>
      <c r="AI669" s="476"/>
      <c r="AJ669" s="476"/>
      <c r="AK669" s="476"/>
      <c r="AL669" s="476"/>
      <c r="AM669" s="476"/>
      <c r="AN669" s="476"/>
      <c r="AO669" s="476"/>
      <c r="AP669" s="476"/>
      <c r="AQ669" s="476"/>
      <c r="AR669" s="476"/>
      <c r="AS669" s="476"/>
      <c r="AT669" s="476"/>
      <c r="AU669" s="476"/>
    </row>
    <row r="670" spans="1:47" s="398" customFormat="1" ht="13.15" customHeight="1" x14ac:dyDescent="0.2">
      <c r="A670" s="476"/>
      <c r="D670" s="467"/>
      <c r="F670" s="468"/>
      <c r="G670" s="468"/>
      <c r="H670" s="468"/>
      <c r="I670" s="468"/>
      <c r="J670" s="469"/>
      <c r="L670" s="476"/>
      <c r="M670" s="476"/>
      <c r="N670" s="476"/>
      <c r="O670" s="476"/>
      <c r="P670" s="476"/>
      <c r="Q670" s="476"/>
      <c r="R670" s="476"/>
      <c r="S670" s="476"/>
      <c r="T670" s="476"/>
      <c r="U670" s="476"/>
      <c r="V670" s="476"/>
      <c r="W670" s="476"/>
      <c r="X670" s="476"/>
      <c r="Y670" s="476"/>
      <c r="Z670" s="476"/>
      <c r="AA670" s="476"/>
      <c r="AB670" s="476"/>
      <c r="AC670" s="476"/>
      <c r="AD670" s="476"/>
      <c r="AE670" s="476"/>
      <c r="AF670" s="476"/>
      <c r="AG670" s="476"/>
      <c r="AH670" s="476"/>
      <c r="AI670" s="476"/>
      <c r="AJ670" s="476"/>
      <c r="AK670" s="476"/>
      <c r="AL670" s="476"/>
      <c r="AM670" s="476"/>
      <c r="AN670" s="476"/>
      <c r="AO670" s="476"/>
      <c r="AP670" s="476"/>
      <c r="AQ670" s="476"/>
      <c r="AR670" s="476"/>
      <c r="AS670" s="476"/>
      <c r="AT670" s="476"/>
      <c r="AU670" s="476"/>
    </row>
    <row r="671" spans="1:47" s="398" customFormat="1" ht="13.15" customHeight="1" x14ac:dyDescent="0.2">
      <c r="A671" s="476"/>
      <c r="D671" s="467"/>
      <c r="F671" s="468"/>
      <c r="G671" s="468"/>
      <c r="H671" s="468"/>
      <c r="I671" s="468"/>
      <c r="J671" s="469"/>
      <c r="L671" s="476"/>
      <c r="M671" s="476"/>
      <c r="N671" s="476"/>
      <c r="O671" s="476"/>
      <c r="P671" s="476"/>
      <c r="Q671" s="476"/>
      <c r="R671" s="476"/>
      <c r="S671" s="476"/>
      <c r="T671" s="476"/>
      <c r="U671" s="476"/>
      <c r="V671" s="476"/>
      <c r="W671" s="476"/>
      <c r="X671" s="476"/>
      <c r="Y671" s="476"/>
      <c r="Z671" s="476"/>
      <c r="AA671" s="476"/>
      <c r="AB671" s="476"/>
      <c r="AC671" s="476"/>
      <c r="AD671" s="476"/>
      <c r="AE671" s="476"/>
      <c r="AF671" s="476"/>
      <c r="AG671" s="476"/>
      <c r="AH671" s="476"/>
      <c r="AI671" s="476"/>
      <c r="AJ671" s="476"/>
      <c r="AK671" s="476"/>
      <c r="AL671" s="476"/>
      <c r="AM671" s="476"/>
      <c r="AN671" s="476"/>
      <c r="AO671" s="476"/>
      <c r="AP671" s="476"/>
      <c r="AQ671" s="476"/>
      <c r="AR671" s="476"/>
      <c r="AS671" s="476"/>
      <c r="AT671" s="476"/>
      <c r="AU671" s="476"/>
    </row>
    <row r="672" spans="1:47" s="398" customFormat="1" ht="13.15" customHeight="1" x14ac:dyDescent="0.2">
      <c r="A672" s="476"/>
      <c r="D672" s="467"/>
      <c r="F672" s="468"/>
      <c r="G672" s="468"/>
      <c r="H672" s="468"/>
      <c r="I672" s="468"/>
      <c r="J672" s="469"/>
      <c r="L672" s="476"/>
      <c r="M672" s="476"/>
      <c r="N672" s="476"/>
      <c r="O672" s="476"/>
      <c r="P672" s="476"/>
      <c r="Q672" s="476"/>
      <c r="R672" s="476"/>
      <c r="S672" s="476"/>
      <c r="T672" s="476"/>
      <c r="U672" s="476"/>
      <c r="V672" s="476"/>
      <c r="W672" s="476"/>
      <c r="X672" s="476"/>
      <c r="Y672" s="476"/>
      <c r="Z672" s="476"/>
      <c r="AA672" s="476"/>
      <c r="AB672" s="476"/>
      <c r="AC672" s="476"/>
      <c r="AD672" s="476"/>
      <c r="AE672" s="476"/>
      <c r="AF672" s="476"/>
      <c r="AG672" s="476"/>
      <c r="AH672" s="476"/>
      <c r="AI672" s="476"/>
      <c r="AJ672" s="476"/>
      <c r="AK672" s="476"/>
      <c r="AL672" s="476"/>
      <c r="AM672" s="476"/>
      <c r="AN672" s="476"/>
      <c r="AO672" s="476"/>
      <c r="AP672" s="476"/>
      <c r="AQ672" s="476"/>
      <c r="AR672" s="476"/>
      <c r="AS672" s="476"/>
      <c r="AT672" s="476"/>
      <c r="AU672" s="476"/>
    </row>
    <row r="673" spans="1:47" s="398" customFormat="1" ht="13.15" customHeight="1" x14ac:dyDescent="0.2">
      <c r="A673" s="476"/>
      <c r="D673" s="467"/>
      <c r="F673" s="468"/>
      <c r="G673" s="468"/>
      <c r="H673" s="468"/>
      <c r="I673" s="468"/>
      <c r="J673" s="469"/>
      <c r="L673" s="476"/>
      <c r="M673" s="476"/>
      <c r="N673" s="476"/>
      <c r="O673" s="476"/>
      <c r="P673" s="476"/>
      <c r="Q673" s="476"/>
      <c r="R673" s="476"/>
      <c r="S673" s="476"/>
      <c r="T673" s="476"/>
      <c r="U673" s="476"/>
      <c r="V673" s="476"/>
      <c r="W673" s="476"/>
      <c r="X673" s="476"/>
      <c r="Y673" s="476"/>
      <c r="Z673" s="476"/>
      <c r="AA673" s="476"/>
      <c r="AB673" s="476"/>
      <c r="AC673" s="476"/>
      <c r="AD673" s="476"/>
      <c r="AE673" s="476"/>
      <c r="AF673" s="476"/>
      <c r="AG673" s="476"/>
      <c r="AH673" s="476"/>
      <c r="AI673" s="476"/>
      <c r="AJ673" s="476"/>
      <c r="AK673" s="476"/>
      <c r="AL673" s="476"/>
      <c r="AM673" s="476"/>
      <c r="AN673" s="476"/>
      <c r="AO673" s="476"/>
      <c r="AP673" s="476"/>
      <c r="AQ673" s="476"/>
      <c r="AR673" s="476"/>
      <c r="AS673" s="476"/>
      <c r="AT673" s="476"/>
      <c r="AU673" s="476"/>
    </row>
    <row r="674" spans="1:47" s="398" customFormat="1" ht="13.15" customHeight="1" x14ac:dyDescent="0.2">
      <c r="A674" s="476"/>
      <c r="D674" s="467"/>
      <c r="F674" s="468"/>
      <c r="G674" s="468"/>
      <c r="H674" s="468"/>
      <c r="I674" s="468"/>
      <c r="J674" s="469"/>
      <c r="L674" s="476"/>
      <c r="M674" s="476"/>
      <c r="N674" s="476"/>
      <c r="O674" s="476"/>
      <c r="P674" s="476"/>
      <c r="Q674" s="476"/>
      <c r="R674" s="476"/>
      <c r="S674" s="476"/>
      <c r="T674" s="476"/>
      <c r="U674" s="476"/>
      <c r="V674" s="476"/>
      <c r="W674" s="476"/>
      <c r="X674" s="476"/>
      <c r="Y674" s="476"/>
      <c r="Z674" s="476"/>
      <c r="AA674" s="476"/>
      <c r="AB674" s="476"/>
      <c r="AC674" s="476"/>
      <c r="AD674" s="476"/>
      <c r="AE674" s="476"/>
      <c r="AF674" s="476"/>
      <c r="AG674" s="476"/>
      <c r="AH674" s="476"/>
      <c r="AI674" s="476"/>
      <c r="AJ674" s="476"/>
      <c r="AK674" s="476"/>
      <c r="AL674" s="476"/>
      <c r="AM674" s="476"/>
      <c r="AN674" s="476"/>
      <c r="AO674" s="476"/>
      <c r="AP674" s="476"/>
      <c r="AQ674" s="476"/>
      <c r="AR674" s="476"/>
      <c r="AS674" s="476"/>
      <c r="AT674" s="476"/>
      <c r="AU674" s="476"/>
    </row>
    <row r="675" spans="1:47" s="398" customFormat="1" ht="13.15" customHeight="1" x14ac:dyDescent="0.2">
      <c r="A675" s="476"/>
      <c r="D675" s="467"/>
      <c r="F675" s="468"/>
      <c r="G675" s="468"/>
      <c r="H675" s="468"/>
      <c r="I675" s="468"/>
      <c r="J675" s="469"/>
      <c r="L675" s="476"/>
      <c r="M675" s="476"/>
      <c r="N675" s="476"/>
      <c r="O675" s="476"/>
      <c r="P675" s="476"/>
      <c r="Q675" s="476"/>
      <c r="R675" s="476"/>
      <c r="S675" s="476"/>
      <c r="T675" s="476"/>
      <c r="U675" s="476"/>
      <c r="V675" s="476"/>
      <c r="W675" s="476"/>
      <c r="X675" s="476"/>
      <c r="Y675" s="476"/>
      <c r="Z675" s="476"/>
      <c r="AA675" s="476"/>
      <c r="AB675" s="476"/>
      <c r="AC675" s="476"/>
      <c r="AD675" s="476"/>
      <c r="AE675" s="476"/>
      <c r="AF675" s="476"/>
      <c r="AG675" s="476"/>
      <c r="AH675" s="476"/>
      <c r="AI675" s="476"/>
      <c r="AJ675" s="476"/>
      <c r="AK675" s="476"/>
      <c r="AL675" s="476"/>
      <c r="AM675" s="476"/>
      <c r="AN675" s="476"/>
      <c r="AO675" s="476"/>
      <c r="AP675" s="476"/>
      <c r="AQ675" s="476"/>
      <c r="AR675" s="476"/>
      <c r="AS675" s="476"/>
      <c r="AT675" s="476"/>
      <c r="AU675" s="476"/>
    </row>
    <row r="676" spans="1:47" s="398" customFormat="1" ht="13.15" customHeight="1" x14ac:dyDescent="0.2">
      <c r="A676" s="476"/>
      <c r="D676" s="467"/>
      <c r="F676" s="468"/>
      <c r="G676" s="468"/>
      <c r="H676" s="468"/>
      <c r="I676" s="468"/>
      <c r="J676" s="469"/>
      <c r="L676" s="476"/>
      <c r="M676" s="476"/>
      <c r="N676" s="476"/>
      <c r="O676" s="476"/>
      <c r="P676" s="476"/>
      <c r="Q676" s="476"/>
      <c r="R676" s="476"/>
      <c r="S676" s="476"/>
      <c r="T676" s="476"/>
      <c r="U676" s="476"/>
      <c r="V676" s="476"/>
      <c r="W676" s="476"/>
      <c r="X676" s="476"/>
      <c r="Y676" s="476"/>
      <c r="Z676" s="476"/>
      <c r="AA676" s="476"/>
      <c r="AB676" s="476"/>
      <c r="AC676" s="476"/>
      <c r="AD676" s="476"/>
      <c r="AE676" s="476"/>
      <c r="AF676" s="476"/>
      <c r="AG676" s="476"/>
      <c r="AH676" s="476"/>
      <c r="AI676" s="476"/>
      <c r="AJ676" s="476"/>
      <c r="AK676" s="476"/>
      <c r="AL676" s="476"/>
      <c r="AM676" s="476"/>
      <c r="AN676" s="476"/>
      <c r="AO676" s="476"/>
      <c r="AP676" s="476"/>
      <c r="AQ676" s="476"/>
      <c r="AR676" s="476"/>
      <c r="AS676" s="476"/>
      <c r="AT676" s="476"/>
      <c r="AU676" s="476"/>
    </row>
    <row r="677" spans="1:47" s="398" customFormat="1" ht="13.15" customHeight="1" x14ac:dyDescent="0.2">
      <c r="A677" s="476"/>
      <c r="D677" s="467"/>
      <c r="F677" s="468"/>
      <c r="G677" s="468"/>
      <c r="H677" s="468"/>
      <c r="I677" s="468"/>
      <c r="J677" s="469"/>
      <c r="L677" s="476"/>
      <c r="M677" s="476"/>
      <c r="N677" s="476"/>
      <c r="O677" s="476"/>
      <c r="P677" s="476"/>
      <c r="Q677" s="476"/>
      <c r="R677" s="476"/>
      <c r="S677" s="476"/>
      <c r="T677" s="476"/>
      <c r="U677" s="476"/>
      <c r="V677" s="476"/>
      <c r="W677" s="476"/>
      <c r="X677" s="476"/>
      <c r="Y677" s="476"/>
      <c r="Z677" s="476"/>
      <c r="AA677" s="476"/>
      <c r="AB677" s="476"/>
      <c r="AC677" s="476"/>
      <c r="AD677" s="476"/>
      <c r="AE677" s="476"/>
      <c r="AF677" s="476"/>
      <c r="AG677" s="476"/>
      <c r="AH677" s="476"/>
      <c r="AI677" s="476"/>
      <c r="AJ677" s="476"/>
      <c r="AK677" s="476"/>
      <c r="AL677" s="476"/>
      <c r="AM677" s="476"/>
      <c r="AN677" s="476"/>
      <c r="AO677" s="476"/>
      <c r="AP677" s="476"/>
      <c r="AQ677" s="476"/>
      <c r="AR677" s="476"/>
      <c r="AS677" s="476"/>
      <c r="AT677" s="476"/>
      <c r="AU677" s="476"/>
    </row>
    <row r="678" spans="1:47" s="398" customFormat="1" ht="13.15" customHeight="1" x14ac:dyDescent="0.2">
      <c r="A678" s="476"/>
      <c r="D678" s="467"/>
      <c r="F678" s="468"/>
      <c r="G678" s="468"/>
      <c r="H678" s="468"/>
      <c r="I678" s="468"/>
      <c r="J678" s="469"/>
      <c r="L678" s="476"/>
      <c r="M678" s="476"/>
      <c r="N678" s="476"/>
      <c r="O678" s="476"/>
      <c r="P678" s="476"/>
      <c r="Q678" s="476"/>
      <c r="R678" s="476"/>
      <c r="S678" s="476"/>
      <c r="T678" s="476"/>
      <c r="U678" s="476"/>
      <c r="V678" s="476"/>
      <c r="W678" s="476"/>
      <c r="X678" s="476"/>
      <c r="Y678" s="476"/>
      <c r="Z678" s="476"/>
      <c r="AA678" s="476"/>
      <c r="AB678" s="476"/>
      <c r="AC678" s="476"/>
      <c r="AD678" s="476"/>
      <c r="AE678" s="476"/>
      <c r="AF678" s="476"/>
      <c r="AG678" s="476"/>
      <c r="AH678" s="476"/>
      <c r="AI678" s="476"/>
      <c r="AJ678" s="476"/>
      <c r="AK678" s="476"/>
      <c r="AL678" s="476"/>
      <c r="AM678" s="476"/>
      <c r="AN678" s="476"/>
      <c r="AO678" s="476"/>
      <c r="AP678" s="476"/>
      <c r="AQ678" s="476"/>
      <c r="AR678" s="476"/>
      <c r="AS678" s="476"/>
      <c r="AT678" s="476"/>
      <c r="AU678" s="476"/>
    </row>
    <row r="679" spans="1:47" s="398" customFormat="1" ht="13.15" customHeight="1" x14ac:dyDescent="0.2">
      <c r="A679" s="476"/>
      <c r="D679" s="467"/>
      <c r="F679" s="468"/>
      <c r="G679" s="468"/>
      <c r="H679" s="468"/>
      <c r="I679" s="468"/>
      <c r="J679" s="469"/>
      <c r="L679" s="476"/>
      <c r="M679" s="476"/>
      <c r="N679" s="476"/>
      <c r="O679" s="476"/>
      <c r="P679" s="476"/>
      <c r="Q679" s="476"/>
      <c r="R679" s="476"/>
      <c r="S679" s="476"/>
      <c r="T679" s="476"/>
      <c r="U679" s="476"/>
      <c r="V679" s="476"/>
      <c r="W679" s="476"/>
      <c r="X679" s="476"/>
      <c r="Y679" s="476"/>
      <c r="Z679" s="476"/>
      <c r="AA679" s="476"/>
      <c r="AB679" s="476"/>
      <c r="AC679" s="476"/>
      <c r="AD679" s="476"/>
      <c r="AE679" s="476"/>
      <c r="AF679" s="476"/>
      <c r="AG679" s="476"/>
      <c r="AH679" s="476"/>
      <c r="AI679" s="476"/>
      <c r="AJ679" s="476"/>
      <c r="AK679" s="476"/>
      <c r="AL679" s="476"/>
      <c r="AM679" s="476"/>
      <c r="AN679" s="476"/>
      <c r="AO679" s="476"/>
      <c r="AP679" s="476"/>
      <c r="AQ679" s="476"/>
      <c r="AR679" s="476"/>
      <c r="AS679" s="476"/>
      <c r="AT679" s="476"/>
      <c r="AU679" s="476"/>
    </row>
    <row r="680" spans="1:47" s="398" customFormat="1" ht="13.15" customHeight="1" x14ac:dyDescent="0.2">
      <c r="A680" s="476"/>
      <c r="D680" s="467"/>
      <c r="F680" s="468"/>
      <c r="G680" s="468"/>
      <c r="H680" s="468"/>
      <c r="I680" s="468"/>
      <c r="J680" s="469"/>
      <c r="L680" s="476"/>
      <c r="M680" s="476"/>
      <c r="N680" s="476"/>
      <c r="O680" s="476"/>
      <c r="P680" s="476"/>
      <c r="Q680" s="476"/>
      <c r="R680" s="476"/>
      <c r="S680" s="476"/>
      <c r="T680" s="476"/>
      <c r="U680" s="476"/>
      <c r="V680" s="476"/>
      <c r="W680" s="476"/>
      <c r="X680" s="476"/>
      <c r="Y680" s="476"/>
      <c r="Z680" s="476"/>
      <c r="AA680" s="476"/>
      <c r="AB680" s="476"/>
      <c r="AC680" s="476"/>
      <c r="AD680" s="476"/>
      <c r="AE680" s="476"/>
      <c r="AF680" s="476"/>
      <c r="AG680" s="476"/>
      <c r="AH680" s="476"/>
      <c r="AI680" s="476"/>
      <c r="AJ680" s="476"/>
      <c r="AK680" s="476"/>
      <c r="AL680" s="476"/>
      <c r="AM680" s="476"/>
      <c r="AN680" s="476"/>
      <c r="AO680" s="476"/>
      <c r="AP680" s="476"/>
      <c r="AQ680" s="476"/>
      <c r="AR680" s="476"/>
      <c r="AS680" s="476"/>
      <c r="AT680" s="476"/>
      <c r="AU680" s="476"/>
    </row>
    <row r="681" spans="1:47" s="398" customFormat="1" ht="13.15" customHeight="1" x14ac:dyDescent="0.2">
      <c r="A681" s="476"/>
      <c r="D681" s="467"/>
      <c r="F681" s="468"/>
      <c r="G681" s="468"/>
      <c r="H681" s="468"/>
      <c r="I681" s="468"/>
      <c r="J681" s="469"/>
      <c r="L681" s="476"/>
      <c r="M681" s="476"/>
      <c r="N681" s="476"/>
      <c r="O681" s="476"/>
      <c r="P681" s="476"/>
      <c r="Q681" s="476"/>
      <c r="R681" s="476"/>
      <c r="S681" s="476"/>
      <c r="T681" s="476"/>
      <c r="U681" s="476"/>
      <c r="V681" s="476"/>
      <c r="W681" s="476"/>
      <c r="X681" s="476"/>
      <c r="Y681" s="476"/>
      <c r="Z681" s="476"/>
      <c r="AA681" s="476"/>
      <c r="AB681" s="476"/>
      <c r="AC681" s="476"/>
      <c r="AD681" s="476"/>
      <c r="AE681" s="476"/>
      <c r="AF681" s="476"/>
      <c r="AG681" s="476"/>
      <c r="AH681" s="476"/>
      <c r="AI681" s="476"/>
      <c r="AJ681" s="476"/>
      <c r="AK681" s="476"/>
      <c r="AL681" s="476"/>
      <c r="AM681" s="476"/>
      <c r="AN681" s="476"/>
      <c r="AO681" s="476"/>
      <c r="AP681" s="476"/>
      <c r="AQ681" s="476"/>
      <c r="AR681" s="476"/>
      <c r="AS681" s="476"/>
      <c r="AT681" s="476"/>
      <c r="AU681" s="476"/>
    </row>
    <row r="682" spans="1:47" s="398" customFormat="1" ht="13.15" customHeight="1" x14ac:dyDescent="0.2">
      <c r="A682" s="476"/>
      <c r="D682" s="467"/>
      <c r="F682" s="468"/>
      <c r="G682" s="468"/>
      <c r="H682" s="468"/>
      <c r="I682" s="468"/>
      <c r="J682" s="469"/>
      <c r="L682" s="476"/>
      <c r="M682" s="476"/>
      <c r="N682" s="476"/>
      <c r="O682" s="476"/>
      <c r="P682" s="476"/>
      <c r="Q682" s="476"/>
      <c r="R682" s="476"/>
      <c r="S682" s="476"/>
      <c r="T682" s="476"/>
      <c r="U682" s="476"/>
      <c r="V682" s="476"/>
      <c r="W682" s="476"/>
      <c r="X682" s="476"/>
      <c r="Y682" s="476"/>
      <c r="Z682" s="476"/>
      <c r="AA682" s="476"/>
      <c r="AB682" s="476"/>
      <c r="AC682" s="476"/>
      <c r="AD682" s="476"/>
      <c r="AE682" s="476"/>
      <c r="AF682" s="476"/>
      <c r="AG682" s="476"/>
      <c r="AH682" s="476"/>
      <c r="AI682" s="476"/>
      <c r="AJ682" s="476"/>
      <c r="AK682" s="476"/>
      <c r="AL682" s="476"/>
      <c r="AM682" s="476"/>
      <c r="AN682" s="476"/>
      <c r="AO682" s="476"/>
      <c r="AP682" s="476"/>
      <c r="AQ682" s="476"/>
      <c r="AR682" s="476"/>
      <c r="AS682" s="476"/>
      <c r="AT682" s="476"/>
      <c r="AU682" s="476"/>
    </row>
    <row r="683" spans="1:47" s="398" customFormat="1" ht="13.15" customHeight="1" x14ac:dyDescent="0.2">
      <c r="A683" s="476"/>
      <c r="D683" s="467"/>
      <c r="F683" s="468"/>
      <c r="G683" s="468"/>
      <c r="H683" s="468"/>
      <c r="I683" s="468"/>
      <c r="J683" s="469"/>
      <c r="L683" s="476"/>
      <c r="M683" s="476"/>
      <c r="N683" s="476"/>
      <c r="O683" s="476"/>
      <c r="P683" s="476"/>
      <c r="Q683" s="476"/>
      <c r="R683" s="476"/>
      <c r="S683" s="476"/>
      <c r="T683" s="476"/>
      <c r="U683" s="476"/>
      <c r="V683" s="476"/>
      <c r="W683" s="476"/>
      <c r="X683" s="476"/>
      <c r="Y683" s="476"/>
      <c r="Z683" s="476"/>
      <c r="AA683" s="476"/>
      <c r="AB683" s="476"/>
      <c r="AC683" s="476"/>
      <c r="AD683" s="476"/>
      <c r="AE683" s="476"/>
      <c r="AF683" s="476"/>
      <c r="AG683" s="476"/>
      <c r="AH683" s="476"/>
      <c r="AI683" s="476"/>
      <c r="AJ683" s="476"/>
      <c r="AK683" s="476"/>
      <c r="AL683" s="476"/>
      <c r="AM683" s="476"/>
      <c r="AN683" s="476"/>
      <c r="AO683" s="476"/>
      <c r="AP683" s="476"/>
      <c r="AQ683" s="476"/>
      <c r="AR683" s="476"/>
      <c r="AS683" s="476"/>
      <c r="AT683" s="476"/>
      <c r="AU683" s="476"/>
    </row>
    <row r="684" spans="1:47" s="398" customFormat="1" ht="13.15" customHeight="1" x14ac:dyDescent="0.2">
      <c r="A684" s="476"/>
      <c r="D684" s="467"/>
      <c r="F684" s="468"/>
      <c r="G684" s="468"/>
      <c r="H684" s="468"/>
      <c r="I684" s="468"/>
      <c r="J684" s="469"/>
      <c r="L684" s="476"/>
      <c r="M684" s="476"/>
      <c r="N684" s="476"/>
      <c r="O684" s="476"/>
      <c r="P684" s="476"/>
      <c r="Q684" s="476"/>
      <c r="R684" s="476"/>
      <c r="S684" s="476"/>
      <c r="T684" s="476"/>
      <c r="U684" s="476"/>
      <c r="V684" s="476"/>
      <c r="W684" s="476"/>
      <c r="X684" s="476"/>
      <c r="Y684" s="476"/>
      <c r="Z684" s="476"/>
      <c r="AA684" s="476"/>
      <c r="AB684" s="476"/>
      <c r="AC684" s="476"/>
      <c r="AD684" s="476"/>
      <c r="AE684" s="476"/>
      <c r="AF684" s="476"/>
      <c r="AG684" s="476"/>
      <c r="AH684" s="476"/>
      <c r="AI684" s="476"/>
      <c r="AJ684" s="476"/>
      <c r="AK684" s="476"/>
      <c r="AL684" s="476"/>
      <c r="AM684" s="476"/>
      <c r="AN684" s="476"/>
      <c r="AO684" s="476"/>
      <c r="AP684" s="476"/>
      <c r="AQ684" s="476"/>
      <c r="AR684" s="476"/>
      <c r="AS684" s="476"/>
      <c r="AT684" s="476"/>
      <c r="AU684" s="476"/>
    </row>
    <row r="685" spans="1:47" s="398" customFormat="1" ht="13.15" customHeight="1" x14ac:dyDescent="0.2">
      <c r="A685" s="476"/>
      <c r="D685" s="467"/>
      <c r="F685" s="468"/>
      <c r="G685" s="468"/>
      <c r="H685" s="468"/>
      <c r="I685" s="468"/>
      <c r="J685" s="469"/>
      <c r="L685" s="476"/>
      <c r="M685" s="476"/>
      <c r="N685" s="476"/>
      <c r="O685" s="476"/>
      <c r="P685" s="476"/>
      <c r="Q685" s="476"/>
      <c r="R685" s="476"/>
      <c r="S685" s="476"/>
      <c r="T685" s="476"/>
      <c r="U685" s="476"/>
      <c r="V685" s="476"/>
      <c r="W685" s="476"/>
      <c r="X685" s="476"/>
      <c r="Y685" s="476"/>
      <c r="Z685" s="476"/>
      <c r="AA685" s="476"/>
      <c r="AB685" s="476"/>
      <c r="AC685" s="476"/>
      <c r="AD685" s="476"/>
      <c r="AE685" s="476"/>
      <c r="AF685" s="476"/>
      <c r="AG685" s="476"/>
      <c r="AH685" s="476"/>
      <c r="AI685" s="476"/>
      <c r="AJ685" s="476"/>
      <c r="AK685" s="476"/>
      <c r="AL685" s="476"/>
      <c r="AM685" s="476"/>
      <c r="AN685" s="476"/>
      <c r="AO685" s="476"/>
      <c r="AP685" s="476"/>
      <c r="AQ685" s="476"/>
      <c r="AR685" s="476"/>
      <c r="AS685" s="476"/>
      <c r="AT685" s="476"/>
      <c r="AU685" s="476"/>
    </row>
    <row r="686" spans="1:47" s="398" customFormat="1" ht="13.15" customHeight="1" x14ac:dyDescent="0.2">
      <c r="A686" s="476"/>
      <c r="D686" s="467"/>
      <c r="F686" s="468"/>
      <c r="G686" s="468"/>
      <c r="H686" s="468"/>
      <c r="I686" s="468"/>
      <c r="J686" s="469"/>
      <c r="L686" s="476"/>
      <c r="M686" s="476"/>
      <c r="N686" s="476"/>
      <c r="O686" s="476"/>
      <c r="P686" s="476"/>
      <c r="Q686" s="476"/>
      <c r="R686" s="476"/>
      <c r="S686" s="476"/>
      <c r="T686" s="476"/>
      <c r="U686" s="476"/>
      <c r="V686" s="476"/>
      <c r="W686" s="476"/>
      <c r="X686" s="476"/>
      <c r="Y686" s="476"/>
      <c r="Z686" s="476"/>
      <c r="AA686" s="476"/>
      <c r="AB686" s="476"/>
      <c r="AC686" s="476"/>
      <c r="AD686" s="476"/>
      <c r="AE686" s="476"/>
      <c r="AF686" s="476"/>
      <c r="AG686" s="476"/>
      <c r="AH686" s="476"/>
      <c r="AI686" s="476"/>
      <c r="AJ686" s="476"/>
      <c r="AK686" s="476"/>
      <c r="AL686" s="476"/>
      <c r="AM686" s="476"/>
      <c r="AN686" s="476"/>
      <c r="AO686" s="476"/>
      <c r="AP686" s="476"/>
      <c r="AQ686" s="476"/>
      <c r="AR686" s="476"/>
      <c r="AS686" s="476"/>
      <c r="AT686" s="476"/>
      <c r="AU686" s="476"/>
    </row>
    <row r="687" spans="1:47" s="398" customFormat="1" ht="13.15" customHeight="1" x14ac:dyDescent="0.2">
      <c r="A687" s="476"/>
      <c r="D687" s="467"/>
      <c r="F687" s="468"/>
      <c r="G687" s="468"/>
      <c r="H687" s="468"/>
      <c r="I687" s="468"/>
      <c r="J687" s="469"/>
      <c r="L687" s="476"/>
      <c r="M687" s="476"/>
      <c r="N687" s="476"/>
      <c r="O687" s="476"/>
      <c r="P687" s="476"/>
      <c r="Q687" s="476"/>
      <c r="R687" s="476"/>
      <c r="S687" s="476"/>
      <c r="T687" s="476"/>
      <c r="U687" s="476"/>
      <c r="V687" s="476"/>
      <c r="W687" s="476"/>
      <c r="X687" s="476"/>
      <c r="Y687" s="476"/>
      <c r="Z687" s="476"/>
      <c r="AA687" s="476"/>
      <c r="AB687" s="476"/>
      <c r="AC687" s="476"/>
      <c r="AD687" s="476"/>
      <c r="AE687" s="476"/>
      <c r="AF687" s="476"/>
      <c r="AG687" s="476"/>
      <c r="AH687" s="476"/>
      <c r="AI687" s="476"/>
      <c r="AJ687" s="476"/>
      <c r="AK687" s="476"/>
      <c r="AL687" s="476"/>
      <c r="AM687" s="476"/>
      <c r="AN687" s="476"/>
      <c r="AO687" s="476"/>
      <c r="AP687" s="476"/>
      <c r="AQ687" s="476"/>
      <c r="AR687" s="476"/>
      <c r="AS687" s="476"/>
      <c r="AT687" s="476"/>
      <c r="AU687" s="476"/>
    </row>
    <row r="688" spans="1:47" s="398" customFormat="1" ht="13.15" customHeight="1" x14ac:dyDescent="0.2">
      <c r="A688" s="476"/>
      <c r="D688" s="467"/>
      <c r="F688" s="468"/>
      <c r="G688" s="468"/>
      <c r="H688" s="468"/>
      <c r="I688" s="468"/>
      <c r="J688" s="469"/>
      <c r="L688" s="476"/>
      <c r="M688" s="476"/>
      <c r="N688" s="476"/>
      <c r="O688" s="476"/>
      <c r="P688" s="476"/>
      <c r="Q688" s="476"/>
      <c r="R688" s="476"/>
      <c r="S688" s="476"/>
      <c r="T688" s="476"/>
      <c r="U688" s="476"/>
      <c r="V688" s="476"/>
      <c r="W688" s="476"/>
      <c r="X688" s="476"/>
      <c r="Y688" s="476"/>
      <c r="Z688" s="476"/>
      <c r="AA688" s="476"/>
      <c r="AB688" s="476"/>
      <c r="AC688" s="476"/>
      <c r="AD688" s="476"/>
      <c r="AE688" s="476"/>
      <c r="AF688" s="476"/>
      <c r="AG688" s="476"/>
      <c r="AH688" s="476"/>
      <c r="AI688" s="476"/>
      <c r="AJ688" s="476"/>
      <c r="AK688" s="476"/>
      <c r="AL688" s="476"/>
      <c r="AM688" s="476"/>
      <c r="AN688" s="476"/>
      <c r="AO688" s="476"/>
      <c r="AP688" s="476"/>
      <c r="AQ688" s="476"/>
      <c r="AR688" s="476"/>
      <c r="AS688" s="476"/>
      <c r="AT688" s="476"/>
      <c r="AU688" s="476"/>
    </row>
    <row r="689" spans="1:47" s="398" customFormat="1" ht="13.15" customHeight="1" x14ac:dyDescent="0.2">
      <c r="A689" s="476"/>
      <c r="D689" s="467"/>
      <c r="F689" s="468"/>
      <c r="G689" s="468"/>
      <c r="H689" s="468"/>
      <c r="I689" s="468"/>
      <c r="J689" s="469"/>
      <c r="L689" s="476"/>
      <c r="M689" s="476"/>
      <c r="N689" s="476"/>
      <c r="O689" s="476"/>
      <c r="P689" s="476"/>
      <c r="Q689" s="476"/>
      <c r="R689" s="476"/>
      <c r="S689" s="476"/>
      <c r="T689" s="476"/>
      <c r="U689" s="476"/>
      <c r="V689" s="476"/>
      <c r="W689" s="476"/>
      <c r="X689" s="476"/>
      <c r="Y689" s="476"/>
      <c r="Z689" s="476"/>
      <c r="AA689" s="476"/>
      <c r="AB689" s="476"/>
      <c r="AC689" s="476"/>
      <c r="AD689" s="476"/>
      <c r="AE689" s="476"/>
      <c r="AF689" s="476"/>
      <c r="AG689" s="476"/>
      <c r="AH689" s="476"/>
      <c r="AI689" s="476"/>
      <c r="AJ689" s="476"/>
      <c r="AK689" s="476"/>
      <c r="AL689" s="476"/>
      <c r="AM689" s="476"/>
      <c r="AN689" s="476"/>
      <c r="AO689" s="476"/>
      <c r="AP689" s="476"/>
      <c r="AQ689" s="476"/>
      <c r="AR689" s="476"/>
      <c r="AS689" s="476"/>
      <c r="AT689" s="476"/>
      <c r="AU689" s="476"/>
    </row>
    <row r="690" spans="1:47" s="398" customFormat="1" ht="13.15" customHeight="1" x14ac:dyDescent="0.2">
      <c r="A690" s="476"/>
      <c r="D690" s="467"/>
      <c r="F690" s="468"/>
      <c r="G690" s="468"/>
      <c r="H690" s="468"/>
      <c r="I690" s="468"/>
      <c r="J690" s="469"/>
      <c r="L690" s="476"/>
      <c r="M690" s="476"/>
      <c r="N690" s="476"/>
      <c r="O690" s="476"/>
      <c r="P690" s="476"/>
      <c r="Q690" s="476"/>
      <c r="R690" s="476"/>
      <c r="S690" s="476"/>
      <c r="T690" s="476"/>
      <c r="U690" s="476"/>
      <c r="V690" s="476"/>
      <c r="W690" s="476"/>
      <c r="X690" s="476"/>
      <c r="Y690" s="476"/>
      <c r="Z690" s="476"/>
      <c r="AA690" s="476"/>
      <c r="AB690" s="476"/>
      <c r="AC690" s="476"/>
      <c r="AD690" s="476"/>
      <c r="AE690" s="476"/>
      <c r="AF690" s="476"/>
      <c r="AG690" s="476"/>
      <c r="AH690" s="476"/>
      <c r="AI690" s="476"/>
      <c r="AJ690" s="476"/>
      <c r="AK690" s="476"/>
      <c r="AL690" s="476"/>
      <c r="AM690" s="476"/>
      <c r="AN690" s="476"/>
      <c r="AO690" s="476"/>
      <c r="AP690" s="476"/>
      <c r="AQ690" s="476"/>
      <c r="AR690" s="476"/>
      <c r="AS690" s="476"/>
      <c r="AT690" s="476"/>
      <c r="AU690" s="476"/>
    </row>
    <row r="691" spans="1:47" s="398" customFormat="1" ht="13.15" customHeight="1" x14ac:dyDescent="0.2">
      <c r="A691" s="476"/>
      <c r="D691" s="467"/>
      <c r="F691" s="468"/>
      <c r="G691" s="468"/>
      <c r="H691" s="468"/>
      <c r="I691" s="468"/>
      <c r="J691" s="469"/>
      <c r="L691" s="476"/>
      <c r="M691" s="476"/>
      <c r="N691" s="476"/>
      <c r="O691" s="476"/>
      <c r="P691" s="476"/>
      <c r="Q691" s="476"/>
      <c r="R691" s="476"/>
      <c r="S691" s="476"/>
      <c r="T691" s="476"/>
      <c r="U691" s="476"/>
      <c r="V691" s="476"/>
      <c r="W691" s="476"/>
      <c r="X691" s="476"/>
      <c r="Y691" s="476"/>
      <c r="Z691" s="476"/>
      <c r="AA691" s="476"/>
      <c r="AB691" s="476"/>
      <c r="AC691" s="476"/>
      <c r="AD691" s="476"/>
      <c r="AE691" s="476"/>
      <c r="AF691" s="476"/>
      <c r="AG691" s="476"/>
      <c r="AH691" s="476"/>
      <c r="AI691" s="476"/>
      <c r="AJ691" s="476"/>
      <c r="AK691" s="476"/>
      <c r="AL691" s="476"/>
      <c r="AM691" s="476"/>
      <c r="AN691" s="476"/>
      <c r="AO691" s="476"/>
      <c r="AP691" s="476"/>
      <c r="AQ691" s="476"/>
      <c r="AR691" s="476"/>
      <c r="AS691" s="476"/>
      <c r="AT691" s="476"/>
      <c r="AU691" s="476"/>
    </row>
    <row r="692" spans="1:47" s="398" customFormat="1" ht="13.15" customHeight="1" x14ac:dyDescent="0.2">
      <c r="A692" s="476"/>
      <c r="D692" s="467"/>
      <c r="F692" s="468"/>
      <c r="G692" s="468"/>
      <c r="H692" s="468"/>
      <c r="I692" s="468"/>
      <c r="J692" s="469"/>
      <c r="L692" s="476"/>
      <c r="M692" s="476"/>
      <c r="N692" s="476"/>
      <c r="O692" s="476"/>
      <c r="P692" s="476"/>
      <c r="Q692" s="476"/>
      <c r="R692" s="476"/>
      <c r="S692" s="476"/>
      <c r="T692" s="476"/>
      <c r="U692" s="476"/>
      <c r="V692" s="476"/>
      <c r="W692" s="476"/>
      <c r="X692" s="476"/>
      <c r="Y692" s="476"/>
      <c r="Z692" s="476"/>
      <c r="AA692" s="476"/>
      <c r="AB692" s="476"/>
      <c r="AC692" s="476"/>
      <c r="AD692" s="476"/>
      <c r="AE692" s="476"/>
      <c r="AF692" s="476"/>
      <c r="AG692" s="476"/>
      <c r="AH692" s="476"/>
      <c r="AI692" s="476"/>
      <c r="AJ692" s="476"/>
      <c r="AK692" s="476"/>
      <c r="AL692" s="476"/>
      <c r="AM692" s="476"/>
      <c r="AN692" s="476"/>
      <c r="AO692" s="476"/>
      <c r="AP692" s="476"/>
      <c r="AQ692" s="476"/>
      <c r="AR692" s="476"/>
      <c r="AS692" s="476"/>
      <c r="AT692" s="476"/>
      <c r="AU692" s="476"/>
    </row>
    <row r="693" spans="1:47" s="398" customFormat="1" ht="13.15" customHeight="1" x14ac:dyDescent="0.2">
      <c r="A693" s="476"/>
      <c r="D693" s="467"/>
      <c r="F693" s="468"/>
      <c r="G693" s="468"/>
      <c r="H693" s="468"/>
      <c r="I693" s="468"/>
      <c r="J693" s="469"/>
      <c r="L693" s="476"/>
      <c r="M693" s="476"/>
      <c r="N693" s="476"/>
      <c r="O693" s="476"/>
      <c r="P693" s="476"/>
      <c r="Q693" s="476"/>
      <c r="R693" s="476"/>
      <c r="S693" s="476"/>
      <c r="T693" s="476"/>
      <c r="U693" s="476"/>
      <c r="V693" s="476"/>
      <c r="W693" s="476"/>
      <c r="X693" s="476"/>
      <c r="Y693" s="476"/>
      <c r="Z693" s="476"/>
      <c r="AA693" s="476"/>
      <c r="AB693" s="476"/>
      <c r="AC693" s="476"/>
      <c r="AD693" s="476"/>
      <c r="AE693" s="476"/>
      <c r="AF693" s="476"/>
      <c r="AG693" s="476"/>
      <c r="AH693" s="476"/>
      <c r="AI693" s="476"/>
      <c r="AJ693" s="476"/>
      <c r="AK693" s="476"/>
      <c r="AL693" s="476"/>
      <c r="AM693" s="476"/>
      <c r="AN693" s="476"/>
      <c r="AO693" s="476"/>
      <c r="AP693" s="476"/>
      <c r="AQ693" s="476"/>
      <c r="AR693" s="476"/>
      <c r="AS693" s="476"/>
      <c r="AT693" s="476"/>
      <c r="AU693" s="476"/>
    </row>
    <row r="694" spans="1:47" s="398" customFormat="1" ht="13.15" customHeight="1" x14ac:dyDescent="0.2">
      <c r="A694" s="476"/>
      <c r="D694" s="467"/>
      <c r="F694" s="468"/>
      <c r="G694" s="468"/>
      <c r="H694" s="468"/>
      <c r="I694" s="468"/>
      <c r="J694" s="469"/>
      <c r="L694" s="476"/>
      <c r="M694" s="476"/>
      <c r="N694" s="476"/>
      <c r="O694" s="476"/>
      <c r="P694" s="476"/>
      <c r="Q694" s="476"/>
      <c r="R694" s="476"/>
      <c r="S694" s="476"/>
      <c r="T694" s="476"/>
      <c r="U694" s="476"/>
      <c r="V694" s="476"/>
      <c r="W694" s="476"/>
      <c r="X694" s="476"/>
      <c r="Y694" s="476"/>
      <c r="Z694" s="476"/>
      <c r="AA694" s="476"/>
      <c r="AB694" s="476"/>
      <c r="AC694" s="476"/>
      <c r="AD694" s="476"/>
      <c r="AE694" s="476"/>
      <c r="AF694" s="476"/>
      <c r="AG694" s="476"/>
      <c r="AH694" s="476"/>
      <c r="AI694" s="476"/>
      <c r="AJ694" s="476"/>
      <c r="AK694" s="476"/>
      <c r="AL694" s="476"/>
      <c r="AM694" s="476"/>
      <c r="AN694" s="476"/>
      <c r="AO694" s="476"/>
      <c r="AP694" s="476"/>
      <c r="AQ694" s="476"/>
      <c r="AR694" s="476"/>
      <c r="AS694" s="476"/>
      <c r="AT694" s="476"/>
      <c r="AU694" s="476"/>
    </row>
    <row r="695" spans="1:47" s="398" customFormat="1" ht="13.15" customHeight="1" x14ac:dyDescent="0.2">
      <c r="A695" s="476"/>
      <c r="D695" s="467"/>
      <c r="F695" s="468"/>
      <c r="G695" s="468"/>
      <c r="H695" s="468"/>
      <c r="I695" s="468"/>
      <c r="J695" s="469"/>
      <c r="L695" s="476"/>
      <c r="M695" s="476"/>
      <c r="N695" s="476"/>
      <c r="O695" s="476"/>
      <c r="P695" s="476"/>
      <c r="Q695" s="476"/>
      <c r="R695" s="476"/>
      <c r="S695" s="476"/>
      <c r="T695" s="476"/>
      <c r="U695" s="476"/>
      <c r="V695" s="476"/>
      <c r="W695" s="476"/>
      <c r="X695" s="476"/>
      <c r="Y695" s="476"/>
      <c r="Z695" s="476"/>
      <c r="AA695" s="476"/>
      <c r="AB695" s="476"/>
      <c r="AC695" s="476"/>
      <c r="AD695" s="476"/>
      <c r="AE695" s="476"/>
      <c r="AF695" s="476"/>
      <c r="AG695" s="476"/>
      <c r="AH695" s="476"/>
      <c r="AI695" s="476"/>
      <c r="AJ695" s="476"/>
      <c r="AK695" s="476"/>
      <c r="AL695" s="476"/>
      <c r="AM695" s="476"/>
      <c r="AN695" s="476"/>
      <c r="AO695" s="476"/>
      <c r="AP695" s="476"/>
      <c r="AQ695" s="476"/>
      <c r="AR695" s="476"/>
      <c r="AS695" s="476"/>
      <c r="AT695" s="476"/>
      <c r="AU695" s="476"/>
    </row>
    <row r="696" spans="1:47" s="398" customFormat="1" ht="13.15" customHeight="1" x14ac:dyDescent="0.2">
      <c r="A696" s="476"/>
      <c r="D696" s="467"/>
      <c r="F696" s="468"/>
      <c r="G696" s="468"/>
      <c r="H696" s="468"/>
      <c r="I696" s="468"/>
      <c r="J696" s="469"/>
      <c r="L696" s="476"/>
      <c r="M696" s="476"/>
      <c r="N696" s="476"/>
      <c r="O696" s="476"/>
      <c r="P696" s="476"/>
      <c r="Q696" s="476"/>
      <c r="R696" s="476"/>
      <c r="S696" s="476"/>
      <c r="T696" s="476"/>
      <c r="U696" s="476"/>
      <c r="V696" s="476"/>
      <c r="W696" s="476"/>
      <c r="X696" s="476"/>
      <c r="Y696" s="476"/>
      <c r="Z696" s="476"/>
      <c r="AA696" s="476"/>
      <c r="AB696" s="476"/>
      <c r="AC696" s="476"/>
      <c r="AD696" s="476"/>
      <c r="AE696" s="476"/>
      <c r="AF696" s="476"/>
      <c r="AG696" s="476"/>
      <c r="AH696" s="476"/>
      <c r="AI696" s="476"/>
      <c r="AJ696" s="476"/>
      <c r="AK696" s="476"/>
      <c r="AL696" s="476"/>
      <c r="AM696" s="476"/>
      <c r="AN696" s="476"/>
      <c r="AO696" s="476"/>
      <c r="AP696" s="476"/>
      <c r="AQ696" s="476"/>
      <c r="AR696" s="476"/>
      <c r="AS696" s="476"/>
      <c r="AT696" s="476"/>
      <c r="AU696" s="476"/>
    </row>
    <row r="697" spans="1:47" s="398" customFormat="1" ht="13.15" customHeight="1" x14ac:dyDescent="0.2">
      <c r="A697" s="476"/>
      <c r="D697" s="467"/>
      <c r="F697" s="468"/>
      <c r="G697" s="468"/>
      <c r="H697" s="468"/>
      <c r="I697" s="468"/>
      <c r="J697" s="469"/>
      <c r="L697" s="476"/>
      <c r="M697" s="476"/>
      <c r="N697" s="476"/>
      <c r="O697" s="476"/>
      <c r="P697" s="476"/>
      <c r="Q697" s="476"/>
      <c r="R697" s="476"/>
      <c r="S697" s="476"/>
      <c r="T697" s="476"/>
      <c r="U697" s="476"/>
      <c r="V697" s="476"/>
      <c r="W697" s="476"/>
      <c r="X697" s="476"/>
      <c r="Y697" s="476"/>
      <c r="Z697" s="476"/>
      <c r="AA697" s="476"/>
      <c r="AB697" s="476"/>
      <c r="AC697" s="476"/>
      <c r="AD697" s="476"/>
      <c r="AE697" s="476"/>
      <c r="AF697" s="476"/>
      <c r="AG697" s="476"/>
      <c r="AH697" s="476"/>
      <c r="AI697" s="476"/>
      <c r="AJ697" s="476"/>
      <c r="AK697" s="476"/>
      <c r="AL697" s="476"/>
      <c r="AM697" s="476"/>
      <c r="AN697" s="476"/>
      <c r="AO697" s="476"/>
      <c r="AP697" s="476"/>
      <c r="AQ697" s="476"/>
      <c r="AR697" s="476"/>
      <c r="AS697" s="476"/>
      <c r="AT697" s="476"/>
      <c r="AU697" s="476"/>
    </row>
    <row r="698" spans="1:47" s="398" customFormat="1" ht="13.15" customHeight="1" x14ac:dyDescent="0.2">
      <c r="A698" s="476"/>
      <c r="D698" s="467"/>
      <c r="F698" s="468"/>
      <c r="G698" s="468"/>
      <c r="H698" s="468"/>
      <c r="I698" s="468"/>
      <c r="J698" s="469"/>
      <c r="L698" s="476"/>
      <c r="M698" s="476"/>
      <c r="N698" s="476"/>
      <c r="O698" s="476"/>
      <c r="P698" s="476"/>
      <c r="Q698" s="476"/>
      <c r="R698" s="476"/>
      <c r="S698" s="476"/>
      <c r="T698" s="476"/>
      <c r="U698" s="476"/>
      <c r="V698" s="476"/>
      <c r="W698" s="476"/>
      <c r="X698" s="476"/>
      <c r="Y698" s="476"/>
      <c r="Z698" s="476"/>
      <c r="AA698" s="476"/>
      <c r="AB698" s="476"/>
      <c r="AC698" s="476"/>
      <c r="AD698" s="476"/>
      <c r="AE698" s="476"/>
      <c r="AF698" s="476"/>
      <c r="AG698" s="476"/>
      <c r="AH698" s="476"/>
      <c r="AI698" s="476"/>
      <c r="AJ698" s="476"/>
      <c r="AK698" s="476"/>
      <c r="AL698" s="476"/>
      <c r="AM698" s="476"/>
      <c r="AN698" s="476"/>
      <c r="AO698" s="476"/>
      <c r="AP698" s="476"/>
      <c r="AQ698" s="476"/>
      <c r="AR698" s="476"/>
      <c r="AS698" s="476"/>
      <c r="AT698" s="476"/>
      <c r="AU698" s="476"/>
    </row>
    <row r="699" spans="1:47" s="398" customFormat="1" ht="13.15" customHeight="1" x14ac:dyDescent="0.2">
      <c r="A699" s="476"/>
      <c r="D699" s="467"/>
      <c r="F699" s="468"/>
      <c r="G699" s="468"/>
      <c r="H699" s="468"/>
      <c r="I699" s="468"/>
      <c r="J699" s="469"/>
      <c r="L699" s="476"/>
      <c r="M699" s="476"/>
      <c r="N699" s="476"/>
      <c r="O699" s="476"/>
      <c r="P699" s="476"/>
      <c r="Q699" s="476"/>
      <c r="R699" s="476"/>
      <c r="S699" s="476"/>
      <c r="T699" s="476"/>
      <c r="U699" s="476"/>
      <c r="V699" s="476"/>
      <c r="W699" s="476"/>
      <c r="X699" s="476"/>
      <c r="Y699" s="476"/>
      <c r="Z699" s="476"/>
      <c r="AA699" s="476"/>
      <c r="AB699" s="476"/>
      <c r="AC699" s="476"/>
      <c r="AD699" s="476"/>
      <c r="AE699" s="476"/>
      <c r="AF699" s="476"/>
      <c r="AG699" s="476"/>
      <c r="AH699" s="476"/>
      <c r="AI699" s="476"/>
      <c r="AJ699" s="476"/>
      <c r="AK699" s="476"/>
      <c r="AL699" s="476"/>
      <c r="AM699" s="476"/>
      <c r="AN699" s="476"/>
      <c r="AO699" s="476"/>
      <c r="AP699" s="476"/>
      <c r="AQ699" s="476"/>
      <c r="AR699" s="476"/>
      <c r="AS699" s="476"/>
      <c r="AT699" s="476"/>
      <c r="AU699" s="476"/>
    </row>
    <row r="700" spans="1:47" s="398" customFormat="1" ht="13.15" customHeight="1" x14ac:dyDescent="0.2">
      <c r="A700" s="476"/>
      <c r="D700" s="467"/>
      <c r="F700" s="468"/>
      <c r="G700" s="468"/>
      <c r="H700" s="468"/>
      <c r="I700" s="468"/>
      <c r="J700" s="469"/>
      <c r="L700" s="476"/>
      <c r="M700" s="476"/>
      <c r="N700" s="476"/>
      <c r="O700" s="476"/>
      <c r="P700" s="476"/>
      <c r="Q700" s="476"/>
      <c r="R700" s="476"/>
      <c r="S700" s="476"/>
      <c r="T700" s="476"/>
      <c r="U700" s="476"/>
      <c r="V700" s="476"/>
      <c r="W700" s="476"/>
      <c r="X700" s="476"/>
      <c r="Y700" s="476"/>
      <c r="Z700" s="476"/>
      <c r="AA700" s="476"/>
      <c r="AB700" s="476"/>
      <c r="AC700" s="476"/>
      <c r="AD700" s="476"/>
      <c r="AE700" s="476"/>
      <c r="AF700" s="476"/>
      <c r="AG700" s="476"/>
      <c r="AH700" s="476"/>
      <c r="AI700" s="476"/>
      <c r="AJ700" s="476"/>
      <c r="AK700" s="476"/>
      <c r="AL700" s="476"/>
      <c r="AM700" s="476"/>
      <c r="AN700" s="476"/>
      <c r="AO700" s="476"/>
      <c r="AP700" s="476"/>
      <c r="AQ700" s="476"/>
      <c r="AR700" s="476"/>
      <c r="AS700" s="476"/>
      <c r="AT700" s="476"/>
      <c r="AU700" s="476"/>
    </row>
    <row r="701" spans="1:47" s="398" customFormat="1" ht="13.15" customHeight="1" x14ac:dyDescent="0.2">
      <c r="A701" s="476"/>
      <c r="D701" s="467"/>
      <c r="F701" s="468"/>
      <c r="G701" s="468"/>
      <c r="H701" s="468"/>
      <c r="I701" s="468"/>
      <c r="J701" s="469"/>
      <c r="L701" s="476"/>
      <c r="M701" s="476"/>
      <c r="N701" s="476"/>
      <c r="O701" s="476"/>
      <c r="P701" s="476"/>
      <c r="Q701" s="476"/>
      <c r="R701" s="476"/>
      <c r="S701" s="476"/>
      <c r="T701" s="476"/>
      <c r="U701" s="476"/>
      <c r="V701" s="476"/>
      <c r="W701" s="476"/>
      <c r="X701" s="476"/>
      <c r="Y701" s="476"/>
      <c r="Z701" s="476"/>
      <c r="AA701" s="476"/>
      <c r="AB701" s="476"/>
      <c r="AC701" s="476"/>
      <c r="AD701" s="476"/>
      <c r="AE701" s="476"/>
      <c r="AF701" s="476"/>
      <c r="AG701" s="476"/>
      <c r="AH701" s="476"/>
      <c r="AI701" s="476"/>
      <c r="AJ701" s="476"/>
      <c r="AK701" s="476"/>
      <c r="AL701" s="476"/>
      <c r="AM701" s="476"/>
      <c r="AN701" s="476"/>
      <c r="AO701" s="476"/>
      <c r="AP701" s="476"/>
      <c r="AQ701" s="476"/>
      <c r="AR701" s="476"/>
      <c r="AS701" s="476"/>
      <c r="AT701" s="476"/>
      <c r="AU701" s="476"/>
    </row>
    <row r="702" spans="1:47" s="398" customFormat="1" ht="13.15" customHeight="1" x14ac:dyDescent="0.2">
      <c r="A702" s="476"/>
      <c r="D702" s="467"/>
      <c r="F702" s="468"/>
      <c r="G702" s="468"/>
      <c r="H702" s="468"/>
      <c r="I702" s="468"/>
      <c r="J702" s="469"/>
      <c r="L702" s="476"/>
      <c r="M702" s="476"/>
      <c r="N702" s="476"/>
      <c r="O702" s="476"/>
      <c r="P702" s="476"/>
      <c r="Q702" s="476"/>
      <c r="R702" s="476"/>
      <c r="S702" s="476"/>
      <c r="T702" s="476"/>
      <c r="U702" s="476"/>
      <c r="V702" s="476"/>
      <c r="W702" s="476"/>
      <c r="X702" s="476"/>
      <c r="Y702" s="476"/>
      <c r="Z702" s="476"/>
      <c r="AA702" s="476"/>
      <c r="AB702" s="476"/>
      <c r="AC702" s="476"/>
      <c r="AD702" s="476"/>
      <c r="AE702" s="476"/>
      <c r="AF702" s="476"/>
      <c r="AG702" s="476"/>
      <c r="AH702" s="476"/>
      <c r="AI702" s="476"/>
      <c r="AJ702" s="476"/>
      <c r="AK702" s="476"/>
      <c r="AL702" s="476"/>
      <c r="AM702" s="476"/>
      <c r="AN702" s="476"/>
      <c r="AO702" s="476"/>
      <c r="AP702" s="476"/>
      <c r="AQ702" s="476"/>
      <c r="AR702" s="476"/>
      <c r="AS702" s="476"/>
      <c r="AT702" s="476"/>
      <c r="AU702" s="476"/>
    </row>
    <row r="703" spans="1:47" s="398" customFormat="1" ht="13.15" customHeight="1" x14ac:dyDescent="0.2">
      <c r="A703" s="476"/>
      <c r="D703" s="467"/>
      <c r="F703" s="468"/>
      <c r="G703" s="468"/>
      <c r="H703" s="468"/>
      <c r="I703" s="468"/>
      <c r="J703" s="469"/>
      <c r="L703" s="476"/>
      <c r="M703" s="476"/>
      <c r="N703" s="476"/>
      <c r="O703" s="476"/>
      <c r="P703" s="476"/>
      <c r="Q703" s="476"/>
      <c r="R703" s="476"/>
      <c r="S703" s="476"/>
      <c r="T703" s="476"/>
      <c r="U703" s="476"/>
      <c r="V703" s="476"/>
      <c r="W703" s="476"/>
      <c r="X703" s="476"/>
      <c r="Y703" s="476"/>
      <c r="Z703" s="476"/>
      <c r="AA703" s="476"/>
      <c r="AB703" s="476"/>
      <c r="AC703" s="476"/>
      <c r="AD703" s="476"/>
      <c r="AE703" s="476"/>
      <c r="AF703" s="476"/>
      <c r="AG703" s="476"/>
      <c r="AH703" s="476"/>
      <c r="AI703" s="476"/>
      <c r="AJ703" s="476"/>
      <c r="AK703" s="476"/>
      <c r="AL703" s="476"/>
      <c r="AM703" s="476"/>
      <c r="AN703" s="476"/>
      <c r="AO703" s="476"/>
      <c r="AP703" s="476"/>
      <c r="AQ703" s="476"/>
      <c r="AR703" s="476"/>
      <c r="AS703" s="476"/>
      <c r="AT703" s="476"/>
      <c r="AU703" s="476"/>
    </row>
    <row r="704" spans="1:47" s="398" customFormat="1" ht="13.15" customHeight="1" x14ac:dyDescent="0.2">
      <c r="A704" s="476"/>
      <c r="D704" s="467"/>
      <c r="F704" s="468"/>
      <c r="G704" s="468"/>
      <c r="H704" s="468"/>
      <c r="I704" s="468"/>
      <c r="J704" s="469"/>
      <c r="L704" s="476"/>
      <c r="M704" s="476"/>
      <c r="N704" s="476"/>
      <c r="O704" s="476"/>
      <c r="P704" s="476"/>
      <c r="Q704" s="476"/>
      <c r="R704" s="476"/>
      <c r="S704" s="476"/>
      <c r="T704" s="476"/>
      <c r="U704" s="476"/>
      <c r="V704" s="476"/>
      <c r="W704" s="476"/>
      <c r="X704" s="476"/>
      <c r="Y704" s="476"/>
      <c r="Z704" s="476"/>
      <c r="AA704" s="476"/>
      <c r="AB704" s="476"/>
      <c r="AC704" s="476"/>
      <c r="AD704" s="476"/>
      <c r="AE704" s="476"/>
      <c r="AF704" s="476"/>
      <c r="AG704" s="476"/>
      <c r="AH704" s="476"/>
      <c r="AI704" s="476"/>
      <c r="AJ704" s="476"/>
      <c r="AK704" s="476"/>
      <c r="AL704" s="476"/>
      <c r="AM704" s="476"/>
      <c r="AN704" s="476"/>
      <c r="AO704" s="476"/>
      <c r="AP704" s="476"/>
      <c r="AQ704" s="476"/>
      <c r="AR704" s="476"/>
      <c r="AS704" s="476"/>
      <c r="AT704" s="476"/>
      <c r="AU704" s="476"/>
    </row>
    <row r="705" spans="1:47" s="398" customFormat="1" ht="13.15" customHeight="1" x14ac:dyDescent="0.2">
      <c r="A705" s="476"/>
      <c r="D705" s="467"/>
      <c r="F705" s="468"/>
      <c r="G705" s="468"/>
      <c r="H705" s="468"/>
      <c r="I705" s="468"/>
      <c r="J705" s="469"/>
      <c r="L705" s="476"/>
      <c r="M705" s="476"/>
      <c r="N705" s="476"/>
      <c r="O705" s="476"/>
      <c r="P705" s="476"/>
      <c r="Q705" s="476"/>
      <c r="R705" s="476"/>
      <c r="S705" s="476"/>
      <c r="T705" s="476"/>
      <c r="U705" s="476"/>
      <c r="V705" s="476"/>
      <c r="W705" s="476"/>
      <c r="X705" s="476"/>
      <c r="Y705" s="476"/>
      <c r="Z705" s="476"/>
      <c r="AA705" s="476"/>
      <c r="AB705" s="476"/>
      <c r="AC705" s="476"/>
      <c r="AD705" s="476"/>
      <c r="AE705" s="476"/>
      <c r="AF705" s="476"/>
      <c r="AG705" s="476"/>
      <c r="AH705" s="476"/>
      <c r="AI705" s="476"/>
      <c r="AJ705" s="476"/>
      <c r="AK705" s="476"/>
      <c r="AL705" s="476"/>
      <c r="AM705" s="476"/>
      <c r="AN705" s="476"/>
      <c r="AO705" s="476"/>
      <c r="AP705" s="476"/>
      <c r="AQ705" s="476"/>
      <c r="AR705" s="476"/>
      <c r="AS705" s="476"/>
      <c r="AT705" s="476"/>
      <c r="AU705" s="476"/>
    </row>
    <row r="706" spans="1:47" s="398" customFormat="1" ht="13.15" customHeight="1" x14ac:dyDescent="0.2">
      <c r="A706" s="476"/>
      <c r="D706" s="467"/>
      <c r="F706" s="468"/>
      <c r="G706" s="468"/>
      <c r="H706" s="468"/>
      <c r="I706" s="468"/>
      <c r="J706" s="469"/>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row>
    <row r="707" spans="1:47" s="398" customFormat="1" ht="13.15" customHeight="1" x14ac:dyDescent="0.2">
      <c r="A707" s="476"/>
      <c r="D707" s="467"/>
      <c r="F707" s="468"/>
      <c r="G707" s="468"/>
      <c r="H707" s="468"/>
      <c r="I707" s="468"/>
      <c r="J707" s="469"/>
      <c r="L707" s="476"/>
      <c r="M707" s="476"/>
      <c r="N707" s="476"/>
      <c r="O707" s="476"/>
      <c r="P707" s="476"/>
      <c r="Q707" s="476"/>
      <c r="R707" s="476"/>
      <c r="S707" s="476"/>
      <c r="T707" s="476"/>
      <c r="U707" s="476"/>
      <c r="V707" s="476"/>
      <c r="W707" s="476"/>
      <c r="X707" s="476"/>
      <c r="Y707" s="476"/>
      <c r="Z707" s="476"/>
      <c r="AA707" s="476"/>
      <c r="AB707" s="476"/>
      <c r="AC707" s="476"/>
      <c r="AD707" s="476"/>
      <c r="AE707" s="476"/>
      <c r="AF707" s="476"/>
      <c r="AG707" s="476"/>
      <c r="AH707" s="476"/>
      <c r="AI707" s="476"/>
      <c r="AJ707" s="476"/>
      <c r="AK707" s="476"/>
      <c r="AL707" s="476"/>
      <c r="AM707" s="476"/>
      <c r="AN707" s="476"/>
      <c r="AO707" s="476"/>
      <c r="AP707" s="476"/>
      <c r="AQ707" s="476"/>
      <c r="AR707" s="476"/>
      <c r="AS707" s="476"/>
      <c r="AT707" s="476"/>
      <c r="AU707" s="476"/>
    </row>
    <row r="708" spans="1:47" s="398" customFormat="1" ht="13.15" customHeight="1" x14ac:dyDescent="0.2">
      <c r="A708" s="476"/>
      <c r="D708" s="467"/>
      <c r="F708" s="468"/>
      <c r="G708" s="468"/>
      <c r="H708" s="468"/>
      <c r="I708" s="468"/>
      <c r="J708" s="469"/>
      <c r="L708" s="476"/>
      <c r="M708" s="476"/>
      <c r="N708" s="476"/>
      <c r="O708" s="476"/>
      <c r="P708" s="476"/>
      <c r="Q708" s="476"/>
      <c r="R708" s="476"/>
      <c r="S708" s="476"/>
      <c r="T708" s="476"/>
      <c r="U708" s="476"/>
      <c r="V708" s="476"/>
      <c r="W708" s="476"/>
      <c r="X708" s="476"/>
      <c r="Y708" s="476"/>
      <c r="Z708" s="476"/>
      <c r="AA708" s="476"/>
      <c r="AB708" s="476"/>
      <c r="AC708" s="476"/>
      <c r="AD708" s="476"/>
      <c r="AE708" s="476"/>
      <c r="AF708" s="476"/>
      <c r="AG708" s="476"/>
      <c r="AH708" s="476"/>
      <c r="AI708" s="476"/>
      <c r="AJ708" s="476"/>
      <c r="AK708" s="476"/>
      <c r="AL708" s="476"/>
      <c r="AM708" s="476"/>
      <c r="AN708" s="476"/>
      <c r="AO708" s="476"/>
      <c r="AP708" s="476"/>
      <c r="AQ708" s="476"/>
      <c r="AR708" s="476"/>
      <c r="AS708" s="476"/>
      <c r="AT708" s="476"/>
      <c r="AU708" s="476"/>
    </row>
    <row r="709" spans="1:47" s="398" customFormat="1" ht="13.15" customHeight="1" x14ac:dyDescent="0.2">
      <c r="A709" s="476"/>
      <c r="D709" s="467"/>
      <c r="F709" s="468"/>
      <c r="G709" s="468"/>
      <c r="H709" s="468"/>
      <c r="I709" s="468"/>
      <c r="J709" s="469"/>
      <c r="L709" s="476"/>
      <c r="M709" s="476"/>
      <c r="N709" s="476"/>
      <c r="O709" s="476"/>
      <c r="P709" s="476"/>
      <c r="Q709" s="476"/>
      <c r="R709" s="476"/>
      <c r="S709" s="476"/>
      <c r="T709" s="476"/>
      <c r="U709" s="476"/>
      <c r="V709" s="476"/>
      <c r="W709" s="476"/>
      <c r="X709" s="476"/>
      <c r="Y709" s="476"/>
      <c r="Z709" s="476"/>
      <c r="AA709" s="476"/>
      <c r="AB709" s="476"/>
      <c r="AC709" s="476"/>
      <c r="AD709" s="476"/>
      <c r="AE709" s="476"/>
      <c r="AF709" s="476"/>
      <c r="AG709" s="476"/>
      <c r="AH709" s="476"/>
      <c r="AI709" s="476"/>
      <c r="AJ709" s="476"/>
      <c r="AK709" s="476"/>
      <c r="AL709" s="476"/>
      <c r="AM709" s="476"/>
      <c r="AN709" s="476"/>
      <c r="AO709" s="476"/>
      <c r="AP709" s="476"/>
      <c r="AQ709" s="476"/>
      <c r="AR709" s="476"/>
      <c r="AS709" s="476"/>
      <c r="AT709" s="476"/>
      <c r="AU709" s="476"/>
    </row>
    <row r="710" spans="1:47" s="398" customFormat="1" ht="13.15" customHeight="1" x14ac:dyDescent="0.2">
      <c r="A710" s="476"/>
      <c r="D710" s="467"/>
      <c r="F710" s="468"/>
      <c r="G710" s="468"/>
      <c r="H710" s="468"/>
      <c r="I710" s="468"/>
      <c r="J710" s="469"/>
      <c r="L710" s="476"/>
      <c r="M710" s="476"/>
      <c r="N710" s="476"/>
      <c r="O710" s="476"/>
      <c r="P710" s="476"/>
      <c r="Q710" s="476"/>
      <c r="R710" s="476"/>
      <c r="S710" s="476"/>
      <c r="T710" s="476"/>
      <c r="U710" s="476"/>
      <c r="V710" s="476"/>
      <c r="W710" s="476"/>
      <c r="X710" s="476"/>
      <c r="Y710" s="476"/>
      <c r="Z710" s="476"/>
      <c r="AA710" s="476"/>
      <c r="AB710" s="476"/>
      <c r="AC710" s="476"/>
      <c r="AD710" s="476"/>
      <c r="AE710" s="476"/>
      <c r="AF710" s="476"/>
      <c r="AG710" s="476"/>
      <c r="AH710" s="476"/>
      <c r="AI710" s="476"/>
      <c r="AJ710" s="476"/>
      <c r="AK710" s="476"/>
      <c r="AL710" s="476"/>
      <c r="AM710" s="476"/>
      <c r="AN710" s="476"/>
      <c r="AO710" s="476"/>
      <c r="AP710" s="476"/>
      <c r="AQ710" s="476"/>
      <c r="AR710" s="476"/>
      <c r="AS710" s="476"/>
      <c r="AT710" s="476"/>
      <c r="AU710" s="476"/>
    </row>
    <row r="711" spans="1:47" s="398" customFormat="1" ht="13.15" customHeight="1" x14ac:dyDescent="0.2">
      <c r="A711" s="476"/>
      <c r="D711" s="467"/>
      <c r="F711" s="468"/>
      <c r="G711" s="468"/>
      <c r="H711" s="468"/>
      <c r="I711" s="468"/>
      <c r="J711" s="469"/>
      <c r="L711" s="476"/>
      <c r="M711" s="476"/>
      <c r="N711" s="476"/>
      <c r="O711" s="476"/>
      <c r="P711" s="476"/>
      <c r="Q711" s="476"/>
      <c r="R711" s="476"/>
      <c r="S711" s="476"/>
      <c r="T711" s="476"/>
      <c r="U711" s="476"/>
      <c r="V711" s="476"/>
      <c r="W711" s="476"/>
      <c r="X711" s="476"/>
      <c r="Y711" s="476"/>
      <c r="Z711" s="476"/>
      <c r="AA711" s="476"/>
      <c r="AB711" s="476"/>
      <c r="AC711" s="476"/>
      <c r="AD711" s="476"/>
      <c r="AE711" s="476"/>
      <c r="AF711" s="476"/>
      <c r="AG711" s="476"/>
      <c r="AH711" s="476"/>
      <c r="AI711" s="476"/>
      <c r="AJ711" s="476"/>
      <c r="AK711" s="476"/>
      <c r="AL711" s="476"/>
      <c r="AM711" s="476"/>
      <c r="AN711" s="476"/>
      <c r="AO711" s="476"/>
      <c r="AP711" s="476"/>
      <c r="AQ711" s="476"/>
      <c r="AR711" s="476"/>
      <c r="AS711" s="476"/>
      <c r="AT711" s="476"/>
      <c r="AU711" s="476"/>
    </row>
    <row r="712" spans="1:47" s="398" customFormat="1" ht="13.15" customHeight="1" x14ac:dyDescent="0.2">
      <c r="A712" s="476"/>
      <c r="D712" s="467"/>
      <c r="F712" s="468"/>
      <c r="G712" s="468"/>
      <c r="H712" s="468"/>
      <c r="I712" s="468"/>
      <c r="J712" s="469"/>
      <c r="L712" s="476"/>
      <c r="M712" s="476"/>
      <c r="N712" s="476"/>
      <c r="O712" s="476"/>
      <c r="P712" s="476"/>
      <c r="Q712" s="476"/>
      <c r="R712" s="476"/>
      <c r="S712" s="476"/>
      <c r="T712" s="476"/>
      <c r="U712" s="476"/>
      <c r="V712" s="476"/>
      <c r="W712" s="476"/>
      <c r="X712" s="476"/>
      <c r="Y712" s="476"/>
      <c r="Z712" s="476"/>
      <c r="AA712" s="476"/>
      <c r="AB712" s="476"/>
      <c r="AC712" s="476"/>
      <c r="AD712" s="476"/>
      <c r="AE712" s="476"/>
      <c r="AF712" s="476"/>
      <c r="AG712" s="476"/>
      <c r="AH712" s="476"/>
      <c r="AI712" s="476"/>
      <c r="AJ712" s="476"/>
      <c r="AK712" s="476"/>
      <c r="AL712" s="476"/>
      <c r="AM712" s="476"/>
      <c r="AN712" s="476"/>
      <c r="AO712" s="476"/>
      <c r="AP712" s="476"/>
      <c r="AQ712" s="476"/>
      <c r="AR712" s="476"/>
      <c r="AS712" s="476"/>
      <c r="AT712" s="476"/>
      <c r="AU712" s="476"/>
    </row>
    <row r="713" spans="1:47" s="398" customFormat="1" ht="13.15" customHeight="1" x14ac:dyDescent="0.2">
      <c r="A713" s="476"/>
      <c r="D713" s="467"/>
      <c r="F713" s="468"/>
      <c r="G713" s="468"/>
      <c r="H713" s="468"/>
      <c r="I713" s="468"/>
      <c r="J713" s="469"/>
      <c r="L713" s="476"/>
      <c r="M713" s="476"/>
      <c r="N713" s="476"/>
      <c r="O713" s="476"/>
      <c r="P713" s="476"/>
      <c r="Q713" s="476"/>
      <c r="R713" s="476"/>
      <c r="S713" s="476"/>
      <c r="T713" s="476"/>
      <c r="U713" s="476"/>
      <c r="V713" s="476"/>
      <c r="W713" s="476"/>
      <c r="X713" s="476"/>
      <c r="Y713" s="476"/>
      <c r="Z713" s="476"/>
      <c r="AA713" s="476"/>
      <c r="AB713" s="476"/>
      <c r="AC713" s="476"/>
      <c r="AD713" s="476"/>
      <c r="AE713" s="476"/>
      <c r="AF713" s="476"/>
      <c r="AG713" s="476"/>
      <c r="AH713" s="476"/>
      <c r="AI713" s="476"/>
      <c r="AJ713" s="476"/>
      <c r="AK713" s="476"/>
      <c r="AL713" s="476"/>
      <c r="AM713" s="476"/>
      <c r="AN713" s="476"/>
      <c r="AO713" s="476"/>
      <c r="AP713" s="476"/>
      <c r="AQ713" s="476"/>
      <c r="AR713" s="476"/>
      <c r="AS713" s="476"/>
      <c r="AT713" s="476"/>
      <c r="AU713" s="476"/>
    </row>
    <row r="714" spans="1:47" s="398" customFormat="1" ht="13.15" customHeight="1" x14ac:dyDescent="0.2">
      <c r="A714" s="476"/>
      <c r="D714" s="467"/>
      <c r="F714" s="468"/>
      <c r="G714" s="468"/>
      <c r="H714" s="468"/>
      <c r="I714" s="468"/>
      <c r="J714" s="469"/>
      <c r="L714" s="476"/>
      <c r="M714" s="476"/>
      <c r="N714" s="476"/>
      <c r="O714" s="476"/>
      <c r="P714" s="476"/>
      <c r="Q714" s="476"/>
      <c r="R714" s="476"/>
      <c r="S714" s="476"/>
      <c r="T714" s="476"/>
      <c r="U714" s="476"/>
      <c r="V714" s="476"/>
      <c r="W714" s="476"/>
      <c r="X714" s="476"/>
      <c r="Y714" s="476"/>
      <c r="Z714" s="476"/>
      <c r="AA714" s="476"/>
      <c r="AB714" s="476"/>
      <c r="AC714" s="476"/>
      <c r="AD714" s="476"/>
      <c r="AE714" s="476"/>
      <c r="AF714" s="476"/>
      <c r="AG714" s="476"/>
      <c r="AH714" s="476"/>
      <c r="AI714" s="476"/>
      <c r="AJ714" s="476"/>
      <c r="AK714" s="476"/>
      <c r="AL714" s="476"/>
      <c r="AM714" s="476"/>
      <c r="AN714" s="476"/>
      <c r="AO714" s="476"/>
      <c r="AP714" s="476"/>
      <c r="AQ714" s="476"/>
      <c r="AR714" s="476"/>
      <c r="AS714" s="476"/>
      <c r="AT714" s="476"/>
      <c r="AU714" s="476"/>
    </row>
    <row r="715" spans="1:47" s="398" customFormat="1" ht="13.15" customHeight="1" x14ac:dyDescent="0.2">
      <c r="A715" s="476"/>
      <c r="D715" s="467"/>
      <c r="F715" s="468"/>
      <c r="G715" s="468"/>
      <c r="H715" s="468"/>
      <c r="I715" s="468"/>
      <c r="J715" s="469"/>
      <c r="L715" s="476"/>
      <c r="M715" s="476"/>
      <c r="N715" s="476"/>
      <c r="O715" s="476"/>
      <c r="P715" s="476"/>
      <c r="Q715" s="476"/>
      <c r="R715" s="476"/>
      <c r="S715" s="476"/>
      <c r="T715" s="476"/>
      <c r="U715" s="476"/>
      <c r="V715" s="476"/>
      <c r="W715" s="476"/>
      <c r="X715" s="476"/>
      <c r="Y715" s="476"/>
      <c r="Z715" s="476"/>
      <c r="AA715" s="476"/>
      <c r="AB715" s="476"/>
      <c r="AC715" s="476"/>
      <c r="AD715" s="476"/>
      <c r="AE715" s="476"/>
      <c r="AF715" s="476"/>
      <c r="AG715" s="476"/>
      <c r="AH715" s="476"/>
      <c r="AI715" s="476"/>
      <c r="AJ715" s="476"/>
      <c r="AK715" s="476"/>
      <c r="AL715" s="476"/>
      <c r="AM715" s="476"/>
      <c r="AN715" s="476"/>
      <c r="AO715" s="476"/>
      <c r="AP715" s="476"/>
      <c r="AQ715" s="476"/>
      <c r="AR715" s="476"/>
      <c r="AS715" s="476"/>
      <c r="AT715" s="476"/>
      <c r="AU715" s="476"/>
    </row>
    <row r="716" spans="1:47" s="398" customFormat="1" ht="13.15" customHeight="1" x14ac:dyDescent="0.2">
      <c r="A716" s="476"/>
      <c r="D716" s="467"/>
      <c r="F716" s="468"/>
      <c r="G716" s="468"/>
      <c r="H716" s="468"/>
      <c r="I716" s="468"/>
      <c r="J716" s="469"/>
      <c r="L716" s="476"/>
      <c r="M716" s="476"/>
      <c r="N716" s="476"/>
      <c r="O716" s="476"/>
      <c r="P716" s="476"/>
      <c r="Q716" s="476"/>
      <c r="R716" s="476"/>
      <c r="S716" s="476"/>
      <c r="T716" s="476"/>
      <c r="U716" s="476"/>
      <c r="V716" s="476"/>
      <c r="W716" s="476"/>
      <c r="X716" s="476"/>
      <c r="Y716" s="476"/>
      <c r="Z716" s="476"/>
      <c r="AA716" s="476"/>
      <c r="AB716" s="476"/>
      <c r="AC716" s="476"/>
      <c r="AD716" s="476"/>
      <c r="AE716" s="476"/>
      <c r="AF716" s="476"/>
      <c r="AG716" s="476"/>
      <c r="AH716" s="476"/>
      <c r="AI716" s="476"/>
      <c r="AJ716" s="476"/>
      <c r="AK716" s="476"/>
      <c r="AL716" s="476"/>
      <c r="AM716" s="476"/>
      <c r="AN716" s="476"/>
      <c r="AO716" s="476"/>
      <c r="AP716" s="476"/>
      <c r="AQ716" s="476"/>
      <c r="AR716" s="476"/>
      <c r="AS716" s="476"/>
      <c r="AT716" s="476"/>
      <c r="AU716" s="476"/>
    </row>
    <row r="717" spans="1:47" s="398" customFormat="1" ht="13.15" customHeight="1" x14ac:dyDescent="0.2">
      <c r="A717" s="476"/>
      <c r="D717" s="467"/>
      <c r="F717" s="468"/>
      <c r="G717" s="468"/>
      <c r="H717" s="468"/>
      <c r="I717" s="468"/>
      <c r="J717" s="469"/>
      <c r="L717" s="476"/>
      <c r="M717" s="476"/>
      <c r="N717" s="476"/>
      <c r="O717" s="476"/>
      <c r="P717" s="476"/>
      <c r="Q717" s="476"/>
      <c r="R717" s="476"/>
      <c r="S717" s="476"/>
      <c r="T717" s="476"/>
      <c r="U717" s="476"/>
      <c r="V717" s="476"/>
      <c r="W717" s="476"/>
      <c r="X717" s="476"/>
      <c r="Y717" s="476"/>
      <c r="Z717" s="476"/>
      <c r="AA717" s="476"/>
      <c r="AB717" s="476"/>
      <c r="AC717" s="476"/>
      <c r="AD717" s="476"/>
      <c r="AE717" s="476"/>
      <c r="AF717" s="476"/>
      <c r="AG717" s="476"/>
      <c r="AH717" s="476"/>
      <c r="AI717" s="476"/>
      <c r="AJ717" s="476"/>
      <c r="AK717" s="476"/>
      <c r="AL717" s="476"/>
      <c r="AM717" s="476"/>
      <c r="AN717" s="476"/>
      <c r="AO717" s="476"/>
      <c r="AP717" s="476"/>
      <c r="AQ717" s="476"/>
      <c r="AR717" s="476"/>
      <c r="AS717" s="476"/>
      <c r="AT717" s="476"/>
      <c r="AU717" s="476"/>
    </row>
    <row r="718" spans="1:47" s="398" customFormat="1" ht="13.15" customHeight="1" x14ac:dyDescent="0.2">
      <c r="A718" s="476"/>
      <c r="D718" s="467"/>
      <c r="F718" s="468"/>
      <c r="G718" s="468"/>
      <c r="H718" s="468"/>
      <c r="I718" s="468"/>
      <c r="J718" s="469"/>
      <c r="L718" s="476"/>
      <c r="M718" s="476"/>
      <c r="N718" s="476"/>
      <c r="O718" s="476"/>
      <c r="P718" s="476"/>
      <c r="Q718" s="476"/>
      <c r="R718" s="476"/>
      <c r="S718" s="476"/>
      <c r="T718" s="476"/>
      <c r="U718" s="476"/>
      <c r="V718" s="476"/>
      <c r="W718" s="476"/>
      <c r="X718" s="476"/>
      <c r="Y718" s="476"/>
      <c r="Z718" s="476"/>
      <c r="AA718" s="476"/>
      <c r="AB718" s="476"/>
      <c r="AC718" s="476"/>
      <c r="AD718" s="476"/>
      <c r="AE718" s="476"/>
      <c r="AF718" s="476"/>
      <c r="AG718" s="476"/>
      <c r="AH718" s="476"/>
      <c r="AI718" s="476"/>
      <c r="AJ718" s="476"/>
      <c r="AK718" s="476"/>
      <c r="AL718" s="476"/>
      <c r="AM718" s="476"/>
      <c r="AN718" s="476"/>
      <c r="AO718" s="476"/>
      <c r="AP718" s="476"/>
      <c r="AQ718" s="476"/>
      <c r="AR718" s="476"/>
      <c r="AS718" s="476"/>
      <c r="AT718" s="476"/>
      <c r="AU718" s="476"/>
    </row>
    <row r="719" spans="1:47" s="398" customFormat="1" ht="13.15" customHeight="1" x14ac:dyDescent="0.2">
      <c r="A719" s="476"/>
      <c r="D719" s="467"/>
      <c r="F719" s="468"/>
      <c r="G719" s="468"/>
      <c r="H719" s="468"/>
      <c r="I719" s="468"/>
      <c r="J719" s="469"/>
      <c r="L719" s="476"/>
      <c r="M719" s="476"/>
      <c r="N719" s="476"/>
      <c r="O719" s="476"/>
      <c r="P719" s="476"/>
      <c r="Q719" s="476"/>
      <c r="R719" s="476"/>
      <c r="S719" s="476"/>
      <c r="T719" s="476"/>
      <c r="U719" s="476"/>
      <c r="V719" s="476"/>
      <c r="W719" s="476"/>
      <c r="X719" s="476"/>
      <c r="Y719" s="476"/>
      <c r="Z719" s="476"/>
      <c r="AA719" s="476"/>
      <c r="AB719" s="476"/>
      <c r="AC719" s="476"/>
      <c r="AD719" s="476"/>
      <c r="AE719" s="476"/>
      <c r="AF719" s="476"/>
      <c r="AG719" s="476"/>
      <c r="AH719" s="476"/>
      <c r="AI719" s="476"/>
      <c r="AJ719" s="476"/>
      <c r="AK719" s="476"/>
      <c r="AL719" s="476"/>
      <c r="AM719" s="476"/>
      <c r="AN719" s="476"/>
      <c r="AO719" s="476"/>
      <c r="AP719" s="476"/>
      <c r="AQ719" s="476"/>
      <c r="AR719" s="476"/>
      <c r="AS719" s="476"/>
      <c r="AT719" s="476"/>
      <c r="AU719" s="476"/>
    </row>
    <row r="720" spans="1:47" s="398" customFormat="1" ht="13.15" customHeight="1" x14ac:dyDescent="0.2">
      <c r="A720" s="476"/>
      <c r="D720" s="467"/>
      <c r="F720" s="468"/>
      <c r="G720" s="468"/>
      <c r="H720" s="468"/>
      <c r="I720" s="468"/>
      <c r="J720" s="469"/>
      <c r="L720" s="476"/>
      <c r="M720" s="476"/>
      <c r="N720" s="476"/>
      <c r="O720" s="476"/>
      <c r="P720" s="476"/>
      <c r="Q720" s="476"/>
      <c r="R720" s="476"/>
      <c r="S720" s="476"/>
      <c r="T720" s="476"/>
      <c r="U720" s="476"/>
      <c r="V720" s="476"/>
      <c r="W720" s="476"/>
      <c r="X720" s="476"/>
      <c r="Y720" s="476"/>
      <c r="Z720" s="476"/>
      <c r="AA720" s="476"/>
      <c r="AB720" s="476"/>
      <c r="AC720" s="476"/>
      <c r="AD720" s="476"/>
      <c r="AE720" s="476"/>
      <c r="AF720" s="476"/>
      <c r="AG720" s="476"/>
      <c r="AH720" s="476"/>
      <c r="AI720" s="476"/>
      <c r="AJ720" s="476"/>
      <c r="AK720" s="476"/>
      <c r="AL720" s="476"/>
      <c r="AM720" s="476"/>
      <c r="AN720" s="476"/>
      <c r="AO720" s="476"/>
      <c r="AP720" s="476"/>
      <c r="AQ720" s="476"/>
      <c r="AR720" s="476"/>
      <c r="AS720" s="476"/>
      <c r="AT720" s="476"/>
      <c r="AU720" s="476"/>
    </row>
    <row r="721" spans="1:47" s="398" customFormat="1" ht="13.15" customHeight="1" x14ac:dyDescent="0.2">
      <c r="A721" s="476"/>
      <c r="D721" s="467"/>
      <c r="F721" s="468"/>
      <c r="G721" s="468"/>
      <c r="H721" s="468"/>
      <c r="I721" s="468"/>
      <c r="J721" s="469"/>
      <c r="L721" s="476"/>
      <c r="M721" s="476"/>
      <c r="N721" s="476"/>
      <c r="O721" s="476"/>
      <c r="P721" s="476"/>
      <c r="Q721" s="476"/>
      <c r="R721" s="476"/>
      <c r="S721" s="476"/>
      <c r="T721" s="476"/>
      <c r="U721" s="476"/>
      <c r="V721" s="476"/>
      <c r="W721" s="476"/>
      <c r="X721" s="476"/>
      <c r="Y721" s="476"/>
      <c r="Z721" s="476"/>
      <c r="AA721" s="476"/>
      <c r="AB721" s="476"/>
      <c r="AC721" s="476"/>
      <c r="AD721" s="476"/>
      <c r="AE721" s="476"/>
      <c r="AF721" s="476"/>
      <c r="AG721" s="476"/>
      <c r="AH721" s="476"/>
      <c r="AI721" s="476"/>
      <c r="AJ721" s="476"/>
      <c r="AK721" s="476"/>
      <c r="AL721" s="476"/>
      <c r="AM721" s="476"/>
      <c r="AN721" s="476"/>
      <c r="AO721" s="476"/>
      <c r="AP721" s="476"/>
      <c r="AQ721" s="476"/>
      <c r="AR721" s="476"/>
      <c r="AS721" s="476"/>
      <c r="AT721" s="476"/>
      <c r="AU721" s="476"/>
    </row>
    <row r="722" spans="1:47" s="398" customFormat="1" ht="13.15" customHeight="1" x14ac:dyDescent="0.2">
      <c r="A722" s="476"/>
      <c r="D722" s="467"/>
      <c r="F722" s="468"/>
      <c r="G722" s="468"/>
      <c r="H722" s="468"/>
      <c r="I722" s="468"/>
      <c r="J722" s="469"/>
      <c r="L722" s="476"/>
      <c r="M722" s="476"/>
      <c r="N722" s="476"/>
      <c r="O722" s="476"/>
      <c r="P722" s="476"/>
      <c r="Q722" s="476"/>
      <c r="R722" s="476"/>
      <c r="S722" s="476"/>
      <c r="T722" s="476"/>
      <c r="U722" s="476"/>
      <c r="V722" s="476"/>
      <c r="W722" s="476"/>
      <c r="X722" s="476"/>
      <c r="Y722" s="476"/>
      <c r="Z722" s="476"/>
      <c r="AA722" s="476"/>
      <c r="AB722" s="476"/>
      <c r="AC722" s="476"/>
      <c r="AD722" s="476"/>
      <c r="AE722" s="476"/>
      <c r="AF722" s="476"/>
      <c r="AG722" s="476"/>
      <c r="AH722" s="476"/>
      <c r="AI722" s="476"/>
      <c r="AJ722" s="476"/>
      <c r="AK722" s="476"/>
      <c r="AL722" s="476"/>
      <c r="AM722" s="476"/>
      <c r="AN722" s="476"/>
      <c r="AO722" s="476"/>
      <c r="AP722" s="476"/>
      <c r="AQ722" s="476"/>
      <c r="AR722" s="476"/>
      <c r="AS722" s="476"/>
      <c r="AT722" s="476"/>
      <c r="AU722" s="476"/>
    </row>
    <row r="723" spans="1:47" s="398" customFormat="1" ht="13.15" customHeight="1" x14ac:dyDescent="0.2">
      <c r="A723" s="476"/>
      <c r="D723" s="467"/>
      <c r="F723" s="468"/>
      <c r="G723" s="468"/>
      <c r="H723" s="468"/>
      <c r="I723" s="468"/>
      <c r="J723" s="469"/>
      <c r="L723" s="476"/>
      <c r="M723" s="476"/>
      <c r="N723" s="476"/>
      <c r="O723" s="476"/>
      <c r="P723" s="476"/>
      <c r="Q723" s="476"/>
      <c r="R723" s="476"/>
      <c r="S723" s="476"/>
      <c r="T723" s="476"/>
      <c r="U723" s="476"/>
      <c r="V723" s="476"/>
      <c r="W723" s="476"/>
      <c r="X723" s="476"/>
      <c r="Y723" s="476"/>
      <c r="Z723" s="476"/>
      <c r="AA723" s="476"/>
      <c r="AB723" s="476"/>
      <c r="AC723" s="476"/>
      <c r="AD723" s="476"/>
      <c r="AE723" s="476"/>
      <c r="AF723" s="476"/>
      <c r="AG723" s="476"/>
      <c r="AH723" s="476"/>
      <c r="AI723" s="476"/>
      <c r="AJ723" s="476"/>
      <c r="AK723" s="476"/>
      <c r="AL723" s="476"/>
      <c r="AM723" s="476"/>
      <c r="AN723" s="476"/>
      <c r="AO723" s="476"/>
      <c r="AP723" s="476"/>
      <c r="AQ723" s="476"/>
      <c r="AR723" s="476"/>
      <c r="AS723" s="476"/>
      <c r="AT723" s="476"/>
      <c r="AU723" s="476"/>
    </row>
    <row r="724" spans="1:47" s="398" customFormat="1" ht="13.15" customHeight="1" x14ac:dyDescent="0.2">
      <c r="A724" s="476"/>
      <c r="D724" s="467"/>
      <c r="F724" s="468"/>
      <c r="G724" s="468"/>
      <c r="H724" s="468"/>
      <c r="I724" s="468"/>
      <c r="J724" s="469"/>
      <c r="L724" s="476"/>
      <c r="M724" s="476"/>
      <c r="N724" s="476"/>
      <c r="O724" s="476"/>
      <c r="P724" s="476"/>
      <c r="Q724" s="476"/>
      <c r="R724" s="476"/>
      <c r="S724" s="476"/>
      <c r="T724" s="476"/>
      <c r="U724" s="476"/>
      <c r="V724" s="476"/>
      <c r="W724" s="476"/>
      <c r="X724" s="476"/>
      <c r="Y724" s="476"/>
      <c r="Z724" s="476"/>
      <c r="AA724" s="476"/>
      <c r="AB724" s="476"/>
      <c r="AC724" s="476"/>
      <c r="AD724" s="476"/>
      <c r="AE724" s="476"/>
      <c r="AF724" s="476"/>
      <c r="AG724" s="476"/>
      <c r="AH724" s="476"/>
      <c r="AI724" s="476"/>
      <c r="AJ724" s="476"/>
      <c r="AK724" s="476"/>
      <c r="AL724" s="476"/>
      <c r="AM724" s="476"/>
      <c r="AN724" s="476"/>
      <c r="AO724" s="476"/>
      <c r="AP724" s="476"/>
      <c r="AQ724" s="476"/>
      <c r="AR724" s="476"/>
      <c r="AS724" s="476"/>
      <c r="AT724" s="476"/>
      <c r="AU724" s="476"/>
    </row>
    <row r="725" spans="1:47" s="398" customFormat="1" ht="13.15" customHeight="1" x14ac:dyDescent="0.2">
      <c r="A725" s="476"/>
      <c r="D725" s="467"/>
      <c r="F725" s="468"/>
      <c r="G725" s="468"/>
      <c r="H725" s="468"/>
      <c r="I725" s="468"/>
      <c r="J725" s="469"/>
      <c r="L725" s="476"/>
      <c r="M725" s="476"/>
      <c r="N725" s="476"/>
      <c r="O725" s="476"/>
      <c r="P725" s="476"/>
      <c r="Q725" s="476"/>
      <c r="R725" s="476"/>
      <c r="S725" s="476"/>
      <c r="T725" s="476"/>
      <c r="U725" s="476"/>
      <c r="V725" s="476"/>
      <c r="W725" s="476"/>
      <c r="X725" s="476"/>
      <c r="Y725" s="476"/>
      <c r="Z725" s="476"/>
      <c r="AA725" s="476"/>
      <c r="AB725" s="476"/>
      <c r="AC725" s="476"/>
      <c r="AD725" s="476"/>
      <c r="AE725" s="476"/>
      <c r="AF725" s="476"/>
      <c r="AG725" s="476"/>
      <c r="AH725" s="476"/>
      <c r="AI725" s="476"/>
      <c r="AJ725" s="476"/>
      <c r="AK725" s="476"/>
      <c r="AL725" s="476"/>
      <c r="AM725" s="476"/>
      <c r="AN725" s="476"/>
      <c r="AO725" s="476"/>
      <c r="AP725" s="476"/>
      <c r="AQ725" s="476"/>
      <c r="AR725" s="476"/>
      <c r="AS725" s="476"/>
      <c r="AT725" s="476"/>
      <c r="AU725" s="476"/>
    </row>
    <row r="726" spans="1:47" s="398" customFormat="1" ht="13.15" customHeight="1" x14ac:dyDescent="0.2">
      <c r="A726" s="476"/>
      <c r="D726" s="467"/>
      <c r="F726" s="468"/>
      <c r="G726" s="468"/>
      <c r="H726" s="468"/>
      <c r="I726" s="468"/>
      <c r="J726" s="469"/>
      <c r="L726" s="476"/>
      <c r="M726" s="476"/>
      <c r="N726" s="476"/>
      <c r="O726" s="476"/>
      <c r="P726" s="476"/>
      <c r="Q726" s="476"/>
      <c r="R726" s="476"/>
      <c r="S726" s="476"/>
      <c r="T726" s="476"/>
      <c r="U726" s="476"/>
      <c r="V726" s="476"/>
      <c r="W726" s="476"/>
      <c r="X726" s="476"/>
      <c r="Y726" s="476"/>
      <c r="Z726" s="476"/>
      <c r="AA726" s="476"/>
      <c r="AB726" s="476"/>
      <c r="AC726" s="476"/>
      <c r="AD726" s="476"/>
      <c r="AE726" s="476"/>
      <c r="AF726" s="476"/>
      <c r="AG726" s="476"/>
      <c r="AH726" s="476"/>
      <c r="AI726" s="476"/>
      <c r="AJ726" s="476"/>
      <c r="AK726" s="476"/>
      <c r="AL726" s="476"/>
      <c r="AM726" s="476"/>
      <c r="AN726" s="476"/>
      <c r="AO726" s="476"/>
      <c r="AP726" s="476"/>
      <c r="AQ726" s="476"/>
      <c r="AR726" s="476"/>
      <c r="AS726" s="476"/>
      <c r="AT726" s="476"/>
      <c r="AU726" s="476"/>
    </row>
    <row r="727" spans="1:47" s="398" customFormat="1" ht="13.15" customHeight="1" x14ac:dyDescent="0.2">
      <c r="A727" s="476"/>
      <c r="D727" s="467"/>
      <c r="F727" s="468"/>
      <c r="G727" s="468"/>
      <c r="H727" s="468"/>
      <c r="I727" s="468"/>
      <c r="J727" s="469"/>
      <c r="L727" s="476"/>
      <c r="M727" s="476"/>
      <c r="N727" s="476"/>
      <c r="O727" s="476"/>
      <c r="P727" s="476"/>
      <c r="Q727" s="476"/>
      <c r="R727" s="476"/>
      <c r="S727" s="476"/>
      <c r="T727" s="476"/>
      <c r="U727" s="476"/>
      <c r="V727" s="476"/>
      <c r="W727" s="476"/>
      <c r="X727" s="476"/>
      <c r="Y727" s="476"/>
      <c r="Z727" s="476"/>
      <c r="AA727" s="476"/>
      <c r="AB727" s="476"/>
      <c r="AC727" s="476"/>
      <c r="AD727" s="476"/>
      <c r="AE727" s="476"/>
      <c r="AF727" s="476"/>
      <c r="AG727" s="476"/>
      <c r="AH727" s="476"/>
      <c r="AI727" s="476"/>
      <c r="AJ727" s="476"/>
      <c r="AK727" s="476"/>
      <c r="AL727" s="476"/>
      <c r="AM727" s="476"/>
      <c r="AN727" s="476"/>
      <c r="AO727" s="476"/>
      <c r="AP727" s="476"/>
      <c r="AQ727" s="476"/>
      <c r="AR727" s="476"/>
      <c r="AS727" s="476"/>
      <c r="AT727" s="476"/>
      <c r="AU727" s="476"/>
    </row>
    <row r="728" spans="1:47" s="398" customFormat="1" ht="13.15" customHeight="1" x14ac:dyDescent="0.2">
      <c r="A728" s="476"/>
      <c r="D728" s="467"/>
      <c r="F728" s="468"/>
      <c r="G728" s="468"/>
      <c r="H728" s="468"/>
      <c r="I728" s="468"/>
      <c r="J728" s="469"/>
      <c r="L728" s="476"/>
      <c r="M728" s="476"/>
      <c r="N728" s="476"/>
      <c r="O728" s="476"/>
      <c r="P728" s="476"/>
      <c r="Q728" s="476"/>
      <c r="R728" s="476"/>
      <c r="S728" s="476"/>
      <c r="T728" s="476"/>
      <c r="U728" s="476"/>
      <c r="V728" s="476"/>
      <c r="W728" s="476"/>
      <c r="X728" s="476"/>
      <c r="Y728" s="476"/>
      <c r="Z728" s="476"/>
      <c r="AA728" s="476"/>
      <c r="AB728" s="476"/>
      <c r="AC728" s="476"/>
      <c r="AD728" s="476"/>
      <c r="AE728" s="476"/>
      <c r="AF728" s="476"/>
      <c r="AG728" s="476"/>
      <c r="AH728" s="476"/>
      <c r="AI728" s="476"/>
      <c r="AJ728" s="476"/>
      <c r="AK728" s="476"/>
      <c r="AL728" s="476"/>
      <c r="AM728" s="476"/>
      <c r="AN728" s="476"/>
      <c r="AO728" s="476"/>
      <c r="AP728" s="476"/>
      <c r="AQ728" s="476"/>
      <c r="AR728" s="476"/>
      <c r="AS728" s="476"/>
      <c r="AT728" s="476"/>
      <c r="AU728" s="476"/>
    </row>
    <row r="729" spans="1:47" s="398" customFormat="1" ht="13.15" customHeight="1" x14ac:dyDescent="0.2">
      <c r="A729" s="476"/>
      <c r="D729" s="467"/>
      <c r="F729" s="468"/>
      <c r="G729" s="468"/>
      <c r="H729" s="468"/>
      <c r="I729" s="468"/>
      <c r="J729" s="469"/>
      <c r="L729" s="476"/>
      <c r="M729" s="476"/>
      <c r="N729" s="476"/>
      <c r="O729" s="476"/>
      <c r="P729" s="476"/>
      <c r="Q729" s="476"/>
      <c r="R729" s="476"/>
      <c r="S729" s="476"/>
      <c r="T729" s="476"/>
      <c r="U729" s="476"/>
      <c r="V729" s="476"/>
      <c r="W729" s="476"/>
      <c r="X729" s="476"/>
      <c r="Y729" s="476"/>
      <c r="Z729" s="476"/>
      <c r="AA729" s="476"/>
      <c r="AB729" s="476"/>
      <c r="AC729" s="476"/>
      <c r="AD729" s="476"/>
      <c r="AE729" s="476"/>
      <c r="AF729" s="476"/>
      <c r="AG729" s="476"/>
      <c r="AH729" s="476"/>
      <c r="AI729" s="476"/>
      <c r="AJ729" s="476"/>
      <c r="AK729" s="476"/>
      <c r="AL729" s="476"/>
      <c r="AM729" s="476"/>
      <c r="AN729" s="476"/>
      <c r="AO729" s="476"/>
      <c r="AP729" s="476"/>
      <c r="AQ729" s="476"/>
      <c r="AR729" s="476"/>
      <c r="AS729" s="476"/>
      <c r="AT729" s="476"/>
      <c r="AU729" s="476"/>
    </row>
    <row r="730" spans="1:47" s="398" customFormat="1" ht="13.15" customHeight="1" x14ac:dyDescent="0.2">
      <c r="A730" s="476"/>
      <c r="D730" s="467"/>
      <c r="F730" s="468"/>
      <c r="G730" s="468"/>
      <c r="H730" s="468"/>
      <c r="I730" s="468"/>
      <c r="J730" s="469"/>
      <c r="L730" s="476"/>
      <c r="M730" s="476"/>
      <c r="N730" s="476"/>
      <c r="O730" s="476"/>
      <c r="P730" s="476"/>
      <c r="Q730" s="476"/>
      <c r="R730" s="476"/>
      <c r="S730" s="476"/>
      <c r="T730" s="476"/>
      <c r="U730" s="476"/>
      <c r="V730" s="476"/>
      <c r="W730" s="476"/>
      <c r="X730" s="476"/>
      <c r="Y730" s="476"/>
      <c r="Z730" s="476"/>
      <c r="AA730" s="476"/>
      <c r="AB730" s="476"/>
      <c r="AC730" s="476"/>
      <c r="AD730" s="476"/>
      <c r="AE730" s="476"/>
      <c r="AF730" s="476"/>
      <c r="AG730" s="476"/>
      <c r="AH730" s="476"/>
      <c r="AI730" s="476"/>
      <c r="AJ730" s="476"/>
      <c r="AK730" s="476"/>
      <c r="AL730" s="476"/>
      <c r="AM730" s="476"/>
      <c r="AN730" s="476"/>
      <c r="AO730" s="476"/>
      <c r="AP730" s="476"/>
      <c r="AQ730" s="476"/>
      <c r="AR730" s="476"/>
      <c r="AS730" s="476"/>
      <c r="AT730" s="476"/>
      <c r="AU730" s="476"/>
    </row>
    <row r="731" spans="1:47" s="398" customFormat="1" ht="13.15" customHeight="1" x14ac:dyDescent="0.2">
      <c r="A731" s="476"/>
      <c r="D731" s="467"/>
      <c r="F731" s="468"/>
      <c r="G731" s="468"/>
      <c r="H731" s="468"/>
      <c r="I731" s="468"/>
      <c r="J731" s="469"/>
      <c r="L731" s="476"/>
      <c r="M731" s="476"/>
      <c r="N731" s="476"/>
      <c r="O731" s="476"/>
      <c r="P731" s="476"/>
      <c r="Q731" s="476"/>
      <c r="R731" s="476"/>
      <c r="S731" s="476"/>
      <c r="T731" s="476"/>
      <c r="U731" s="476"/>
      <c r="V731" s="476"/>
      <c r="W731" s="476"/>
      <c r="X731" s="476"/>
      <c r="Y731" s="476"/>
      <c r="Z731" s="476"/>
      <c r="AA731" s="476"/>
      <c r="AB731" s="476"/>
      <c r="AC731" s="476"/>
      <c r="AD731" s="476"/>
      <c r="AE731" s="476"/>
      <c r="AF731" s="476"/>
      <c r="AG731" s="476"/>
      <c r="AH731" s="476"/>
      <c r="AI731" s="476"/>
      <c r="AJ731" s="476"/>
      <c r="AK731" s="476"/>
      <c r="AL731" s="476"/>
      <c r="AM731" s="476"/>
      <c r="AN731" s="476"/>
      <c r="AO731" s="476"/>
      <c r="AP731" s="476"/>
      <c r="AQ731" s="476"/>
      <c r="AR731" s="476"/>
      <c r="AS731" s="476"/>
      <c r="AT731" s="476"/>
      <c r="AU731" s="476"/>
    </row>
    <row r="732" spans="1:47" s="398" customFormat="1" ht="13.15" customHeight="1" x14ac:dyDescent="0.2">
      <c r="A732" s="476"/>
      <c r="D732" s="467"/>
      <c r="F732" s="468"/>
      <c r="G732" s="468"/>
      <c r="H732" s="468"/>
      <c r="I732" s="468"/>
      <c r="J732" s="469"/>
      <c r="L732" s="476"/>
      <c r="M732" s="476"/>
      <c r="N732" s="476"/>
      <c r="O732" s="476"/>
      <c r="P732" s="476"/>
      <c r="Q732" s="476"/>
      <c r="R732" s="476"/>
      <c r="S732" s="476"/>
      <c r="T732" s="476"/>
      <c r="U732" s="476"/>
      <c r="V732" s="476"/>
      <c r="W732" s="476"/>
      <c r="X732" s="476"/>
      <c r="Y732" s="476"/>
      <c r="Z732" s="476"/>
      <c r="AA732" s="476"/>
      <c r="AB732" s="476"/>
      <c r="AC732" s="476"/>
      <c r="AD732" s="476"/>
      <c r="AE732" s="476"/>
      <c r="AF732" s="476"/>
      <c r="AG732" s="476"/>
      <c r="AH732" s="476"/>
      <c r="AI732" s="476"/>
      <c r="AJ732" s="476"/>
      <c r="AK732" s="476"/>
      <c r="AL732" s="476"/>
      <c r="AM732" s="476"/>
      <c r="AN732" s="476"/>
      <c r="AO732" s="476"/>
      <c r="AP732" s="476"/>
      <c r="AQ732" s="476"/>
      <c r="AR732" s="476"/>
      <c r="AS732" s="476"/>
      <c r="AT732" s="476"/>
      <c r="AU732" s="476"/>
    </row>
    <row r="733" spans="1:47" s="398" customFormat="1" ht="13.15" customHeight="1" x14ac:dyDescent="0.2">
      <c r="A733" s="476"/>
      <c r="D733" s="467"/>
      <c r="F733" s="468"/>
      <c r="G733" s="468"/>
      <c r="H733" s="468"/>
      <c r="I733" s="468"/>
      <c r="J733" s="469"/>
      <c r="L733" s="476"/>
      <c r="M733" s="476"/>
      <c r="N733" s="476"/>
      <c r="O733" s="476"/>
      <c r="P733" s="476"/>
      <c r="Q733" s="476"/>
      <c r="R733" s="476"/>
      <c r="S733" s="476"/>
      <c r="T733" s="476"/>
      <c r="U733" s="476"/>
      <c r="V733" s="476"/>
      <c r="W733" s="476"/>
      <c r="X733" s="476"/>
      <c r="Y733" s="476"/>
      <c r="Z733" s="476"/>
      <c r="AA733" s="476"/>
      <c r="AB733" s="476"/>
      <c r="AC733" s="476"/>
      <c r="AD733" s="476"/>
      <c r="AE733" s="476"/>
      <c r="AF733" s="476"/>
      <c r="AG733" s="476"/>
      <c r="AH733" s="476"/>
      <c r="AI733" s="476"/>
      <c r="AJ733" s="476"/>
      <c r="AK733" s="476"/>
      <c r="AL733" s="476"/>
      <c r="AM733" s="476"/>
      <c r="AN733" s="476"/>
      <c r="AO733" s="476"/>
      <c r="AP733" s="476"/>
      <c r="AQ733" s="476"/>
      <c r="AR733" s="476"/>
      <c r="AS733" s="476"/>
      <c r="AT733" s="476"/>
      <c r="AU733" s="476"/>
    </row>
    <row r="734" spans="1:47" s="398" customFormat="1" ht="13.15" customHeight="1" x14ac:dyDescent="0.2">
      <c r="A734" s="476"/>
      <c r="D734" s="467"/>
      <c r="F734" s="468"/>
      <c r="G734" s="468"/>
      <c r="H734" s="468"/>
      <c r="I734" s="468"/>
      <c r="J734" s="469"/>
      <c r="L734" s="476"/>
      <c r="M734" s="476"/>
      <c r="N734" s="476"/>
      <c r="O734" s="476"/>
      <c r="P734" s="476"/>
      <c r="Q734" s="476"/>
      <c r="R734" s="476"/>
      <c r="S734" s="476"/>
      <c r="T734" s="476"/>
      <c r="U734" s="476"/>
      <c r="V734" s="476"/>
      <c r="W734" s="476"/>
      <c r="X734" s="476"/>
      <c r="Y734" s="476"/>
      <c r="Z734" s="476"/>
      <c r="AA734" s="476"/>
      <c r="AB734" s="476"/>
      <c r="AC734" s="476"/>
      <c r="AD734" s="476"/>
      <c r="AE734" s="476"/>
      <c r="AF734" s="476"/>
      <c r="AG734" s="476"/>
      <c r="AH734" s="476"/>
      <c r="AI734" s="476"/>
      <c r="AJ734" s="476"/>
      <c r="AK734" s="476"/>
      <c r="AL734" s="476"/>
      <c r="AM734" s="476"/>
      <c r="AN734" s="476"/>
      <c r="AO734" s="476"/>
      <c r="AP734" s="476"/>
      <c r="AQ734" s="476"/>
      <c r="AR734" s="476"/>
      <c r="AS734" s="476"/>
      <c r="AT734" s="476"/>
      <c r="AU734" s="476"/>
    </row>
    <row r="735" spans="1:47" s="398" customFormat="1" ht="13.15" customHeight="1" x14ac:dyDescent="0.2">
      <c r="A735" s="476"/>
      <c r="D735" s="467"/>
      <c r="F735" s="468"/>
      <c r="G735" s="468"/>
      <c r="H735" s="468"/>
      <c r="I735" s="468"/>
      <c r="J735" s="469"/>
      <c r="L735" s="476"/>
      <c r="M735" s="476"/>
      <c r="N735" s="476"/>
      <c r="O735" s="476"/>
      <c r="P735" s="476"/>
      <c r="Q735" s="476"/>
      <c r="R735" s="476"/>
      <c r="S735" s="476"/>
      <c r="T735" s="476"/>
      <c r="U735" s="476"/>
      <c r="V735" s="476"/>
      <c r="W735" s="476"/>
      <c r="X735" s="476"/>
      <c r="Y735" s="476"/>
      <c r="Z735" s="476"/>
      <c r="AA735" s="476"/>
      <c r="AB735" s="476"/>
      <c r="AC735" s="476"/>
      <c r="AD735" s="476"/>
      <c r="AE735" s="476"/>
      <c r="AF735" s="476"/>
      <c r="AG735" s="476"/>
      <c r="AH735" s="476"/>
      <c r="AI735" s="476"/>
      <c r="AJ735" s="476"/>
      <c r="AK735" s="476"/>
      <c r="AL735" s="476"/>
      <c r="AM735" s="476"/>
      <c r="AN735" s="476"/>
      <c r="AO735" s="476"/>
      <c r="AP735" s="476"/>
      <c r="AQ735" s="476"/>
      <c r="AR735" s="476"/>
      <c r="AS735" s="476"/>
      <c r="AT735" s="476"/>
      <c r="AU735" s="476"/>
    </row>
    <row r="736" spans="1:47" s="398" customFormat="1" ht="13.15" customHeight="1" x14ac:dyDescent="0.2">
      <c r="A736" s="476"/>
      <c r="D736" s="467"/>
      <c r="F736" s="468"/>
      <c r="G736" s="468"/>
      <c r="H736" s="468"/>
      <c r="I736" s="468"/>
      <c r="J736" s="469"/>
      <c r="L736" s="476"/>
      <c r="M736" s="476"/>
      <c r="N736" s="476"/>
      <c r="O736" s="476"/>
      <c r="P736" s="476"/>
      <c r="Q736" s="476"/>
      <c r="R736" s="476"/>
      <c r="S736" s="476"/>
      <c r="T736" s="476"/>
      <c r="U736" s="476"/>
      <c r="V736" s="476"/>
      <c r="W736" s="476"/>
      <c r="X736" s="476"/>
      <c r="Y736" s="476"/>
      <c r="Z736" s="476"/>
      <c r="AA736" s="476"/>
      <c r="AB736" s="476"/>
      <c r="AC736" s="476"/>
      <c r="AD736" s="476"/>
      <c r="AE736" s="476"/>
      <c r="AF736" s="476"/>
      <c r="AG736" s="476"/>
      <c r="AH736" s="476"/>
      <c r="AI736" s="476"/>
      <c r="AJ736" s="476"/>
      <c r="AK736" s="476"/>
      <c r="AL736" s="476"/>
      <c r="AM736" s="476"/>
      <c r="AN736" s="476"/>
      <c r="AO736" s="476"/>
      <c r="AP736" s="476"/>
      <c r="AQ736" s="476"/>
      <c r="AR736" s="476"/>
      <c r="AS736" s="476"/>
      <c r="AT736" s="476"/>
      <c r="AU736" s="476"/>
    </row>
    <row r="737" spans="1:47" s="398" customFormat="1" ht="13.15" customHeight="1" x14ac:dyDescent="0.2">
      <c r="A737" s="476"/>
      <c r="D737" s="467"/>
      <c r="F737" s="468"/>
      <c r="G737" s="468"/>
      <c r="H737" s="468"/>
      <c r="I737" s="468"/>
      <c r="J737" s="469"/>
      <c r="L737" s="476"/>
      <c r="M737" s="476"/>
      <c r="N737" s="476"/>
      <c r="O737" s="476"/>
      <c r="P737" s="476"/>
      <c r="Q737" s="476"/>
      <c r="R737" s="476"/>
      <c r="S737" s="476"/>
      <c r="T737" s="476"/>
      <c r="U737" s="476"/>
      <c r="V737" s="476"/>
      <c r="W737" s="476"/>
      <c r="X737" s="476"/>
      <c r="Y737" s="476"/>
      <c r="Z737" s="476"/>
      <c r="AA737" s="476"/>
      <c r="AB737" s="476"/>
      <c r="AC737" s="476"/>
      <c r="AD737" s="476"/>
      <c r="AE737" s="476"/>
      <c r="AF737" s="476"/>
      <c r="AG737" s="476"/>
      <c r="AH737" s="476"/>
      <c r="AI737" s="476"/>
      <c r="AJ737" s="476"/>
      <c r="AK737" s="476"/>
      <c r="AL737" s="476"/>
      <c r="AM737" s="476"/>
      <c r="AN737" s="476"/>
      <c r="AO737" s="476"/>
      <c r="AP737" s="476"/>
      <c r="AQ737" s="476"/>
      <c r="AR737" s="476"/>
      <c r="AS737" s="476"/>
      <c r="AT737" s="476"/>
      <c r="AU737" s="476"/>
    </row>
    <row r="738" spans="1:47" s="398" customFormat="1" ht="13.15" customHeight="1" x14ac:dyDescent="0.2">
      <c r="A738" s="476"/>
      <c r="D738" s="467"/>
      <c r="F738" s="468"/>
      <c r="G738" s="468"/>
      <c r="H738" s="468"/>
      <c r="I738" s="468"/>
      <c r="J738" s="469"/>
      <c r="L738" s="476"/>
      <c r="M738" s="476"/>
      <c r="N738" s="476"/>
      <c r="O738" s="476"/>
      <c r="P738" s="476"/>
      <c r="Q738" s="476"/>
      <c r="R738" s="476"/>
      <c r="S738" s="476"/>
      <c r="T738" s="476"/>
      <c r="U738" s="476"/>
      <c r="V738" s="476"/>
      <c r="W738" s="476"/>
      <c r="X738" s="476"/>
      <c r="Y738" s="476"/>
      <c r="Z738" s="476"/>
      <c r="AA738" s="476"/>
      <c r="AB738" s="476"/>
      <c r="AC738" s="476"/>
      <c r="AD738" s="476"/>
      <c r="AE738" s="476"/>
      <c r="AF738" s="476"/>
      <c r="AG738" s="476"/>
      <c r="AH738" s="476"/>
      <c r="AI738" s="476"/>
      <c r="AJ738" s="476"/>
      <c r="AK738" s="476"/>
      <c r="AL738" s="476"/>
      <c r="AM738" s="476"/>
      <c r="AN738" s="476"/>
      <c r="AO738" s="476"/>
      <c r="AP738" s="476"/>
      <c r="AQ738" s="476"/>
      <c r="AR738" s="476"/>
      <c r="AS738" s="476"/>
      <c r="AT738" s="476"/>
      <c r="AU738" s="476"/>
    </row>
    <row r="739" spans="1:47" s="398" customFormat="1" ht="13.15" customHeight="1" x14ac:dyDescent="0.2">
      <c r="A739" s="476"/>
      <c r="D739" s="467"/>
      <c r="F739" s="468"/>
      <c r="G739" s="468"/>
      <c r="H739" s="468"/>
      <c r="I739" s="468"/>
      <c r="J739" s="469"/>
      <c r="L739" s="476"/>
      <c r="M739" s="476"/>
      <c r="N739" s="476"/>
      <c r="O739" s="476"/>
      <c r="P739" s="476"/>
      <c r="Q739" s="476"/>
      <c r="R739" s="476"/>
      <c r="S739" s="476"/>
      <c r="T739" s="476"/>
      <c r="U739" s="476"/>
      <c r="V739" s="476"/>
      <c r="W739" s="476"/>
      <c r="X739" s="476"/>
      <c r="Y739" s="476"/>
      <c r="Z739" s="476"/>
      <c r="AA739" s="476"/>
      <c r="AB739" s="476"/>
      <c r="AC739" s="476"/>
      <c r="AD739" s="476"/>
      <c r="AE739" s="476"/>
      <c r="AF739" s="476"/>
      <c r="AG739" s="476"/>
      <c r="AH739" s="476"/>
      <c r="AI739" s="476"/>
      <c r="AJ739" s="476"/>
      <c r="AK739" s="476"/>
      <c r="AL739" s="476"/>
      <c r="AM739" s="476"/>
      <c r="AN739" s="476"/>
      <c r="AO739" s="476"/>
      <c r="AP739" s="476"/>
      <c r="AQ739" s="476"/>
      <c r="AR739" s="476"/>
      <c r="AS739" s="476"/>
      <c r="AT739" s="476"/>
      <c r="AU739" s="476"/>
    </row>
    <row r="740" spans="1:47" s="398" customFormat="1" ht="13.15" customHeight="1" x14ac:dyDescent="0.2">
      <c r="A740" s="476"/>
      <c r="D740" s="467"/>
      <c r="F740" s="468"/>
      <c r="G740" s="468"/>
      <c r="H740" s="468"/>
      <c r="I740" s="468"/>
      <c r="J740" s="469"/>
      <c r="L740" s="476"/>
      <c r="M740" s="476"/>
      <c r="N740" s="476"/>
      <c r="O740" s="476"/>
      <c r="P740" s="476"/>
      <c r="Q740" s="476"/>
      <c r="R740" s="476"/>
      <c r="S740" s="476"/>
      <c r="T740" s="476"/>
      <c r="U740" s="476"/>
      <c r="V740" s="476"/>
      <c r="W740" s="476"/>
      <c r="X740" s="476"/>
      <c r="Y740" s="476"/>
      <c r="Z740" s="476"/>
      <c r="AA740" s="476"/>
      <c r="AB740" s="476"/>
      <c r="AC740" s="476"/>
      <c r="AD740" s="476"/>
      <c r="AE740" s="476"/>
      <c r="AF740" s="476"/>
      <c r="AG740" s="476"/>
      <c r="AH740" s="476"/>
      <c r="AI740" s="476"/>
      <c r="AJ740" s="476"/>
      <c r="AK740" s="476"/>
      <c r="AL740" s="476"/>
      <c r="AM740" s="476"/>
      <c r="AN740" s="476"/>
      <c r="AO740" s="476"/>
      <c r="AP740" s="476"/>
      <c r="AQ740" s="476"/>
      <c r="AR740" s="476"/>
      <c r="AS740" s="476"/>
      <c r="AT740" s="476"/>
      <c r="AU740" s="476"/>
    </row>
    <row r="741" spans="1:47" s="398" customFormat="1" ht="13.15" customHeight="1" x14ac:dyDescent="0.2">
      <c r="A741" s="476"/>
      <c r="D741" s="467"/>
      <c r="F741" s="468"/>
      <c r="G741" s="468"/>
      <c r="H741" s="468"/>
      <c r="I741" s="468"/>
      <c r="J741" s="469"/>
      <c r="L741" s="476"/>
      <c r="M741" s="476"/>
      <c r="N741" s="476"/>
      <c r="O741" s="476"/>
      <c r="P741" s="476"/>
      <c r="Q741" s="476"/>
      <c r="R741" s="476"/>
      <c r="S741" s="476"/>
      <c r="T741" s="476"/>
      <c r="U741" s="476"/>
      <c r="V741" s="476"/>
      <c r="W741" s="476"/>
      <c r="X741" s="476"/>
      <c r="Y741" s="476"/>
      <c r="Z741" s="476"/>
      <c r="AA741" s="476"/>
      <c r="AB741" s="476"/>
      <c r="AC741" s="476"/>
      <c r="AD741" s="476"/>
      <c r="AE741" s="476"/>
      <c r="AF741" s="476"/>
      <c r="AG741" s="476"/>
      <c r="AH741" s="476"/>
      <c r="AI741" s="476"/>
      <c r="AJ741" s="476"/>
      <c r="AK741" s="476"/>
      <c r="AL741" s="476"/>
      <c r="AM741" s="476"/>
      <c r="AN741" s="476"/>
      <c r="AO741" s="476"/>
      <c r="AP741" s="476"/>
      <c r="AQ741" s="476"/>
      <c r="AR741" s="476"/>
      <c r="AS741" s="476"/>
      <c r="AT741" s="476"/>
      <c r="AU741" s="476"/>
    </row>
    <row r="742" spans="1:47" s="398" customFormat="1" ht="13.15" customHeight="1" x14ac:dyDescent="0.2">
      <c r="A742" s="476"/>
      <c r="D742" s="467"/>
      <c r="F742" s="468"/>
      <c r="G742" s="468"/>
      <c r="H742" s="468"/>
      <c r="I742" s="468"/>
      <c r="J742" s="469"/>
      <c r="L742" s="476"/>
      <c r="M742" s="476"/>
      <c r="N742" s="476"/>
      <c r="O742" s="476"/>
      <c r="P742" s="476"/>
      <c r="Q742" s="476"/>
      <c r="R742" s="476"/>
      <c r="S742" s="476"/>
      <c r="T742" s="476"/>
      <c r="U742" s="476"/>
      <c r="V742" s="476"/>
      <c r="W742" s="476"/>
      <c r="X742" s="476"/>
      <c r="Y742" s="476"/>
      <c r="Z742" s="476"/>
      <c r="AA742" s="476"/>
      <c r="AB742" s="476"/>
      <c r="AC742" s="476"/>
      <c r="AD742" s="476"/>
      <c r="AE742" s="476"/>
      <c r="AF742" s="476"/>
      <c r="AG742" s="476"/>
      <c r="AH742" s="476"/>
      <c r="AI742" s="476"/>
      <c r="AJ742" s="476"/>
      <c r="AK742" s="476"/>
      <c r="AL742" s="476"/>
      <c r="AM742" s="476"/>
      <c r="AN742" s="476"/>
      <c r="AO742" s="476"/>
      <c r="AP742" s="476"/>
      <c r="AQ742" s="476"/>
      <c r="AR742" s="476"/>
      <c r="AS742" s="476"/>
      <c r="AT742" s="476"/>
      <c r="AU742" s="476"/>
    </row>
    <row r="743" spans="1:47" s="398" customFormat="1" ht="13.15" customHeight="1" x14ac:dyDescent="0.2">
      <c r="A743" s="476"/>
      <c r="D743" s="467"/>
      <c r="F743" s="468"/>
      <c r="G743" s="468"/>
      <c r="H743" s="468"/>
      <c r="I743" s="468"/>
      <c r="J743" s="469"/>
      <c r="L743" s="476"/>
      <c r="M743" s="476"/>
      <c r="N743" s="476"/>
      <c r="O743" s="476"/>
      <c r="P743" s="476"/>
      <c r="Q743" s="476"/>
      <c r="R743" s="476"/>
      <c r="S743" s="476"/>
      <c r="T743" s="476"/>
      <c r="U743" s="476"/>
      <c r="V743" s="476"/>
      <c r="W743" s="476"/>
      <c r="X743" s="476"/>
      <c r="Y743" s="476"/>
      <c r="Z743" s="476"/>
      <c r="AA743" s="476"/>
      <c r="AB743" s="476"/>
      <c r="AC743" s="476"/>
      <c r="AD743" s="476"/>
      <c r="AE743" s="476"/>
      <c r="AF743" s="476"/>
      <c r="AG743" s="476"/>
      <c r="AH743" s="476"/>
      <c r="AI743" s="476"/>
      <c r="AJ743" s="476"/>
      <c r="AK743" s="476"/>
      <c r="AL743" s="476"/>
      <c r="AM743" s="476"/>
      <c r="AN743" s="476"/>
      <c r="AO743" s="476"/>
      <c r="AP743" s="476"/>
      <c r="AQ743" s="476"/>
      <c r="AR743" s="476"/>
      <c r="AS743" s="476"/>
      <c r="AT743" s="476"/>
      <c r="AU743" s="476"/>
    </row>
    <row r="744" spans="1:47" s="398" customFormat="1" ht="13.15" customHeight="1" x14ac:dyDescent="0.2">
      <c r="A744" s="476"/>
      <c r="D744" s="467"/>
      <c r="F744" s="468"/>
      <c r="G744" s="468"/>
      <c r="H744" s="468"/>
      <c r="I744" s="468"/>
      <c r="J744" s="469"/>
      <c r="L744" s="476"/>
      <c r="M744" s="476"/>
      <c r="N744" s="476"/>
      <c r="O744" s="476"/>
      <c r="P744" s="476"/>
      <c r="Q744" s="476"/>
      <c r="R744" s="476"/>
      <c r="S744" s="476"/>
      <c r="T744" s="476"/>
      <c r="U744" s="476"/>
      <c r="V744" s="476"/>
      <c r="W744" s="476"/>
      <c r="X744" s="476"/>
      <c r="Y744" s="476"/>
      <c r="Z744" s="476"/>
      <c r="AA744" s="476"/>
      <c r="AB744" s="476"/>
      <c r="AC744" s="476"/>
      <c r="AD744" s="476"/>
      <c r="AE744" s="476"/>
      <c r="AF744" s="476"/>
      <c r="AG744" s="476"/>
      <c r="AH744" s="476"/>
      <c r="AI744" s="476"/>
      <c r="AJ744" s="476"/>
      <c r="AK744" s="476"/>
      <c r="AL744" s="476"/>
      <c r="AM744" s="476"/>
      <c r="AN744" s="476"/>
      <c r="AO744" s="476"/>
      <c r="AP744" s="476"/>
      <c r="AQ744" s="476"/>
      <c r="AR744" s="476"/>
      <c r="AS744" s="476"/>
      <c r="AT744" s="476"/>
      <c r="AU744" s="476"/>
    </row>
    <row r="745" spans="1:47" s="398" customFormat="1" ht="13.15" customHeight="1" x14ac:dyDescent="0.2">
      <c r="A745" s="476"/>
      <c r="D745" s="467"/>
      <c r="F745" s="468"/>
      <c r="G745" s="468"/>
      <c r="H745" s="468"/>
      <c r="I745" s="468"/>
      <c r="J745" s="469"/>
      <c r="L745" s="476"/>
      <c r="M745" s="476"/>
      <c r="N745" s="476"/>
      <c r="O745" s="476"/>
      <c r="P745" s="476"/>
      <c r="Q745" s="476"/>
      <c r="R745" s="476"/>
      <c r="S745" s="476"/>
      <c r="T745" s="476"/>
      <c r="U745" s="476"/>
      <c r="V745" s="476"/>
      <c r="W745" s="476"/>
      <c r="X745" s="476"/>
      <c r="Y745" s="476"/>
      <c r="Z745" s="476"/>
      <c r="AA745" s="476"/>
      <c r="AB745" s="476"/>
      <c r="AC745" s="476"/>
      <c r="AD745" s="476"/>
      <c r="AE745" s="476"/>
      <c r="AF745" s="476"/>
      <c r="AG745" s="476"/>
      <c r="AH745" s="476"/>
      <c r="AI745" s="476"/>
      <c r="AJ745" s="476"/>
      <c r="AK745" s="476"/>
      <c r="AL745" s="476"/>
      <c r="AM745" s="476"/>
      <c r="AN745" s="476"/>
      <c r="AO745" s="476"/>
      <c r="AP745" s="476"/>
      <c r="AQ745" s="476"/>
      <c r="AR745" s="476"/>
      <c r="AS745" s="476"/>
      <c r="AT745" s="476"/>
      <c r="AU745" s="476"/>
    </row>
    <row r="746" spans="1:47" s="398" customFormat="1" ht="13.15" customHeight="1" x14ac:dyDescent="0.2">
      <c r="A746" s="476"/>
      <c r="D746" s="467"/>
      <c r="F746" s="468"/>
      <c r="G746" s="468"/>
      <c r="H746" s="468"/>
      <c r="I746" s="468"/>
      <c r="J746" s="469"/>
      <c r="L746" s="476"/>
      <c r="M746" s="476"/>
      <c r="N746" s="476"/>
      <c r="O746" s="476"/>
      <c r="P746" s="476"/>
      <c r="Q746" s="476"/>
      <c r="R746" s="476"/>
      <c r="S746" s="476"/>
      <c r="T746" s="476"/>
      <c r="U746" s="476"/>
      <c r="V746" s="476"/>
      <c r="W746" s="476"/>
      <c r="X746" s="476"/>
      <c r="Y746" s="476"/>
      <c r="Z746" s="476"/>
      <c r="AA746" s="476"/>
      <c r="AB746" s="476"/>
      <c r="AC746" s="476"/>
      <c r="AD746" s="476"/>
      <c r="AE746" s="476"/>
      <c r="AF746" s="476"/>
      <c r="AG746" s="476"/>
      <c r="AH746" s="476"/>
      <c r="AI746" s="476"/>
      <c r="AJ746" s="476"/>
      <c r="AK746" s="476"/>
      <c r="AL746" s="476"/>
      <c r="AM746" s="476"/>
      <c r="AN746" s="476"/>
      <c r="AO746" s="476"/>
      <c r="AP746" s="476"/>
      <c r="AQ746" s="476"/>
      <c r="AR746" s="476"/>
      <c r="AS746" s="476"/>
      <c r="AT746" s="476"/>
      <c r="AU746" s="476"/>
    </row>
    <row r="747" spans="1:47" s="398" customFormat="1" ht="13.15" customHeight="1" x14ac:dyDescent="0.2">
      <c r="A747" s="476"/>
      <c r="D747" s="467"/>
      <c r="F747" s="468"/>
      <c r="G747" s="468"/>
      <c r="H747" s="468"/>
      <c r="I747" s="468"/>
      <c r="J747" s="469"/>
      <c r="L747" s="476"/>
      <c r="M747" s="476"/>
      <c r="N747" s="476"/>
      <c r="O747" s="476"/>
      <c r="P747" s="476"/>
      <c r="Q747" s="476"/>
      <c r="R747" s="476"/>
      <c r="S747" s="476"/>
      <c r="T747" s="476"/>
      <c r="U747" s="476"/>
      <c r="V747" s="476"/>
      <c r="W747" s="476"/>
      <c r="X747" s="476"/>
      <c r="Y747" s="476"/>
      <c r="Z747" s="476"/>
      <c r="AA747" s="476"/>
      <c r="AB747" s="476"/>
      <c r="AC747" s="476"/>
      <c r="AD747" s="476"/>
      <c r="AE747" s="476"/>
      <c r="AF747" s="476"/>
      <c r="AG747" s="476"/>
      <c r="AH747" s="476"/>
      <c r="AI747" s="476"/>
      <c r="AJ747" s="476"/>
      <c r="AK747" s="476"/>
      <c r="AL747" s="476"/>
      <c r="AM747" s="476"/>
      <c r="AN747" s="476"/>
      <c r="AO747" s="476"/>
      <c r="AP747" s="476"/>
      <c r="AQ747" s="476"/>
      <c r="AR747" s="476"/>
      <c r="AS747" s="476"/>
      <c r="AT747" s="476"/>
      <c r="AU747" s="476"/>
    </row>
    <row r="748" spans="1:47" s="398" customFormat="1" ht="13.15" customHeight="1" x14ac:dyDescent="0.2">
      <c r="A748" s="476"/>
      <c r="D748" s="467"/>
      <c r="F748" s="468"/>
      <c r="G748" s="468"/>
      <c r="H748" s="468"/>
      <c r="I748" s="468"/>
      <c r="J748" s="469"/>
      <c r="L748" s="476"/>
      <c r="M748" s="476"/>
      <c r="N748" s="476"/>
      <c r="O748" s="476"/>
      <c r="P748" s="476"/>
      <c r="Q748" s="476"/>
      <c r="R748" s="476"/>
      <c r="S748" s="476"/>
      <c r="T748" s="476"/>
      <c r="U748" s="476"/>
      <c r="V748" s="476"/>
      <c r="W748" s="476"/>
      <c r="X748" s="476"/>
      <c r="Y748" s="476"/>
      <c r="Z748" s="476"/>
      <c r="AA748" s="476"/>
      <c r="AB748" s="476"/>
      <c r="AC748" s="476"/>
      <c r="AD748" s="476"/>
      <c r="AE748" s="476"/>
      <c r="AF748" s="476"/>
      <c r="AG748" s="476"/>
      <c r="AH748" s="476"/>
      <c r="AI748" s="476"/>
      <c r="AJ748" s="476"/>
      <c r="AK748" s="476"/>
      <c r="AL748" s="476"/>
      <c r="AM748" s="476"/>
      <c r="AN748" s="476"/>
      <c r="AO748" s="476"/>
      <c r="AP748" s="476"/>
      <c r="AQ748" s="476"/>
      <c r="AR748" s="476"/>
      <c r="AS748" s="476"/>
      <c r="AT748" s="476"/>
      <c r="AU748" s="476"/>
    </row>
    <row r="749" spans="1:47" s="398" customFormat="1" ht="13.15" customHeight="1" x14ac:dyDescent="0.2">
      <c r="A749" s="476"/>
      <c r="D749" s="467"/>
      <c r="F749" s="468"/>
      <c r="G749" s="468"/>
      <c r="H749" s="468"/>
      <c r="I749" s="468"/>
      <c r="J749" s="469"/>
      <c r="L749" s="476"/>
      <c r="M749" s="476"/>
      <c r="N749" s="476"/>
      <c r="O749" s="476"/>
      <c r="P749" s="476"/>
      <c r="Q749" s="476"/>
      <c r="R749" s="476"/>
      <c r="S749" s="476"/>
      <c r="T749" s="476"/>
      <c r="U749" s="476"/>
      <c r="V749" s="476"/>
      <c r="W749" s="476"/>
      <c r="X749" s="476"/>
      <c r="Y749" s="476"/>
      <c r="Z749" s="476"/>
      <c r="AA749" s="476"/>
      <c r="AB749" s="476"/>
      <c r="AC749" s="476"/>
      <c r="AD749" s="476"/>
      <c r="AE749" s="476"/>
      <c r="AF749" s="476"/>
      <c r="AG749" s="476"/>
      <c r="AH749" s="476"/>
      <c r="AI749" s="476"/>
      <c r="AJ749" s="476"/>
      <c r="AK749" s="476"/>
      <c r="AL749" s="476"/>
      <c r="AM749" s="476"/>
      <c r="AN749" s="476"/>
      <c r="AO749" s="476"/>
      <c r="AP749" s="476"/>
      <c r="AQ749" s="476"/>
      <c r="AR749" s="476"/>
      <c r="AS749" s="476"/>
      <c r="AT749" s="476"/>
      <c r="AU749" s="476"/>
    </row>
    <row r="750" spans="1:47" s="398" customFormat="1" ht="13.15" customHeight="1" x14ac:dyDescent="0.2">
      <c r="A750" s="476"/>
      <c r="D750" s="467"/>
      <c r="F750" s="468"/>
      <c r="G750" s="468"/>
      <c r="H750" s="468"/>
      <c r="I750" s="468"/>
      <c r="J750" s="469"/>
      <c r="L750" s="476"/>
      <c r="M750" s="476"/>
      <c r="N750" s="476"/>
      <c r="O750" s="476"/>
      <c r="P750" s="476"/>
      <c r="Q750" s="476"/>
      <c r="R750" s="476"/>
      <c r="S750" s="476"/>
      <c r="T750" s="476"/>
      <c r="U750" s="476"/>
      <c r="V750" s="476"/>
      <c r="W750" s="476"/>
      <c r="X750" s="476"/>
      <c r="Y750" s="476"/>
      <c r="Z750" s="476"/>
      <c r="AA750" s="476"/>
      <c r="AB750" s="476"/>
      <c r="AC750" s="476"/>
      <c r="AD750" s="476"/>
      <c r="AE750" s="476"/>
      <c r="AF750" s="476"/>
      <c r="AG750" s="476"/>
      <c r="AH750" s="476"/>
      <c r="AI750" s="476"/>
      <c r="AJ750" s="476"/>
      <c r="AK750" s="476"/>
      <c r="AL750" s="476"/>
      <c r="AM750" s="476"/>
      <c r="AN750" s="476"/>
      <c r="AO750" s="476"/>
      <c r="AP750" s="476"/>
      <c r="AQ750" s="476"/>
      <c r="AR750" s="476"/>
      <c r="AS750" s="476"/>
      <c r="AT750" s="476"/>
      <c r="AU750" s="476"/>
    </row>
    <row r="751" spans="1:47" s="398" customFormat="1" ht="13.15" customHeight="1" x14ac:dyDescent="0.2">
      <c r="A751" s="476"/>
      <c r="D751" s="467"/>
      <c r="F751" s="468"/>
      <c r="G751" s="468"/>
      <c r="H751" s="468"/>
      <c r="I751" s="468"/>
      <c r="J751" s="469"/>
      <c r="L751" s="476"/>
      <c r="M751" s="476"/>
      <c r="N751" s="476"/>
      <c r="O751" s="476"/>
      <c r="P751" s="476"/>
      <c r="Q751" s="476"/>
      <c r="R751" s="476"/>
      <c r="S751" s="476"/>
      <c r="T751" s="476"/>
      <c r="U751" s="476"/>
      <c r="V751" s="476"/>
      <c r="W751" s="476"/>
      <c r="X751" s="476"/>
      <c r="Y751" s="476"/>
      <c r="Z751" s="476"/>
      <c r="AA751" s="476"/>
      <c r="AB751" s="476"/>
      <c r="AC751" s="476"/>
      <c r="AD751" s="476"/>
      <c r="AE751" s="476"/>
      <c r="AF751" s="476"/>
      <c r="AG751" s="476"/>
      <c r="AH751" s="476"/>
      <c r="AI751" s="476"/>
      <c r="AJ751" s="476"/>
      <c r="AK751" s="476"/>
      <c r="AL751" s="476"/>
      <c r="AM751" s="476"/>
      <c r="AN751" s="476"/>
      <c r="AO751" s="476"/>
      <c r="AP751" s="476"/>
      <c r="AQ751" s="476"/>
      <c r="AR751" s="476"/>
      <c r="AS751" s="476"/>
      <c r="AT751" s="476"/>
      <c r="AU751" s="476"/>
    </row>
    <row r="752" spans="1:47" s="398" customFormat="1" ht="13.15" customHeight="1" x14ac:dyDescent="0.2">
      <c r="A752" s="476"/>
      <c r="D752" s="467"/>
      <c r="F752" s="468"/>
      <c r="G752" s="468"/>
      <c r="H752" s="468"/>
      <c r="I752" s="468"/>
      <c r="J752" s="469"/>
      <c r="L752" s="476"/>
      <c r="M752" s="476"/>
      <c r="N752" s="476"/>
      <c r="O752" s="476"/>
      <c r="P752" s="476"/>
      <c r="Q752" s="476"/>
      <c r="R752" s="476"/>
      <c r="S752" s="476"/>
      <c r="T752" s="476"/>
      <c r="U752" s="476"/>
      <c r="V752" s="476"/>
      <c r="W752" s="476"/>
      <c r="X752" s="476"/>
      <c r="Y752" s="476"/>
      <c r="Z752" s="476"/>
      <c r="AA752" s="476"/>
      <c r="AB752" s="476"/>
      <c r="AC752" s="476"/>
      <c r="AD752" s="476"/>
      <c r="AE752" s="476"/>
      <c r="AF752" s="476"/>
      <c r="AG752" s="476"/>
      <c r="AH752" s="476"/>
      <c r="AI752" s="476"/>
      <c r="AJ752" s="476"/>
      <c r="AK752" s="476"/>
      <c r="AL752" s="476"/>
      <c r="AM752" s="476"/>
      <c r="AN752" s="476"/>
      <c r="AO752" s="476"/>
      <c r="AP752" s="476"/>
      <c r="AQ752" s="476"/>
      <c r="AR752" s="476"/>
      <c r="AS752" s="476"/>
      <c r="AT752" s="476"/>
      <c r="AU752" s="476"/>
    </row>
    <row r="753" spans="1:47" s="398" customFormat="1" ht="13.15" customHeight="1" x14ac:dyDescent="0.2">
      <c r="A753" s="476"/>
      <c r="D753" s="467"/>
      <c r="F753" s="468"/>
      <c r="G753" s="468"/>
      <c r="H753" s="468"/>
      <c r="I753" s="468"/>
      <c r="J753" s="469"/>
      <c r="L753" s="476"/>
      <c r="M753" s="476"/>
      <c r="N753" s="476"/>
      <c r="O753" s="476"/>
      <c r="P753" s="476"/>
      <c r="Q753" s="476"/>
      <c r="R753" s="476"/>
      <c r="S753" s="476"/>
      <c r="T753" s="476"/>
      <c r="U753" s="476"/>
      <c r="V753" s="476"/>
      <c r="W753" s="476"/>
      <c r="X753" s="476"/>
      <c r="Y753" s="476"/>
      <c r="Z753" s="476"/>
      <c r="AA753" s="476"/>
      <c r="AB753" s="476"/>
      <c r="AC753" s="476"/>
      <c r="AD753" s="476"/>
      <c r="AE753" s="476"/>
      <c r="AF753" s="476"/>
      <c r="AG753" s="476"/>
      <c r="AH753" s="476"/>
      <c r="AI753" s="476"/>
      <c r="AJ753" s="476"/>
      <c r="AK753" s="476"/>
      <c r="AL753" s="476"/>
      <c r="AM753" s="476"/>
      <c r="AN753" s="476"/>
      <c r="AO753" s="476"/>
      <c r="AP753" s="476"/>
      <c r="AQ753" s="476"/>
      <c r="AR753" s="476"/>
      <c r="AS753" s="476"/>
      <c r="AT753" s="476"/>
      <c r="AU753" s="476"/>
    </row>
    <row r="754" spans="1:47" s="398" customFormat="1" ht="13.15" customHeight="1" x14ac:dyDescent="0.2">
      <c r="A754" s="476"/>
      <c r="D754" s="467"/>
      <c r="F754" s="468"/>
      <c r="G754" s="468"/>
      <c r="H754" s="468"/>
      <c r="I754" s="468"/>
      <c r="J754" s="469"/>
      <c r="L754" s="476"/>
      <c r="M754" s="476"/>
      <c r="N754" s="476"/>
      <c r="O754" s="476"/>
      <c r="P754" s="476"/>
      <c r="Q754" s="476"/>
      <c r="R754" s="476"/>
      <c r="S754" s="476"/>
      <c r="T754" s="476"/>
      <c r="U754" s="476"/>
      <c r="V754" s="476"/>
      <c r="W754" s="476"/>
      <c r="X754" s="476"/>
      <c r="Y754" s="476"/>
      <c r="Z754" s="476"/>
      <c r="AA754" s="476"/>
      <c r="AB754" s="476"/>
      <c r="AC754" s="476"/>
      <c r="AD754" s="476"/>
      <c r="AE754" s="476"/>
      <c r="AF754" s="476"/>
      <c r="AG754" s="476"/>
      <c r="AH754" s="476"/>
      <c r="AI754" s="476"/>
      <c r="AJ754" s="476"/>
      <c r="AK754" s="476"/>
      <c r="AL754" s="476"/>
      <c r="AM754" s="476"/>
      <c r="AN754" s="476"/>
      <c r="AO754" s="476"/>
      <c r="AP754" s="476"/>
      <c r="AQ754" s="476"/>
      <c r="AR754" s="476"/>
      <c r="AS754" s="476"/>
      <c r="AT754" s="476"/>
      <c r="AU754" s="476"/>
    </row>
    <row r="755" spans="1:47" s="398" customFormat="1" ht="13.15" customHeight="1" x14ac:dyDescent="0.2">
      <c r="A755" s="476"/>
      <c r="D755" s="467"/>
      <c r="F755" s="468"/>
      <c r="G755" s="468"/>
      <c r="H755" s="468"/>
      <c r="I755" s="468"/>
      <c r="J755" s="469"/>
      <c r="L755" s="476"/>
      <c r="M755" s="476"/>
      <c r="N755" s="476"/>
      <c r="O755" s="476"/>
      <c r="P755" s="476"/>
      <c r="Q755" s="476"/>
      <c r="R755" s="476"/>
      <c r="S755" s="476"/>
      <c r="T755" s="476"/>
      <c r="U755" s="476"/>
      <c r="V755" s="476"/>
      <c r="W755" s="476"/>
      <c r="X755" s="476"/>
      <c r="Y755" s="476"/>
      <c r="Z755" s="476"/>
      <c r="AA755" s="476"/>
      <c r="AB755" s="476"/>
      <c r="AC755" s="476"/>
      <c r="AD755" s="476"/>
      <c r="AE755" s="476"/>
      <c r="AF755" s="476"/>
      <c r="AG755" s="476"/>
      <c r="AH755" s="476"/>
      <c r="AI755" s="476"/>
      <c r="AJ755" s="476"/>
      <c r="AK755" s="476"/>
      <c r="AL755" s="476"/>
      <c r="AM755" s="476"/>
      <c r="AN755" s="476"/>
      <c r="AO755" s="476"/>
      <c r="AP755" s="476"/>
      <c r="AQ755" s="476"/>
      <c r="AR755" s="476"/>
      <c r="AS755" s="476"/>
      <c r="AT755" s="476"/>
      <c r="AU755" s="476"/>
    </row>
    <row r="756" spans="1:47" s="398" customFormat="1" ht="13.15" customHeight="1" x14ac:dyDescent="0.2">
      <c r="A756" s="476"/>
      <c r="D756" s="467"/>
      <c r="F756" s="468"/>
      <c r="G756" s="468"/>
      <c r="H756" s="468"/>
      <c r="I756" s="468"/>
      <c r="J756" s="469"/>
      <c r="L756" s="476"/>
      <c r="M756" s="476"/>
      <c r="N756" s="476"/>
      <c r="O756" s="476"/>
      <c r="P756" s="476"/>
      <c r="Q756" s="476"/>
      <c r="R756" s="476"/>
      <c r="S756" s="476"/>
      <c r="T756" s="476"/>
      <c r="U756" s="476"/>
      <c r="V756" s="476"/>
      <c r="W756" s="476"/>
      <c r="X756" s="476"/>
      <c r="Y756" s="476"/>
      <c r="Z756" s="476"/>
      <c r="AA756" s="476"/>
      <c r="AB756" s="476"/>
      <c r="AC756" s="476"/>
      <c r="AD756" s="476"/>
      <c r="AE756" s="476"/>
      <c r="AF756" s="476"/>
      <c r="AG756" s="476"/>
      <c r="AH756" s="476"/>
      <c r="AI756" s="476"/>
      <c r="AJ756" s="476"/>
      <c r="AK756" s="476"/>
      <c r="AL756" s="476"/>
      <c r="AM756" s="476"/>
      <c r="AN756" s="476"/>
      <c r="AO756" s="476"/>
      <c r="AP756" s="476"/>
      <c r="AQ756" s="476"/>
      <c r="AR756" s="476"/>
      <c r="AS756" s="476"/>
      <c r="AT756" s="476"/>
      <c r="AU756" s="476"/>
    </row>
    <row r="757" spans="1:47" s="398" customFormat="1" ht="13.15" customHeight="1" x14ac:dyDescent="0.2">
      <c r="A757" s="476"/>
      <c r="D757" s="467"/>
      <c r="F757" s="468"/>
      <c r="G757" s="468"/>
      <c r="H757" s="468"/>
      <c r="I757" s="468"/>
      <c r="J757" s="469"/>
      <c r="L757" s="476"/>
      <c r="M757" s="476"/>
      <c r="N757" s="476"/>
      <c r="O757" s="476"/>
      <c r="P757" s="476"/>
      <c r="Q757" s="476"/>
      <c r="R757" s="476"/>
      <c r="S757" s="476"/>
      <c r="T757" s="476"/>
      <c r="U757" s="476"/>
      <c r="V757" s="476"/>
      <c r="W757" s="476"/>
      <c r="X757" s="476"/>
      <c r="Y757" s="476"/>
      <c r="Z757" s="476"/>
      <c r="AA757" s="476"/>
      <c r="AB757" s="476"/>
      <c r="AC757" s="476"/>
      <c r="AD757" s="476"/>
      <c r="AE757" s="476"/>
      <c r="AF757" s="476"/>
      <c r="AG757" s="476"/>
      <c r="AH757" s="476"/>
      <c r="AI757" s="476"/>
      <c r="AJ757" s="476"/>
      <c r="AK757" s="476"/>
      <c r="AL757" s="476"/>
      <c r="AM757" s="476"/>
      <c r="AN757" s="476"/>
      <c r="AO757" s="476"/>
      <c r="AP757" s="476"/>
      <c r="AQ757" s="476"/>
      <c r="AR757" s="476"/>
      <c r="AS757" s="476"/>
      <c r="AT757" s="476"/>
      <c r="AU757" s="476"/>
    </row>
    <row r="758" spans="1:47" s="398" customFormat="1" ht="13.15" customHeight="1" x14ac:dyDescent="0.2">
      <c r="A758" s="476"/>
      <c r="D758" s="467"/>
      <c r="F758" s="468"/>
      <c r="G758" s="468"/>
      <c r="H758" s="468"/>
      <c r="I758" s="468"/>
      <c r="J758" s="469"/>
      <c r="L758" s="476"/>
      <c r="M758" s="476"/>
      <c r="N758" s="476"/>
      <c r="O758" s="476"/>
      <c r="P758" s="476"/>
      <c r="Q758" s="476"/>
      <c r="R758" s="476"/>
      <c r="S758" s="476"/>
      <c r="T758" s="476"/>
      <c r="U758" s="476"/>
      <c r="V758" s="476"/>
      <c r="W758" s="476"/>
      <c r="X758" s="476"/>
      <c r="Y758" s="476"/>
      <c r="Z758" s="476"/>
      <c r="AA758" s="476"/>
      <c r="AB758" s="476"/>
      <c r="AC758" s="476"/>
      <c r="AD758" s="476"/>
      <c r="AE758" s="476"/>
      <c r="AF758" s="476"/>
      <c r="AG758" s="476"/>
      <c r="AH758" s="476"/>
      <c r="AI758" s="476"/>
      <c r="AJ758" s="476"/>
      <c r="AK758" s="476"/>
      <c r="AL758" s="476"/>
      <c r="AM758" s="476"/>
      <c r="AN758" s="476"/>
      <c r="AO758" s="476"/>
      <c r="AP758" s="476"/>
      <c r="AQ758" s="476"/>
      <c r="AR758" s="476"/>
      <c r="AS758" s="476"/>
      <c r="AT758" s="476"/>
      <c r="AU758" s="476"/>
    </row>
    <row r="759" spans="1:47" s="398" customFormat="1" ht="13.15" customHeight="1" x14ac:dyDescent="0.2">
      <c r="A759" s="476"/>
      <c r="D759" s="467"/>
      <c r="F759" s="468"/>
      <c r="G759" s="468"/>
      <c r="H759" s="468"/>
      <c r="I759" s="468"/>
      <c r="J759" s="469"/>
      <c r="L759" s="476"/>
      <c r="M759" s="476"/>
      <c r="N759" s="476"/>
      <c r="O759" s="476"/>
      <c r="P759" s="476"/>
      <c r="Q759" s="476"/>
      <c r="R759" s="476"/>
      <c r="S759" s="476"/>
      <c r="T759" s="476"/>
      <c r="U759" s="476"/>
      <c r="V759" s="476"/>
      <c r="W759" s="476"/>
      <c r="X759" s="476"/>
      <c r="Y759" s="476"/>
      <c r="Z759" s="476"/>
      <c r="AA759" s="476"/>
      <c r="AB759" s="476"/>
      <c r="AC759" s="476"/>
      <c r="AD759" s="476"/>
      <c r="AE759" s="476"/>
      <c r="AF759" s="476"/>
      <c r="AG759" s="476"/>
      <c r="AH759" s="476"/>
      <c r="AI759" s="476"/>
      <c r="AJ759" s="476"/>
      <c r="AK759" s="476"/>
      <c r="AL759" s="476"/>
      <c r="AM759" s="476"/>
      <c r="AN759" s="476"/>
      <c r="AO759" s="476"/>
      <c r="AP759" s="476"/>
      <c r="AQ759" s="476"/>
      <c r="AR759" s="476"/>
      <c r="AS759" s="476"/>
      <c r="AT759" s="476"/>
      <c r="AU759" s="476"/>
    </row>
    <row r="760" spans="1:47" s="398" customFormat="1" ht="13.15" customHeight="1" x14ac:dyDescent="0.2">
      <c r="A760" s="476"/>
      <c r="D760" s="467"/>
      <c r="F760" s="468"/>
      <c r="G760" s="468"/>
      <c r="H760" s="468"/>
      <c r="I760" s="468"/>
      <c r="J760" s="469"/>
      <c r="L760" s="476"/>
      <c r="M760" s="476"/>
      <c r="N760" s="476"/>
      <c r="O760" s="476"/>
      <c r="P760" s="476"/>
      <c r="Q760" s="476"/>
      <c r="R760" s="476"/>
      <c r="S760" s="476"/>
      <c r="T760" s="476"/>
      <c r="U760" s="476"/>
      <c r="V760" s="476"/>
      <c r="W760" s="476"/>
      <c r="X760" s="476"/>
      <c r="Y760" s="476"/>
      <c r="Z760" s="476"/>
      <c r="AA760" s="476"/>
      <c r="AB760" s="476"/>
      <c r="AC760" s="476"/>
      <c r="AD760" s="476"/>
      <c r="AE760" s="476"/>
      <c r="AF760" s="476"/>
      <c r="AG760" s="476"/>
      <c r="AH760" s="476"/>
      <c r="AI760" s="476"/>
      <c r="AJ760" s="476"/>
      <c r="AK760" s="476"/>
      <c r="AL760" s="476"/>
      <c r="AM760" s="476"/>
      <c r="AN760" s="476"/>
      <c r="AO760" s="476"/>
      <c r="AP760" s="476"/>
      <c r="AQ760" s="476"/>
      <c r="AR760" s="476"/>
      <c r="AS760" s="476"/>
      <c r="AT760" s="476"/>
      <c r="AU760" s="476"/>
    </row>
    <row r="761" spans="1:47" s="398" customFormat="1" ht="13.15" customHeight="1" x14ac:dyDescent="0.2">
      <c r="A761" s="476"/>
      <c r="D761" s="467"/>
      <c r="F761" s="468"/>
      <c r="G761" s="468"/>
      <c r="H761" s="468"/>
      <c r="I761" s="468"/>
      <c r="J761" s="469"/>
      <c r="L761" s="476"/>
      <c r="M761" s="476"/>
      <c r="N761" s="476"/>
      <c r="O761" s="476"/>
      <c r="P761" s="476"/>
      <c r="Q761" s="476"/>
      <c r="R761" s="476"/>
      <c r="S761" s="476"/>
      <c r="T761" s="476"/>
      <c r="U761" s="476"/>
      <c r="V761" s="476"/>
      <c r="W761" s="476"/>
      <c r="X761" s="476"/>
      <c r="Y761" s="476"/>
      <c r="Z761" s="476"/>
      <c r="AA761" s="476"/>
      <c r="AB761" s="476"/>
      <c r="AC761" s="476"/>
      <c r="AD761" s="476"/>
      <c r="AE761" s="476"/>
      <c r="AF761" s="476"/>
      <c r="AG761" s="476"/>
      <c r="AH761" s="476"/>
      <c r="AI761" s="476"/>
      <c r="AJ761" s="476"/>
      <c r="AK761" s="476"/>
      <c r="AL761" s="476"/>
      <c r="AM761" s="476"/>
      <c r="AN761" s="476"/>
      <c r="AO761" s="476"/>
      <c r="AP761" s="476"/>
      <c r="AQ761" s="476"/>
      <c r="AR761" s="476"/>
      <c r="AS761" s="476"/>
      <c r="AT761" s="476"/>
      <c r="AU761" s="476"/>
    </row>
    <row r="762" spans="1:47" s="398" customFormat="1" ht="13.15" customHeight="1" x14ac:dyDescent="0.2">
      <c r="A762" s="476"/>
      <c r="D762" s="467"/>
      <c r="F762" s="468"/>
      <c r="G762" s="468"/>
      <c r="H762" s="468"/>
      <c r="I762" s="468"/>
      <c r="J762" s="469"/>
      <c r="L762" s="476"/>
      <c r="M762" s="476"/>
      <c r="N762" s="476"/>
      <c r="O762" s="476"/>
      <c r="P762" s="476"/>
      <c r="Q762" s="476"/>
      <c r="R762" s="476"/>
      <c r="S762" s="476"/>
      <c r="T762" s="476"/>
      <c r="U762" s="476"/>
      <c r="V762" s="476"/>
      <c r="W762" s="476"/>
      <c r="X762" s="476"/>
      <c r="Y762" s="476"/>
      <c r="Z762" s="476"/>
      <c r="AA762" s="476"/>
      <c r="AB762" s="476"/>
      <c r="AC762" s="476"/>
      <c r="AD762" s="476"/>
      <c r="AE762" s="476"/>
      <c r="AF762" s="476"/>
      <c r="AG762" s="476"/>
      <c r="AH762" s="476"/>
      <c r="AI762" s="476"/>
      <c r="AJ762" s="476"/>
      <c r="AK762" s="476"/>
      <c r="AL762" s="476"/>
      <c r="AM762" s="476"/>
      <c r="AN762" s="476"/>
      <c r="AO762" s="476"/>
      <c r="AP762" s="476"/>
      <c r="AQ762" s="476"/>
      <c r="AR762" s="476"/>
      <c r="AS762" s="476"/>
      <c r="AT762" s="476"/>
      <c r="AU762" s="476"/>
    </row>
    <row r="763" spans="1:47" s="398" customFormat="1" ht="13.15" customHeight="1" x14ac:dyDescent="0.2">
      <c r="A763" s="476"/>
      <c r="D763" s="467"/>
      <c r="F763" s="468"/>
      <c r="G763" s="468"/>
      <c r="H763" s="468"/>
      <c r="I763" s="468"/>
      <c r="J763" s="469"/>
      <c r="L763" s="476"/>
      <c r="M763" s="476"/>
      <c r="N763" s="476"/>
      <c r="O763" s="476"/>
      <c r="P763" s="476"/>
      <c r="Q763" s="476"/>
      <c r="R763" s="476"/>
      <c r="S763" s="476"/>
      <c r="T763" s="476"/>
      <c r="U763" s="476"/>
      <c r="V763" s="476"/>
      <c r="W763" s="476"/>
      <c r="X763" s="476"/>
      <c r="Y763" s="476"/>
      <c r="Z763" s="476"/>
      <c r="AA763" s="476"/>
      <c r="AB763" s="476"/>
      <c r="AC763" s="476"/>
      <c r="AD763" s="476"/>
      <c r="AE763" s="476"/>
      <c r="AF763" s="476"/>
      <c r="AG763" s="476"/>
      <c r="AH763" s="476"/>
      <c r="AI763" s="476"/>
      <c r="AJ763" s="476"/>
      <c r="AK763" s="476"/>
      <c r="AL763" s="476"/>
      <c r="AM763" s="476"/>
      <c r="AN763" s="476"/>
      <c r="AO763" s="476"/>
      <c r="AP763" s="476"/>
      <c r="AQ763" s="476"/>
      <c r="AR763" s="476"/>
      <c r="AS763" s="476"/>
      <c r="AT763" s="476"/>
      <c r="AU763" s="476"/>
    </row>
    <row r="764" spans="1:47" s="398" customFormat="1" ht="13.15" customHeight="1" x14ac:dyDescent="0.2">
      <c r="A764" s="476"/>
      <c r="D764" s="467"/>
      <c r="F764" s="468"/>
      <c r="G764" s="468"/>
      <c r="H764" s="468"/>
      <c r="I764" s="468"/>
      <c r="J764" s="469"/>
      <c r="L764" s="476"/>
      <c r="M764" s="476"/>
      <c r="N764" s="476"/>
      <c r="O764" s="476"/>
      <c r="P764" s="476"/>
      <c r="Q764" s="476"/>
      <c r="R764" s="476"/>
      <c r="S764" s="476"/>
      <c r="T764" s="476"/>
      <c r="U764" s="476"/>
      <c r="V764" s="476"/>
      <c r="W764" s="476"/>
      <c r="X764" s="476"/>
      <c r="Y764" s="476"/>
      <c r="Z764" s="476"/>
      <c r="AA764" s="476"/>
      <c r="AB764" s="476"/>
      <c r="AC764" s="476"/>
      <c r="AD764" s="476"/>
      <c r="AE764" s="476"/>
      <c r="AF764" s="476"/>
      <c r="AG764" s="476"/>
      <c r="AH764" s="476"/>
      <c r="AI764" s="476"/>
      <c r="AJ764" s="476"/>
      <c r="AK764" s="476"/>
      <c r="AL764" s="476"/>
      <c r="AM764" s="476"/>
      <c r="AN764" s="476"/>
      <c r="AO764" s="476"/>
      <c r="AP764" s="476"/>
      <c r="AQ764" s="476"/>
      <c r="AR764" s="476"/>
      <c r="AS764" s="476"/>
      <c r="AT764" s="476"/>
      <c r="AU764" s="476"/>
    </row>
    <row r="765" spans="1:47" s="398" customFormat="1" ht="13.15" customHeight="1" x14ac:dyDescent="0.2">
      <c r="A765" s="476"/>
      <c r="D765" s="467"/>
      <c r="F765" s="468"/>
      <c r="G765" s="468"/>
      <c r="H765" s="468"/>
      <c r="I765" s="468"/>
      <c r="J765" s="469"/>
      <c r="L765" s="476"/>
      <c r="M765" s="476"/>
      <c r="N765" s="476"/>
      <c r="O765" s="476"/>
      <c r="P765" s="476"/>
      <c r="Q765" s="476"/>
      <c r="R765" s="476"/>
      <c r="S765" s="476"/>
      <c r="T765" s="476"/>
      <c r="U765" s="476"/>
      <c r="V765" s="476"/>
      <c r="W765" s="476"/>
      <c r="X765" s="476"/>
      <c r="Y765" s="476"/>
      <c r="Z765" s="476"/>
      <c r="AA765" s="476"/>
      <c r="AB765" s="476"/>
      <c r="AC765" s="476"/>
      <c r="AD765" s="476"/>
      <c r="AE765" s="476"/>
      <c r="AF765" s="476"/>
      <c r="AG765" s="476"/>
      <c r="AH765" s="476"/>
      <c r="AI765" s="476"/>
      <c r="AJ765" s="476"/>
      <c r="AK765" s="476"/>
      <c r="AL765" s="476"/>
      <c r="AM765" s="476"/>
      <c r="AN765" s="476"/>
      <c r="AO765" s="476"/>
      <c r="AP765" s="476"/>
      <c r="AQ765" s="476"/>
      <c r="AR765" s="476"/>
      <c r="AS765" s="476"/>
      <c r="AT765" s="476"/>
      <c r="AU765" s="476"/>
    </row>
    <row r="766" spans="1:47" s="398" customFormat="1" ht="13.15" customHeight="1" x14ac:dyDescent="0.2">
      <c r="A766" s="476"/>
      <c r="D766" s="467"/>
      <c r="F766" s="468"/>
      <c r="G766" s="468"/>
      <c r="H766" s="468"/>
      <c r="I766" s="468"/>
      <c r="J766" s="469"/>
      <c r="L766" s="476"/>
      <c r="M766" s="476"/>
      <c r="N766" s="476"/>
      <c r="O766" s="476"/>
      <c r="P766" s="476"/>
      <c r="Q766" s="476"/>
      <c r="R766" s="476"/>
      <c r="S766" s="476"/>
      <c r="T766" s="476"/>
      <c r="U766" s="476"/>
      <c r="V766" s="476"/>
      <c r="W766" s="476"/>
      <c r="X766" s="476"/>
      <c r="Y766" s="476"/>
      <c r="Z766" s="476"/>
      <c r="AA766" s="476"/>
      <c r="AB766" s="476"/>
      <c r="AC766" s="476"/>
      <c r="AD766" s="476"/>
      <c r="AE766" s="476"/>
      <c r="AF766" s="476"/>
      <c r="AG766" s="476"/>
      <c r="AH766" s="476"/>
      <c r="AI766" s="476"/>
      <c r="AJ766" s="476"/>
      <c r="AK766" s="476"/>
      <c r="AL766" s="476"/>
      <c r="AM766" s="476"/>
      <c r="AN766" s="476"/>
      <c r="AO766" s="476"/>
      <c r="AP766" s="476"/>
      <c r="AQ766" s="476"/>
      <c r="AR766" s="476"/>
      <c r="AS766" s="476"/>
      <c r="AT766" s="476"/>
      <c r="AU766" s="476"/>
    </row>
    <row r="767" spans="1:47" s="398" customFormat="1" ht="13.15" customHeight="1" x14ac:dyDescent="0.2">
      <c r="A767" s="476"/>
      <c r="D767" s="467"/>
      <c r="F767" s="468"/>
      <c r="G767" s="468"/>
      <c r="H767" s="468"/>
      <c r="I767" s="468"/>
      <c r="J767" s="469"/>
      <c r="L767" s="476"/>
      <c r="M767" s="476"/>
      <c r="N767" s="476"/>
      <c r="O767" s="476"/>
      <c r="P767" s="476"/>
      <c r="Q767" s="476"/>
      <c r="R767" s="476"/>
      <c r="S767" s="476"/>
      <c r="T767" s="476"/>
      <c r="U767" s="476"/>
      <c r="V767" s="476"/>
      <c r="W767" s="476"/>
      <c r="X767" s="476"/>
      <c r="Y767" s="476"/>
      <c r="Z767" s="476"/>
      <c r="AA767" s="476"/>
      <c r="AB767" s="476"/>
      <c r="AC767" s="476"/>
      <c r="AD767" s="476"/>
      <c r="AE767" s="476"/>
      <c r="AF767" s="476"/>
      <c r="AG767" s="476"/>
      <c r="AH767" s="476"/>
      <c r="AI767" s="476"/>
      <c r="AJ767" s="476"/>
      <c r="AK767" s="476"/>
      <c r="AL767" s="476"/>
      <c r="AM767" s="476"/>
      <c r="AN767" s="476"/>
      <c r="AO767" s="476"/>
      <c r="AP767" s="476"/>
      <c r="AQ767" s="476"/>
      <c r="AR767" s="476"/>
      <c r="AS767" s="476"/>
      <c r="AT767" s="476"/>
      <c r="AU767" s="476"/>
    </row>
    <row r="768" spans="1:47" s="398" customFormat="1" ht="13.15" customHeight="1" x14ac:dyDescent="0.2">
      <c r="A768" s="476"/>
      <c r="D768" s="467"/>
      <c r="F768" s="468"/>
      <c r="G768" s="468"/>
      <c r="H768" s="468"/>
      <c r="I768" s="468"/>
      <c r="J768" s="469"/>
      <c r="L768" s="476"/>
      <c r="M768" s="476"/>
      <c r="N768" s="476"/>
      <c r="O768" s="476"/>
      <c r="P768" s="476"/>
      <c r="Q768" s="476"/>
      <c r="R768" s="476"/>
      <c r="S768" s="476"/>
      <c r="T768" s="476"/>
      <c r="U768" s="476"/>
      <c r="V768" s="476"/>
      <c r="W768" s="476"/>
      <c r="X768" s="476"/>
      <c r="Y768" s="476"/>
      <c r="Z768" s="476"/>
      <c r="AA768" s="476"/>
      <c r="AB768" s="476"/>
      <c r="AC768" s="476"/>
      <c r="AD768" s="476"/>
      <c r="AE768" s="476"/>
      <c r="AF768" s="476"/>
      <c r="AG768" s="476"/>
      <c r="AH768" s="476"/>
      <c r="AI768" s="476"/>
      <c r="AJ768" s="476"/>
      <c r="AK768" s="476"/>
      <c r="AL768" s="476"/>
      <c r="AM768" s="476"/>
      <c r="AN768" s="476"/>
      <c r="AO768" s="476"/>
      <c r="AP768" s="476"/>
      <c r="AQ768" s="476"/>
      <c r="AR768" s="476"/>
      <c r="AS768" s="476"/>
      <c r="AT768" s="476"/>
      <c r="AU768" s="476"/>
    </row>
    <row r="769" spans="1:47" s="398" customFormat="1" ht="13.15" customHeight="1" x14ac:dyDescent="0.2">
      <c r="A769" s="476"/>
      <c r="D769" s="467"/>
      <c r="F769" s="468"/>
      <c r="G769" s="468"/>
      <c r="H769" s="468"/>
      <c r="I769" s="468"/>
      <c r="J769" s="469"/>
      <c r="L769" s="476"/>
      <c r="M769" s="476"/>
      <c r="N769" s="476"/>
      <c r="O769" s="476"/>
      <c r="P769" s="476"/>
      <c r="Q769" s="476"/>
      <c r="R769" s="476"/>
      <c r="S769" s="476"/>
      <c r="T769" s="476"/>
      <c r="U769" s="476"/>
      <c r="V769" s="476"/>
      <c r="W769" s="476"/>
      <c r="X769" s="476"/>
      <c r="Y769" s="476"/>
      <c r="Z769" s="476"/>
      <c r="AA769" s="476"/>
      <c r="AB769" s="476"/>
      <c r="AC769" s="476"/>
      <c r="AD769" s="476"/>
      <c r="AE769" s="476"/>
      <c r="AF769" s="476"/>
      <c r="AG769" s="476"/>
      <c r="AH769" s="476"/>
      <c r="AI769" s="476"/>
      <c r="AJ769" s="476"/>
      <c r="AK769" s="476"/>
      <c r="AL769" s="476"/>
      <c r="AM769" s="476"/>
      <c r="AN769" s="476"/>
      <c r="AO769" s="476"/>
      <c r="AP769" s="476"/>
      <c r="AQ769" s="476"/>
      <c r="AR769" s="476"/>
      <c r="AS769" s="476"/>
      <c r="AT769" s="476"/>
      <c r="AU769" s="476"/>
    </row>
    <row r="770" spans="1:47" s="398" customFormat="1" ht="13.15" customHeight="1" x14ac:dyDescent="0.2">
      <c r="A770" s="476"/>
      <c r="D770" s="467"/>
      <c r="F770" s="468"/>
      <c r="G770" s="468"/>
      <c r="H770" s="468"/>
      <c r="I770" s="468"/>
      <c r="J770" s="469"/>
      <c r="L770" s="476"/>
      <c r="M770" s="476"/>
      <c r="N770" s="476"/>
      <c r="O770" s="476"/>
      <c r="P770" s="476"/>
      <c r="Q770" s="476"/>
      <c r="R770" s="476"/>
      <c r="S770" s="476"/>
      <c r="T770" s="476"/>
      <c r="U770" s="476"/>
      <c r="V770" s="476"/>
      <c r="W770" s="476"/>
      <c r="X770" s="476"/>
      <c r="Y770" s="476"/>
      <c r="Z770" s="476"/>
      <c r="AA770" s="476"/>
      <c r="AB770" s="476"/>
      <c r="AC770" s="476"/>
      <c r="AD770" s="476"/>
      <c r="AE770" s="476"/>
      <c r="AF770" s="476"/>
      <c r="AG770" s="476"/>
      <c r="AH770" s="476"/>
      <c r="AI770" s="476"/>
      <c r="AJ770" s="476"/>
      <c r="AK770" s="476"/>
      <c r="AL770" s="476"/>
      <c r="AM770" s="476"/>
      <c r="AN770" s="476"/>
      <c r="AO770" s="476"/>
      <c r="AP770" s="476"/>
      <c r="AQ770" s="476"/>
      <c r="AR770" s="476"/>
      <c r="AS770" s="476"/>
      <c r="AT770" s="476"/>
      <c r="AU770" s="476"/>
    </row>
    <row r="771" spans="1:47" s="398" customFormat="1" ht="13.15" customHeight="1" x14ac:dyDescent="0.2">
      <c r="A771" s="476"/>
      <c r="D771" s="467"/>
      <c r="F771" s="468"/>
      <c r="G771" s="468"/>
      <c r="H771" s="468"/>
      <c r="I771" s="468"/>
      <c r="J771" s="469"/>
      <c r="L771" s="476"/>
      <c r="M771" s="476"/>
      <c r="N771" s="476"/>
      <c r="O771" s="476"/>
      <c r="P771" s="476"/>
      <c r="Q771" s="476"/>
      <c r="R771" s="476"/>
      <c r="S771" s="476"/>
      <c r="T771" s="476"/>
      <c r="U771" s="476"/>
      <c r="V771" s="476"/>
      <c r="W771" s="476"/>
      <c r="X771" s="476"/>
      <c r="Y771" s="476"/>
      <c r="Z771" s="476"/>
      <c r="AA771" s="476"/>
      <c r="AB771" s="476"/>
      <c r="AC771" s="476"/>
      <c r="AD771" s="476"/>
      <c r="AE771" s="476"/>
      <c r="AF771" s="476"/>
      <c r="AG771" s="476"/>
      <c r="AH771" s="476"/>
      <c r="AI771" s="476"/>
      <c r="AJ771" s="476"/>
      <c r="AK771" s="476"/>
      <c r="AL771" s="476"/>
      <c r="AM771" s="476"/>
      <c r="AN771" s="476"/>
      <c r="AO771" s="476"/>
      <c r="AP771" s="476"/>
      <c r="AQ771" s="476"/>
      <c r="AR771" s="476"/>
      <c r="AS771" s="476"/>
      <c r="AT771" s="476"/>
      <c r="AU771" s="476"/>
    </row>
    <row r="772" spans="1:47" s="398" customFormat="1" ht="13.15" customHeight="1" x14ac:dyDescent="0.2">
      <c r="A772" s="476"/>
      <c r="D772" s="467"/>
      <c r="F772" s="468"/>
      <c r="G772" s="468"/>
      <c r="H772" s="468"/>
      <c r="I772" s="468"/>
      <c r="J772" s="469"/>
      <c r="L772" s="476"/>
      <c r="M772" s="476"/>
      <c r="N772" s="476"/>
      <c r="O772" s="476"/>
      <c r="P772" s="476"/>
      <c r="Q772" s="476"/>
      <c r="R772" s="476"/>
      <c r="S772" s="476"/>
      <c r="T772" s="476"/>
      <c r="U772" s="476"/>
      <c r="V772" s="476"/>
      <c r="W772" s="476"/>
      <c r="X772" s="476"/>
      <c r="Y772" s="476"/>
      <c r="Z772" s="476"/>
      <c r="AA772" s="476"/>
      <c r="AB772" s="476"/>
      <c r="AC772" s="476"/>
      <c r="AD772" s="476"/>
      <c r="AE772" s="476"/>
      <c r="AF772" s="476"/>
      <c r="AG772" s="476"/>
      <c r="AH772" s="476"/>
      <c r="AI772" s="476"/>
      <c r="AJ772" s="476"/>
      <c r="AK772" s="476"/>
      <c r="AL772" s="476"/>
      <c r="AM772" s="476"/>
      <c r="AN772" s="476"/>
      <c r="AO772" s="476"/>
      <c r="AP772" s="476"/>
      <c r="AQ772" s="476"/>
      <c r="AR772" s="476"/>
      <c r="AS772" s="476"/>
      <c r="AT772" s="476"/>
      <c r="AU772" s="476"/>
    </row>
    <row r="773" spans="1:47" s="398" customFormat="1" ht="13.15" customHeight="1" x14ac:dyDescent="0.2">
      <c r="A773" s="476"/>
      <c r="D773" s="467"/>
      <c r="F773" s="468"/>
      <c r="G773" s="468"/>
      <c r="H773" s="468"/>
      <c r="I773" s="468"/>
      <c r="J773" s="469"/>
      <c r="L773" s="476"/>
      <c r="M773" s="476"/>
      <c r="N773" s="476"/>
      <c r="O773" s="476"/>
      <c r="P773" s="476"/>
      <c r="Q773" s="476"/>
      <c r="R773" s="476"/>
      <c r="S773" s="476"/>
      <c r="T773" s="476"/>
      <c r="U773" s="476"/>
      <c r="V773" s="476"/>
      <c r="W773" s="476"/>
      <c r="X773" s="476"/>
      <c r="Y773" s="476"/>
      <c r="Z773" s="476"/>
      <c r="AA773" s="476"/>
      <c r="AB773" s="476"/>
      <c r="AC773" s="476"/>
      <c r="AD773" s="476"/>
      <c r="AE773" s="476"/>
      <c r="AF773" s="476"/>
      <c r="AG773" s="476"/>
      <c r="AH773" s="476"/>
      <c r="AI773" s="476"/>
      <c r="AJ773" s="476"/>
      <c r="AK773" s="476"/>
      <c r="AL773" s="476"/>
      <c r="AM773" s="476"/>
      <c r="AN773" s="476"/>
      <c r="AO773" s="476"/>
      <c r="AP773" s="476"/>
      <c r="AQ773" s="476"/>
      <c r="AR773" s="476"/>
      <c r="AS773" s="476"/>
      <c r="AT773" s="476"/>
      <c r="AU773" s="476"/>
    </row>
    <row r="774" spans="1:47" s="398" customFormat="1" ht="13.15" customHeight="1" x14ac:dyDescent="0.2">
      <c r="A774" s="476"/>
      <c r="D774" s="467"/>
      <c r="F774" s="468"/>
      <c r="G774" s="468"/>
      <c r="H774" s="468"/>
      <c r="I774" s="468"/>
      <c r="J774" s="469"/>
      <c r="L774" s="476"/>
      <c r="M774" s="476"/>
      <c r="N774" s="476"/>
      <c r="O774" s="476"/>
      <c r="P774" s="476"/>
      <c r="Q774" s="476"/>
      <c r="R774" s="476"/>
      <c r="S774" s="476"/>
      <c r="T774" s="476"/>
      <c r="U774" s="476"/>
      <c r="V774" s="476"/>
      <c r="W774" s="476"/>
      <c r="X774" s="476"/>
      <c r="Y774" s="476"/>
      <c r="Z774" s="476"/>
      <c r="AA774" s="476"/>
      <c r="AB774" s="476"/>
      <c r="AC774" s="476"/>
      <c r="AD774" s="476"/>
      <c r="AE774" s="476"/>
      <c r="AF774" s="476"/>
      <c r="AG774" s="476"/>
      <c r="AH774" s="476"/>
      <c r="AI774" s="476"/>
      <c r="AJ774" s="476"/>
      <c r="AK774" s="476"/>
      <c r="AL774" s="476"/>
      <c r="AM774" s="476"/>
      <c r="AN774" s="476"/>
      <c r="AO774" s="476"/>
      <c r="AP774" s="476"/>
      <c r="AQ774" s="476"/>
      <c r="AR774" s="476"/>
      <c r="AS774" s="476"/>
      <c r="AT774" s="476"/>
      <c r="AU774" s="476"/>
    </row>
    <row r="775" spans="1:47" s="398" customFormat="1" ht="13.15" customHeight="1" x14ac:dyDescent="0.2">
      <c r="A775" s="476"/>
      <c r="D775" s="467"/>
      <c r="F775" s="468"/>
      <c r="G775" s="468"/>
      <c r="H775" s="468"/>
      <c r="I775" s="468"/>
      <c r="J775" s="469"/>
      <c r="L775" s="476"/>
      <c r="M775" s="476"/>
      <c r="N775" s="476"/>
      <c r="O775" s="476"/>
      <c r="P775" s="476"/>
      <c r="Q775" s="476"/>
      <c r="R775" s="476"/>
      <c r="S775" s="476"/>
      <c r="T775" s="476"/>
      <c r="U775" s="476"/>
      <c r="V775" s="476"/>
      <c r="W775" s="476"/>
      <c r="X775" s="476"/>
      <c r="Y775" s="476"/>
      <c r="Z775" s="476"/>
      <c r="AA775" s="476"/>
      <c r="AB775" s="476"/>
      <c r="AC775" s="476"/>
      <c r="AD775" s="476"/>
      <c r="AE775" s="476"/>
      <c r="AF775" s="476"/>
      <c r="AG775" s="476"/>
      <c r="AH775" s="476"/>
      <c r="AI775" s="476"/>
      <c r="AJ775" s="476"/>
      <c r="AK775" s="476"/>
      <c r="AL775" s="476"/>
      <c r="AM775" s="476"/>
      <c r="AN775" s="476"/>
      <c r="AO775" s="476"/>
      <c r="AP775" s="476"/>
      <c r="AQ775" s="476"/>
      <c r="AR775" s="476"/>
      <c r="AS775" s="476"/>
      <c r="AT775" s="476"/>
      <c r="AU775" s="476"/>
    </row>
    <row r="776" spans="1:47" s="398" customFormat="1" ht="13.15" customHeight="1" x14ac:dyDescent="0.2">
      <c r="A776" s="476"/>
      <c r="D776" s="467"/>
      <c r="F776" s="468"/>
      <c r="G776" s="468"/>
      <c r="H776" s="468"/>
      <c r="I776" s="468"/>
      <c r="J776" s="469"/>
      <c r="L776" s="476"/>
      <c r="M776" s="476"/>
      <c r="N776" s="476"/>
      <c r="O776" s="476"/>
      <c r="P776" s="476"/>
      <c r="Q776" s="476"/>
      <c r="R776" s="476"/>
      <c r="S776" s="476"/>
      <c r="T776" s="476"/>
      <c r="U776" s="476"/>
      <c r="V776" s="476"/>
      <c r="W776" s="476"/>
      <c r="X776" s="476"/>
      <c r="Y776" s="476"/>
      <c r="Z776" s="476"/>
      <c r="AA776" s="476"/>
      <c r="AB776" s="476"/>
      <c r="AC776" s="476"/>
      <c r="AD776" s="476"/>
      <c r="AE776" s="476"/>
      <c r="AF776" s="476"/>
      <c r="AG776" s="476"/>
      <c r="AH776" s="476"/>
      <c r="AI776" s="476"/>
      <c r="AJ776" s="476"/>
      <c r="AK776" s="476"/>
      <c r="AL776" s="476"/>
      <c r="AM776" s="476"/>
      <c r="AN776" s="476"/>
      <c r="AO776" s="476"/>
      <c r="AP776" s="476"/>
      <c r="AQ776" s="476"/>
      <c r="AR776" s="476"/>
      <c r="AS776" s="476"/>
      <c r="AT776" s="476"/>
      <c r="AU776" s="476"/>
    </row>
    <row r="777" spans="1:47" s="398" customFormat="1" ht="13.15" customHeight="1" x14ac:dyDescent="0.2">
      <c r="A777" s="476"/>
      <c r="D777" s="467"/>
      <c r="F777" s="468"/>
      <c r="G777" s="468"/>
      <c r="H777" s="468"/>
      <c r="I777" s="468"/>
      <c r="J777" s="469"/>
      <c r="L777" s="476"/>
      <c r="M777" s="476"/>
      <c r="N777" s="476"/>
      <c r="O777" s="476"/>
      <c r="P777" s="476"/>
      <c r="Q777" s="476"/>
      <c r="R777" s="476"/>
      <c r="S777" s="476"/>
      <c r="T777" s="476"/>
      <c r="U777" s="476"/>
      <c r="V777" s="476"/>
      <c r="W777" s="476"/>
      <c r="X777" s="476"/>
      <c r="Y777" s="476"/>
      <c r="Z777" s="476"/>
      <c r="AA777" s="476"/>
      <c r="AB777" s="476"/>
      <c r="AC777" s="476"/>
      <c r="AD777" s="476"/>
      <c r="AE777" s="476"/>
      <c r="AF777" s="476"/>
      <c r="AG777" s="476"/>
      <c r="AH777" s="476"/>
      <c r="AI777" s="476"/>
      <c r="AJ777" s="476"/>
      <c r="AK777" s="476"/>
      <c r="AL777" s="476"/>
      <c r="AM777" s="476"/>
      <c r="AN777" s="476"/>
      <c r="AO777" s="476"/>
      <c r="AP777" s="476"/>
      <c r="AQ777" s="476"/>
      <c r="AR777" s="476"/>
      <c r="AS777" s="476"/>
      <c r="AT777" s="476"/>
      <c r="AU777" s="476"/>
    </row>
    <row r="778" spans="1:47" s="398" customFormat="1" ht="13.15" customHeight="1" x14ac:dyDescent="0.2">
      <c r="A778" s="476"/>
      <c r="D778" s="467"/>
      <c r="F778" s="468"/>
      <c r="G778" s="468"/>
      <c r="H778" s="468"/>
      <c r="I778" s="468"/>
      <c r="J778" s="469"/>
      <c r="L778" s="476"/>
      <c r="M778" s="476"/>
      <c r="N778" s="476"/>
      <c r="O778" s="476"/>
      <c r="P778" s="476"/>
      <c r="Q778" s="476"/>
      <c r="R778" s="476"/>
      <c r="S778" s="476"/>
      <c r="T778" s="476"/>
      <c r="U778" s="476"/>
      <c r="V778" s="476"/>
      <c r="W778" s="476"/>
      <c r="X778" s="476"/>
      <c r="Y778" s="476"/>
      <c r="Z778" s="476"/>
      <c r="AA778" s="476"/>
      <c r="AB778" s="476"/>
      <c r="AC778" s="476"/>
      <c r="AD778" s="476"/>
      <c r="AE778" s="476"/>
      <c r="AF778" s="476"/>
      <c r="AG778" s="476"/>
      <c r="AH778" s="476"/>
      <c r="AI778" s="476"/>
      <c r="AJ778" s="476"/>
      <c r="AK778" s="476"/>
      <c r="AL778" s="476"/>
      <c r="AM778" s="476"/>
      <c r="AN778" s="476"/>
      <c r="AO778" s="476"/>
      <c r="AP778" s="476"/>
      <c r="AQ778" s="476"/>
      <c r="AR778" s="476"/>
      <c r="AS778" s="476"/>
      <c r="AT778" s="476"/>
      <c r="AU778" s="476"/>
    </row>
    <row r="779" spans="1:47" s="398" customFormat="1" ht="13.15" customHeight="1" x14ac:dyDescent="0.2">
      <c r="A779" s="476"/>
      <c r="D779" s="467"/>
      <c r="F779" s="468"/>
      <c r="G779" s="468"/>
      <c r="H779" s="468"/>
      <c r="I779" s="468"/>
      <c r="J779" s="469"/>
      <c r="L779" s="476"/>
      <c r="M779" s="476"/>
      <c r="N779" s="476"/>
      <c r="O779" s="476"/>
      <c r="P779" s="476"/>
      <c r="Q779" s="476"/>
      <c r="R779" s="476"/>
      <c r="S779" s="476"/>
      <c r="T779" s="476"/>
      <c r="U779" s="476"/>
      <c r="V779" s="476"/>
      <c r="W779" s="476"/>
      <c r="X779" s="476"/>
      <c r="Y779" s="476"/>
      <c r="Z779" s="476"/>
      <c r="AA779" s="476"/>
      <c r="AB779" s="476"/>
      <c r="AC779" s="476"/>
      <c r="AD779" s="476"/>
      <c r="AE779" s="476"/>
      <c r="AF779" s="476"/>
      <c r="AG779" s="476"/>
      <c r="AH779" s="476"/>
      <c r="AI779" s="476"/>
      <c r="AJ779" s="476"/>
      <c r="AK779" s="476"/>
      <c r="AL779" s="476"/>
      <c r="AM779" s="476"/>
      <c r="AN779" s="476"/>
      <c r="AO779" s="476"/>
      <c r="AP779" s="476"/>
      <c r="AQ779" s="476"/>
      <c r="AR779" s="476"/>
      <c r="AS779" s="476"/>
      <c r="AT779" s="476"/>
      <c r="AU779" s="476"/>
    </row>
    <row r="780" spans="1:47" s="398" customFormat="1" ht="13.15" customHeight="1" x14ac:dyDescent="0.2">
      <c r="A780" s="476"/>
      <c r="D780" s="467"/>
      <c r="F780" s="468"/>
      <c r="G780" s="468"/>
      <c r="H780" s="468"/>
      <c r="I780" s="468"/>
      <c r="J780" s="469"/>
      <c r="L780" s="476"/>
      <c r="M780" s="476"/>
      <c r="N780" s="476"/>
      <c r="O780" s="476"/>
      <c r="P780" s="476"/>
      <c r="Q780" s="476"/>
      <c r="R780" s="476"/>
      <c r="S780" s="476"/>
      <c r="T780" s="476"/>
      <c r="U780" s="476"/>
      <c r="V780" s="476"/>
      <c r="W780" s="476"/>
      <c r="X780" s="476"/>
      <c r="Y780" s="476"/>
      <c r="Z780" s="476"/>
      <c r="AA780" s="476"/>
      <c r="AB780" s="476"/>
      <c r="AC780" s="476"/>
      <c r="AD780" s="476"/>
      <c r="AE780" s="476"/>
      <c r="AF780" s="476"/>
      <c r="AG780" s="476"/>
      <c r="AH780" s="476"/>
      <c r="AI780" s="476"/>
      <c r="AJ780" s="476"/>
      <c r="AK780" s="476"/>
      <c r="AL780" s="476"/>
      <c r="AM780" s="476"/>
      <c r="AN780" s="476"/>
      <c r="AO780" s="476"/>
      <c r="AP780" s="476"/>
      <c r="AQ780" s="476"/>
      <c r="AR780" s="476"/>
      <c r="AS780" s="476"/>
      <c r="AT780" s="476"/>
      <c r="AU780" s="476"/>
    </row>
    <row r="781" spans="1:47" s="398" customFormat="1" ht="13.15" customHeight="1" x14ac:dyDescent="0.2">
      <c r="A781" s="476"/>
      <c r="D781" s="467"/>
      <c r="F781" s="468"/>
      <c r="G781" s="468"/>
      <c r="H781" s="468"/>
      <c r="I781" s="468"/>
      <c r="J781" s="469"/>
      <c r="L781" s="476"/>
      <c r="M781" s="476"/>
      <c r="N781" s="476"/>
      <c r="O781" s="476"/>
      <c r="P781" s="476"/>
      <c r="Q781" s="476"/>
      <c r="R781" s="476"/>
      <c r="S781" s="476"/>
      <c r="T781" s="476"/>
      <c r="U781" s="476"/>
      <c r="V781" s="476"/>
      <c r="W781" s="476"/>
      <c r="X781" s="476"/>
      <c r="Y781" s="476"/>
      <c r="Z781" s="476"/>
      <c r="AA781" s="476"/>
      <c r="AB781" s="476"/>
      <c r="AC781" s="476"/>
      <c r="AD781" s="476"/>
      <c r="AE781" s="476"/>
      <c r="AF781" s="476"/>
      <c r="AG781" s="476"/>
      <c r="AH781" s="476"/>
      <c r="AI781" s="476"/>
      <c r="AJ781" s="476"/>
      <c r="AK781" s="476"/>
      <c r="AL781" s="476"/>
      <c r="AM781" s="476"/>
      <c r="AN781" s="476"/>
      <c r="AO781" s="476"/>
      <c r="AP781" s="476"/>
      <c r="AQ781" s="476"/>
      <c r="AR781" s="476"/>
      <c r="AS781" s="476"/>
      <c r="AT781" s="476"/>
      <c r="AU781" s="476"/>
    </row>
    <row r="782" spans="1:47" s="398" customFormat="1" ht="13.15" customHeight="1" x14ac:dyDescent="0.2">
      <c r="A782" s="476"/>
      <c r="D782" s="467"/>
      <c r="F782" s="468"/>
      <c r="G782" s="468"/>
      <c r="H782" s="468"/>
      <c r="I782" s="468"/>
      <c r="J782" s="469"/>
      <c r="L782" s="476"/>
      <c r="M782" s="476"/>
      <c r="N782" s="476"/>
      <c r="O782" s="476"/>
      <c r="P782" s="476"/>
      <c r="Q782" s="476"/>
      <c r="R782" s="476"/>
      <c r="S782" s="476"/>
      <c r="T782" s="476"/>
      <c r="U782" s="476"/>
      <c r="V782" s="476"/>
      <c r="W782" s="476"/>
      <c r="X782" s="476"/>
      <c r="Y782" s="476"/>
      <c r="Z782" s="476"/>
      <c r="AA782" s="476"/>
      <c r="AB782" s="476"/>
      <c r="AC782" s="476"/>
      <c r="AD782" s="476"/>
      <c r="AE782" s="476"/>
      <c r="AF782" s="476"/>
      <c r="AG782" s="476"/>
      <c r="AH782" s="476"/>
      <c r="AI782" s="476"/>
      <c r="AJ782" s="476"/>
      <c r="AK782" s="476"/>
      <c r="AL782" s="476"/>
      <c r="AM782" s="476"/>
      <c r="AN782" s="476"/>
      <c r="AO782" s="476"/>
      <c r="AP782" s="476"/>
      <c r="AQ782" s="476"/>
      <c r="AR782" s="476"/>
      <c r="AS782" s="476"/>
      <c r="AT782" s="476"/>
      <c r="AU782" s="476"/>
    </row>
    <row r="783" spans="1:47" s="398" customFormat="1" ht="13.15" customHeight="1" x14ac:dyDescent="0.2">
      <c r="A783" s="476"/>
      <c r="D783" s="467"/>
      <c r="F783" s="468"/>
      <c r="G783" s="468"/>
      <c r="H783" s="468"/>
      <c r="I783" s="468"/>
      <c r="J783" s="469"/>
      <c r="L783" s="476"/>
      <c r="M783" s="476"/>
      <c r="N783" s="476"/>
      <c r="O783" s="476"/>
      <c r="P783" s="476"/>
      <c r="Q783" s="476"/>
      <c r="R783" s="476"/>
      <c r="S783" s="476"/>
      <c r="T783" s="476"/>
      <c r="U783" s="476"/>
      <c r="V783" s="476"/>
      <c r="W783" s="476"/>
      <c r="X783" s="476"/>
      <c r="Y783" s="476"/>
      <c r="Z783" s="476"/>
      <c r="AA783" s="476"/>
      <c r="AB783" s="476"/>
      <c r="AC783" s="476"/>
      <c r="AD783" s="476"/>
      <c r="AE783" s="476"/>
      <c r="AF783" s="476"/>
      <c r="AG783" s="476"/>
      <c r="AH783" s="476"/>
      <c r="AI783" s="476"/>
      <c r="AJ783" s="476"/>
      <c r="AK783" s="476"/>
      <c r="AL783" s="476"/>
      <c r="AM783" s="476"/>
      <c r="AN783" s="476"/>
      <c r="AO783" s="476"/>
      <c r="AP783" s="476"/>
      <c r="AQ783" s="476"/>
      <c r="AR783" s="476"/>
      <c r="AS783" s="476"/>
      <c r="AT783" s="476"/>
      <c r="AU783" s="476"/>
    </row>
    <row r="784" spans="1:47" s="398" customFormat="1" ht="13.15" customHeight="1" x14ac:dyDescent="0.2">
      <c r="A784" s="476"/>
      <c r="D784" s="467"/>
      <c r="F784" s="468"/>
      <c r="G784" s="468"/>
      <c r="H784" s="468"/>
      <c r="I784" s="468"/>
      <c r="J784" s="469"/>
      <c r="L784" s="476"/>
      <c r="M784" s="476"/>
      <c r="N784" s="476"/>
      <c r="O784" s="476"/>
      <c r="P784" s="476"/>
      <c r="Q784" s="476"/>
      <c r="R784" s="476"/>
      <c r="S784" s="476"/>
      <c r="T784" s="476"/>
      <c r="U784" s="476"/>
      <c r="V784" s="476"/>
      <c r="W784" s="476"/>
      <c r="X784" s="476"/>
      <c r="Y784" s="476"/>
      <c r="Z784" s="476"/>
      <c r="AA784" s="476"/>
      <c r="AB784" s="476"/>
      <c r="AC784" s="476"/>
      <c r="AD784" s="476"/>
      <c r="AE784" s="476"/>
      <c r="AF784" s="476"/>
      <c r="AG784" s="476"/>
      <c r="AH784" s="476"/>
      <c r="AI784" s="476"/>
      <c r="AJ784" s="476"/>
      <c r="AK784" s="476"/>
      <c r="AL784" s="476"/>
      <c r="AM784" s="476"/>
      <c r="AN784" s="476"/>
      <c r="AO784" s="476"/>
      <c r="AP784" s="476"/>
      <c r="AQ784" s="476"/>
      <c r="AR784" s="476"/>
      <c r="AS784" s="476"/>
      <c r="AT784" s="476"/>
      <c r="AU784" s="476"/>
    </row>
    <row r="785" spans="1:47" s="398" customFormat="1" ht="13.15" customHeight="1" x14ac:dyDescent="0.2">
      <c r="A785" s="476"/>
      <c r="D785" s="467"/>
      <c r="F785" s="468"/>
      <c r="G785" s="468"/>
      <c r="H785" s="468"/>
      <c r="I785" s="468"/>
      <c r="J785" s="469"/>
      <c r="L785" s="476"/>
      <c r="M785" s="476"/>
      <c r="N785" s="476"/>
      <c r="O785" s="476"/>
      <c r="P785" s="476"/>
      <c r="Q785" s="476"/>
      <c r="R785" s="476"/>
      <c r="S785" s="476"/>
      <c r="T785" s="476"/>
      <c r="U785" s="476"/>
      <c r="V785" s="476"/>
      <c r="W785" s="476"/>
      <c r="X785" s="476"/>
      <c r="Y785" s="476"/>
      <c r="Z785" s="476"/>
      <c r="AA785" s="476"/>
      <c r="AB785" s="476"/>
      <c r="AC785" s="476"/>
      <c r="AD785" s="476"/>
      <c r="AE785" s="476"/>
      <c r="AF785" s="476"/>
      <c r="AG785" s="476"/>
      <c r="AH785" s="476"/>
      <c r="AI785" s="476"/>
      <c r="AJ785" s="476"/>
      <c r="AK785" s="476"/>
      <c r="AL785" s="476"/>
      <c r="AM785" s="476"/>
      <c r="AN785" s="476"/>
      <c r="AO785" s="476"/>
      <c r="AP785" s="476"/>
      <c r="AQ785" s="476"/>
      <c r="AR785" s="476"/>
      <c r="AS785" s="476"/>
      <c r="AT785" s="476"/>
      <c r="AU785" s="476"/>
    </row>
    <row r="786" spans="1:47" s="398" customFormat="1" ht="13.15" customHeight="1" x14ac:dyDescent="0.2">
      <c r="A786" s="476"/>
      <c r="D786" s="467"/>
      <c r="F786" s="468"/>
      <c r="G786" s="468"/>
      <c r="H786" s="468"/>
      <c r="I786" s="468"/>
      <c r="J786" s="469"/>
      <c r="L786" s="476"/>
      <c r="M786" s="476"/>
      <c r="N786" s="476"/>
      <c r="O786" s="476"/>
      <c r="P786" s="476"/>
      <c r="Q786" s="476"/>
      <c r="R786" s="476"/>
      <c r="S786" s="476"/>
      <c r="T786" s="476"/>
      <c r="U786" s="476"/>
      <c r="V786" s="476"/>
      <c r="W786" s="476"/>
      <c r="X786" s="476"/>
      <c r="Y786" s="476"/>
      <c r="Z786" s="476"/>
      <c r="AA786" s="476"/>
      <c r="AB786" s="476"/>
      <c r="AC786" s="476"/>
      <c r="AD786" s="476"/>
      <c r="AE786" s="476"/>
      <c r="AF786" s="476"/>
      <c r="AG786" s="476"/>
      <c r="AH786" s="476"/>
      <c r="AI786" s="476"/>
      <c r="AJ786" s="476"/>
      <c r="AK786" s="476"/>
      <c r="AL786" s="476"/>
      <c r="AM786" s="476"/>
      <c r="AN786" s="476"/>
      <c r="AO786" s="476"/>
      <c r="AP786" s="476"/>
      <c r="AQ786" s="476"/>
      <c r="AR786" s="476"/>
      <c r="AS786" s="476"/>
      <c r="AT786" s="476"/>
      <c r="AU786" s="476"/>
    </row>
    <row r="787" spans="1:47" s="398" customFormat="1" ht="13.15" customHeight="1" x14ac:dyDescent="0.2">
      <c r="A787" s="476"/>
      <c r="D787" s="467"/>
      <c r="F787" s="468"/>
      <c r="G787" s="468"/>
      <c r="H787" s="468"/>
      <c r="I787" s="468"/>
      <c r="J787" s="469"/>
      <c r="L787" s="476"/>
      <c r="M787" s="476"/>
      <c r="N787" s="476"/>
      <c r="O787" s="476"/>
      <c r="P787" s="476"/>
      <c r="Q787" s="476"/>
      <c r="R787" s="476"/>
      <c r="S787" s="476"/>
      <c r="T787" s="476"/>
      <c r="U787" s="476"/>
      <c r="V787" s="476"/>
      <c r="W787" s="476"/>
      <c r="X787" s="476"/>
      <c r="Y787" s="476"/>
      <c r="Z787" s="476"/>
      <c r="AA787" s="476"/>
      <c r="AB787" s="476"/>
      <c r="AC787" s="476"/>
      <c r="AD787" s="476"/>
      <c r="AE787" s="476"/>
      <c r="AF787" s="476"/>
      <c r="AG787" s="476"/>
      <c r="AH787" s="476"/>
      <c r="AI787" s="476"/>
      <c r="AJ787" s="476"/>
      <c r="AK787" s="476"/>
      <c r="AL787" s="476"/>
      <c r="AM787" s="476"/>
      <c r="AN787" s="476"/>
      <c r="AO787" s="476"/>
      <c r="AP787" s="476"/>
      <c r="AQ787" s="476"/>
      <c r="AR787" s="476"/>
      <c r="AS787" s="476"/>
      <c r="AT787" s="476"/>
      <c r="AU787" s="476"/>
    </row>
    <row r="788" spans="1:47" s="398" customFormat="1" ht="13.15" customHeight="1" x14ac:dyDescent="0.2">
      <c r="A788" s="476"/>
      <c r="D788" s="467"/>
      <c r="F788" s="468"/>
      <c r="G788" s="468"/>
      <c r="H788" s="468"/>
      <c r="I788" s="468"/>
      <c r="J788" s="469"/>
      <c r="L788" s="476"/>
      <c r="M788" s="476"/>
      <c r="N788" s="476"/>
      <c r="O788" s="476"/>
      <c r="P788" s="476"/>
      <c r="Q788" s="476"/>
      <c r="R788" s="476"/>
      <c r="S788" s="476"/>
      <c r="T788" s="476"/>
      <c r="U788" s="476"/>
      <c r="V788" s="476"/>
      <c r="W788" s="476"/>
      <c r="X788" s="476"/>
      <c r="Y788" s="476"/>
      <c r="Z788" s="476"/>
      <c r="AA788" s="476"/>
      <c r="AB788" s="476"/>
      <c r="AC788" s="476"/>
      <c r="AD788" s="476"/>
      <c r="AE788" s="476"/>
      <c r="AF788" s="476"/>
      <c r="AG788" s="476"/>
      <c r="AH788" s="476"/>
      <c r="AI788" s="476"/>
      <c r="AJ788" s="476"/>
      <c r="AK788" s="476"/>
      <c r="AL788" s="476"/>
      <c r="AM788" s="476"/>
      <c r="AN788" s="476"/>
      <c r="AO788" s="476"/>
      <c r="AP788" s="476"/>
      <c r="AQ788" s="476"/>
      <c r="AR788" s="476"/>
      <c r="AS788" s="476"/>
      <c r="AT788" s="476"/>
      <c r="AU788" s="476"/>
    </row>
    <row r="789" spans="1:47" s="398" customFormat="1" ht="13.15" customHeight="1" x14ac:dyDescent="0.2">
      <c r="A789" s="476"/>
      <c r="D789" s="467"/>
      <c r="F789" s="468"/>
      <c r="G789" s="468"/>
      <c r="H789" s="468"/>
      <c r="I789" s="468"/>
      <c r="J789" s="469"/>
      <c r="L789" s="476"/>
      <c r="M789" s="476"/>
      <c r="N789" s="476"/>
      <c r="O789" s="476"/>
      <c r="P789" s="476"/>
      <c r="Q789" s="476"/>
      <c r="R789" s="476"/>
      <c r="S789" s="476"/>
      <c r="T789" s="476"/>
      <c r="U789" s="476"/>
      <c r="V789" s="476"/>
      <c r="W789" s="476"/>
      <c r="X789" s="476"/>
      <c r="Y789" s="476"/>
      <c r="Z789" s="476"/>
      <c r="AA789" s="476"/>
      <c r="AB789" s="476"/>
      <c r="AC789" s="476"/>
      <c r="AD789" s="476"/>
      <c r="AE789" s="476"/>
      <c r="AF789" s="476"/>
      <c r="AG789" s="476"/>
      <c r="AH789" s="476"/>
      <c r="AI789" s="476"/>
      <c r="AJ789" s="476"/>
      <c r="AK789" s="476"/>
      <c r="AL789" s="476"/>
      <c r="AM789" s="476"/>
      <c r="AN789" s="476"/>
      <c r="AO789" s="476"/>
      <c r="AP789" s="476"/>
      <c r="AQ789" s="476"/>
      <c r="AR789" s="476"/>
      <c r="AS789" s="476"/>
      <c r="AT789" s="476"/>
      <c r="AU789" s="476"/>
    </row>
    <row r="790" spans="1:47" s="398" customFormat="1" ht="13.15" customHeight="1" x14ac:dyDescent="0.2">
      <c r="A790" s="476"/>
      <c r="D790" s="467"/>
      <c r="F790" s="468"/>
      <c r="G790" s="468"/>
      <c r="H790" s="468"/>
      <c r="I790" s="468"/>
      <c r="J790" s="469"/>
      <c r="L790" s="476"/>
      <c r="M790" s="476"/>
      <c r="N790" s="476"/>
      <c r="O790" s="476"/>
      <c r="P790" s="476"/>
      <c r="Q790" s="476"/>
      <c r="R790" s="476"/>
      <c r="S790" s="476"/>
      <c r="T790" s="476"/>
      <c r="U790" s="476"/>
      <c r="V790" s="476"/>
      <c r="W790" s="476"/>
      <c r="X790" s="476"/>
      <c r="Y790" s="476"/>
      <c r="Z790" s="476"/>
      <c r="AA790" s="476"/>
      <c r="AB790" s="476"/>
      <c r="AC790" s="476"/>
      <c r="AD790" s="476"/>
      <c r="AE790" s="476"/>
      <c r="AF790" s="476"/>
      <c r="AG790" s="476"/>
      <c r="AH790" s="476"/>
      <c r="AI790" s="476"/>
      <c r="AJ790" s="476"/>
      <c r="AK790" s="476"/>
      <c r="AL790" s="476"/>
      <c r="AM790" s="476"/>
      <c r="AN790" s="476"/>
      <c r="AO790" s="476"/>
      <c r="AP790" s="476"/>
      <c r="AQ790" s="476"/>
      <c r="AR790" s="476"/>
      <c r="AS790" s="476"/>
      <c r="AT790" s="476"/>
      <c r="AU790" s="476"/>
    </row>
    <row r="791" spans="1:47" s="398" customFormat="1" ht="13.15" customHeight="1" x14ac:dyDescent="0.2">
      <c r="A791" s="476"/>
      <c r="D791" s="467"/>
      <c r="F791" s="468"/>
      <c r="G791" s="468"/>
      <c r="H791" s="468"/>
      <c r="I791" s="468"/>
      <c r="J791" s="469"/>
      <c r="L791" s="476"/>
      <c r="M791" s="476"/>
      <c r="N791" s="476"/>
      <c r="O791" s="476"/>
      <c r="P791" s="476"/>
      <c r="Q791" s="476"/>
      <c r="R791" s="476"/>
      <c r="S791" s="476"/>
      <c r="T791" s="476"/>
      <c r="U791" s="476"/>
      <c r="V791" s="476"/>
      <c r="W791" s="476"/>
      <c r="X791" s="476"/>
      <c r="Y791" s="476"/>
      <c r="Z791" s="476"/>
      <c r="AA791" s="476"/>
      <c r="AB791" s="476"/>
      <c r="AC791" s="476"/>
      <c r="AD791" s="476"/>
      <c r="AE791" s="476"/>
      <c r="AF791" s="476"/>
      <c r="AG791" s="476"/>
      <c r="AH791" s="476"/>
      <c r="AI791" s="476"/>
      <c r="AJ791" s="476"/>
      <c r="AK791" s="476"/>
      <c r="AL791" s="476"/>
      <c r="AM791" s="476"/>
      <c r="AN791" s="476"/>
      <c r="AO791" s="476"/>
      <c r="AP791" s="476"/>
      <c r="AQ791" s="476"/>
      <c r="AR791" s="476"/>
      <c r="AS791" s="476"/>
      <c r="AT791" s="476"/>
      <c r="AU791" s="476"/>
    </row>
    <row r="792" spans="1:47" s="398" customFormat="1" ht="13.15" customHeight="1" x14ac:dyDescent="0.2">
      <c r="A792" s="476"/>
      <c r="D792" s="467"/>
      <c r="F792" s="468"/>
      <c r="G792" s="468"/>
      <c r="H792" s="468"/>
      <c r="I792" s="468"/>
      <c r="J792" s="469"/>
      <c r="L792" s="476"/>
      <c r="M792" s="476"/>
      <c r="N792" s="476"/>
      <c r="O792" s="476"/>
      <c r="P792" s="476"/>
      <c r="Q792" s="476"/>
      <c r="R792" s="476"/>
      <c r="S792" s="476"/>
      <c r="T792" s="476"/>
      <c r="U792" s="476"/>
      <c r="V792" s="476"/>
      <c r="W792" s="476"/>
      <c r="X792" s="476"/>
      <c r="Y792" s="476"/>
      <c r="Z792" s="476"/>
      <c r="AA792" s="476"/>
      <c r="AB792" s="476"/>
      <c r="AC792" s="476"/>
      <c r="AD792" s="476"/>
      <c r="AE792" s="476"/>
      <c r="AF792" s="476"/>
      <c r="AG792" s="476"/>
      <c r="AH792" s="476"/>
      <c r="AI792" s="476"/>
      <c r="AJ792" s="476"/>
      <c r="AK792" s="476"/>
      <c r="AL792" s="476"/>
      <c r="AM792" s="476"/>
      <c r="AN792" s="476"/>
      <c r="AO792" s="476"/>
      <c r="AP792" s="476"/>
      <c r="AQ792" s="476"/>
      <c r="AR792" s="476"/>
      <c r="AS792" s="476"/>
      <c r="AT792" s="476"/>
      <c r="AU792" s="476"/>
    </row>
    <row r="793" spans="1:47" s="398" customFormat="1" ht="13.15" customHeight="1" x14ac:dyDescent="0.2">
      <c r="A793" s="476"/>
      <c r="D793" s="467"/>
      <c r="F793" s="468"/>
      <c r="G793" s="468"/>
      <c r="H793" s="468"/>
      <c r="I793" s="468"/>
      <c r="J793" s="469"/>
      <c r="L793" s="476"/>
      <c r="M793" s="476"/>
      <c r="N793" s="476"/>
      <c r="O793" s="476"/>
      <c r="P793" s="476"/>
      <c r="Q793" s="476"/>
      <c r="R793" s="476"/>
      <c r="S793" s="476"/>
      <c r="T793" s="476"/>
      <c r="U793" s="476"/>
      <c r="V793" s="476"/>
      <c r="W793" s="476"/>
      <c r="X793" s="476"/>
      <c r="Y793" s="476"/>
      <c r="Z793" s="476"/>
      <c r="AA793" s="476"/>
      <c r="AB793" s="476"/>
      <c r="AC793" s="476"/>
      <c r="AD793" s="476"/>
      <c r="AE793" s="476"/>
      <c r="AF793" s="476"/>
      <c r="AG793" s="476"/>
      <c r="AH793" s="476"/>
      <c r="AI793" s="476"/>
      <c r="AJ793" s="476"/>
      <c r="AK793" s="476"/>
      <c r="AL793" s="476"/>
      <c r="AM793" s="476"/>
      <c r="AN793" s="476"/>
      <c r="AO793" s="476"/>
      <c r="AP793" s="476"/>
      <c r="AQ793" s="476"/>
      <c r="AR793" s="476"/>
      <c r="AS793" s="476"/>
      <c r="AT793" s="476"/>
      <c r="AU793" s="476"/>
    </row>
    <row r="794" spans="1:47" s="398" customFormat="1" ht="13.15" customHeight="1" x14ac:dyDescent="0.2">
      <c r="A794" s="476"/>
      <c r="D794" s="467"/>
      <c r="F794" s="468"/>
      <c r="G794" s="468"/>
      <c r="H794" s="468"/>
      <c r="I794" s="468"/>
      <c r="J794" s="469"/>
      <c r="L794" s="476"/>
      <c r="M794" s="476"/>
      <c r="N794" s="476"/>
      <c r="O794" s="476"/>
      <c r="P794" s="476"/>
      <c r="Q794" s="476"/>
      <c r="R794" s="476"/>
      <c r="S794" s="476"/>
      <c r="T794" s="476"/>
      <c r="U794" s="476"/>
      <c r="V794" s="476"/>
      <c r="W794" s="476"/>
      <c r="X794" s="476"/>
      <c r="Y794" s="476"/>
      <c r="Z794" s="476"/>
      <c r="AA794" s="476"/>
      <c r="AB794" s="476"/>
      <c r="AC794" s="476"/>
      <c r="AD794" s="476"/>
      <c r="AE794" s="476"/>
      <c r="AF794" s="476"/>
      <c r="AG794" s="476"/>
      <c r="AH794" s="476"/>
      <c r="AI794" s="476"/>
      <c r="AJ794" s="476"/>
      <c r="AK794" s="476"/>
      <c r="AL794" s="476"/>
      <c r="AM794" s="476"/>
      <c r="AN794" s="476"/>
      <c r="AO794" s="476"/>
      <c r="AP794" s="476"/>
      <c r="AQ794" s="476"/>
      <c r="AR794" s="476"/>
      <c r="AS794" s="476"/>
      <c r="AT794" s="476"/>
      <c r="AU794" s="476"/>
    </row>
    <row r="795" spans="1:47" s="398" customFormat="1" ht="13.15" customHeight="1" x14ac:dyDescent="0.2">
      <c r="A795" s="476"/>
      <c r="D795" s="467"/>
      <c r="F795" s="468"/>
      <c r="G795" s="468"/>
      <c r="H795" s="468"/>
      <c r="I795" s="468"/>
      <c r="J795" s="469"/>
      <c r="L795" s="476"/>
      <c r="M795" s="476"/>
      <c r="N795" s="476"/>
      <c r="O795" s="476"/>
      <c r="P795" s="476"/>
      <c r="Q795" s="476"/>
      <c r="R795" s="476"/>
      <c r="S795" s="476"/>
      <c r="T795" s="476"/>
      <c r="U795" s="476"/>
      <c r="V795" s="476"/>
      <c r="W795" s="476"/>
      <c r="X795" s="476"/>
      <c r="Y795" s="476"/>
      <c r="Z795" s="476"/>
      <c r="AA795" s="476"/>
      <c r="AB795" s="476"/>
      <c r="AC795" s="476"/>
      <c r="AD795" s="476"/>
      <c r="AE795" s="476"/>
      <c r="AF795" s="476"/>
      <c r="AG795" s="476"/>
      <c r="AH795" s="476"/>
      <c r="AI795" s="476"/>
      <c r="AJ795" s="476"/>
      <c r="AK795" s="476"/>
      <c r="AL795" s="476"/>
      <c r="AM795" s="476"/>
      <c r="AN795" s="476"/>
      <c r="AO795" s="476"/>
      <c r="AP795" s="476"/>
      <c r="AQ795" s="476"/>
      <c r="AR795" s="476"/>
      <c r="AS795" s="476"/>
      <c r="AT795" s="476"/>
      <c r="AU795" s="476"/>
    </row>
    <row r="796" spans="1:47" s="398" customFormat="1" ht="13.15" customHeight="1" x14ac:dyDescent="0.2">
      <c r="A796" s="476"/>
      <c r="D796" s="467"/>
      <c r="F796" s="468"/>
      <c r="G796" s="468"/>
      <c r="H796" s="468"/>
      <c r="I796" s="468"/>
      <c r="J796" s="469"/>
      <c r="L796" s="476"/>
      <c r="M796" s="476"/>
      <c r="N796" s="476"/>
      <c r="O796" s="476"/>
      <c r="P796" s="476"/>
      <c r="Q796" s="476"/>
      <c r="R796" s="476"/>
      <c r="S796" s="476"/>
      <c r="T796" s="476"/>
      <c r="U796" s="476"/>
      <c r="V796" s="476"/>
      <c r="W796" s="476"/>
      <c r="X796" s="476"/>
      <c r="Y796" s="476"/>
      <c r="Z796" s="476"/>
      <c r="AA796" s="476"/>
      <c r="AB796" s="476"/>
      <c r="AC796" s="476"/>
      <c r="AD796" s="476"/>
      <c r="AE796" s="476"/>
      <c r="AF796" s="476"/>
      <c r="AG796" s="476"/>
      <c r="AH796" s="476"/>
      <c r="AI796" s="476"/>
      <c r="AJ796" s="476"/>
      <c r="AK796" s="476"/>
      <c r="AL796" s="476"/>
      <c r="AM796" s="476"/>
      <c r="AN796" s="476"/>
      <c r="AO796" s="476"/>
      <c r="AP796" s="476"/>
      <c r="AQ796" s="476"/>
      <c r="AR796" s="476"/>
      <c r="AS796" s="476"/>
      <c r="AT796" s="476"/>
      <c r="AU796" s="476"/>
    </row>
    <row r="797" spans="1:47" s="398" customFormat="1" ht="13.15" customHeight="1" x14ac:dyDescent="0.2">
      <c r="A797" s="476"/>
      <c r="D797" s="467"/>
      <c r="F797" s="468"/>
      <c r="G797" s="468"/>
      <c r="H797" s="468"/>
      <c r="I797" s="468"/>
      <c r="J797" s="469"/>
      <c r="L797" s="476"/>
      <c r="M797" s="476"/>
      <c r="N797" s="476"/>
      <c r="O797" s="476"/>
      <c r="P797" s="476"/>
      <c r="Q797" s="476"/>
      <c r="R797" s="476"/>
      <c r="S797" s="476"/>
      <c r="T797" s="476"/>
      <c r="U797" s="476"/>
      <c r="V797" s="476"/>
      <c r="W797" s="476"/>
      <c r="X797" s="476"/>
      <c r="Y797" s="476"/>
      <c r="Z797" s="476"/>
      <c r="AA797" s="476"/>
      <c r="AB797" s="476"/>
      <c r="AC797" s="476"/>
      <c r="AD797" s="476"/>
      <c r="AE797" s="476"/>
      <c r="AF797" s="476"/>
      <c r="AG797" s="476"/>
      <c r="AH797" s="476"/>
      <c r="AI797" s="476"/>
      <c r="AJ797" s="476"/>
      <c r="AK797" s="476"/>
      <c r="AL797" s="476"/>
      <c r="AM797" s="476"/>
      <c r="AN797" s="476"/>
      <c r="AO797" s="476"/>
      <c r="AP797" s="476"/>
      <c r="AQ797" s="476"/>
      <c r="AR797" s="476"/>
      <c r="AS797" s="476"/>
      <c r="AT797" s="476"/>
      <c r="AU797" s="476"/>
    </row>
    <row r="798" spans="1:47" s="398" customFormat="1" ht="13.15" customHeight="1" x14ac:dyDescent="0.2">
      <c r="A798" s="476"/>
      <c r="D798" s="467"/>
      <c r="F798" s="468"/>
      <c r="G798" s="468"/>
      <c r="H798" s="468"/>
      <c r="I798" s="468"/>
      <c r="J798" s="469"/>
      <c r="L798" s="476"/>
      <c r="M798" s="476"/>
      <c r="N798" s="476"/>
      <c r="O798" s="476"/>
      <c r="P798" s="476"/>
      <c r="Q798" s="476"/>
      <c r="R798" s="476"/>
      <c r="S798" s="476"/>
      <c r="T798" s="476"/>
      <c r="U798" s="476"/>
      <c r="V798" s="476"/>
      <c r="W798" s="476"/>
      <c r="X798" s="476"/>
      <c r="Y798" s="476"/>
      <c r="Z798" s="476"/>
      <c r="AA798" s="476"/>
      <c r="AB798" s="476"/>
      <c r="AC798" s="476"/>
      <c r="AD798" s="476"/>
      <c r="AE798" s="476"/>
      <c r="AF798" s="476"/>
      <c r="AG798" s="476"/>
      <c r="AH798" s="476"/>
      <c r="AI798" s="476"/>
      <c r="AJ798" s="476"/>
      <c r="AK798" s="476"/>
      <c r="AL798" s="476"/>
      <c r="AM798" s="476"/>
      <c r="AN798" s="476"/>
      <c r="AO798" s="476"/>
      <c r="AP798" s="476"/>
      <c r="AQ798" s="476"/>
      <c r="AR798" s="476"/>
      <c r="AS798" s="476"/>
      <c r="AT798" s="476"/>
      <c r="AU798" s="476"/>
    </row>
    <row r="799" spans="1:47" s="398" customFormat="1" ht="13.15" customHeight="1" x14ac:dyDescent="0.2">
      <c r="A799" s="476"/>
      <c r="D799" s="467"/>
      <c r="F799" s="468"/>
      <c r="G799" s="468"/>
      <c r="H799" s="468"/>
      <c r="I799" s="468"/>
      <c r="J799" s="469"/>
      <c r="L799" s="476"/>
      <c r="M799" s="476"/>
      <c r="N799" s="476"/>
      <c r="O799" s="476"/>
      <c r="P799" s="476"/>
      <c r="Q799" s="476"/>
      <c r="R799" s="476"/>
      <c r="S799" s="476"/>
      <c r="T799" s="476"/>
      <c r="U799" s="476"/>
      <c r="V799" s="476"/>
      <c r="W799" s="476"/>
      <c r="X799" s="476"/>
      <c r="Y799" s="476"/>
      <c r="Z799" s="476"/>
      <c r="AA799" s="476"/>
      <c r="AB799" s="476"/>
      <c r="AC799" s="476"/>
      <c r="AD799" s="476"/>
      <c r="AE799" s="476"/>
      <c r="AF799" s="476"/>
      <c r="AG799" s="476"/>
      <c r="AH799" s="476"/>
      <c r="AI799" s="476"/>
      <c r="AJ799" s="476"/>
      <c r="AK799" s="476"/>
      <c r="AL799" s="476"/>
      <c r="AM799" s="476"/>
      <c r="AN799" s="476"/>
      <c r="AO799" s="476"/>
      <c r="AP799" s="476"/>
      <c r="AQ799" s="476"/>
      <c r="AR799" s="476"/>
      <c r="AS799" s="476"/>
      <c r="AT799" s="476"/>
      <c r="AU799" s="476"/>
    </row>
    <row r="800" spans="1:47" s="398" customFormat="1" ht="13.15" customHeight="1" x14ac:dyDescent="0.2">
      <c r="A800" s="476"/>
      <c r="D800" s="467"/>
      <c r="F800" s="468"/>
      <c r="G800" s="468"/>
      <c r="H800" s="468"/>
      <c r="I800" s="468"/>
      <c r="J800" s="469"/>
      <c r="L800" s="476"/>
      <c r="M800" s="476"/>
      <c r="N800" s="476"/>
      <c r="O800" s="476"/>
      <c r="P800" s="476"/>
      <c r="Q800" s="476"/>
      <c r="R800" s="476"/>
      <c r="S800" s="476"/>
      <c r="T800" s="476"/>
      <c r="U800" s="476"/>
      <c r="V800" s="476"/>
      <c r="W800" s="476"/>
      <c r="X800" s="476"/>
      <c r="Y800" s="476"/>
      <c r="Z800" s="476"/>
      <c r="AA800" s="476"/>
      <c r="AB800" s="476"/>
      <c r="AC800" s="476"/>
      <c r="AD800" s="476"/>
      <c r="AE800" s="476"/>
      <c r="AF800" s="476"/>
      <c r="AG800" s="476"/>
      <c r="AH800" s="476"/>
      <c r="AI800" s="476"/>
      <c r="AJ800" s="476"/>
      <c r="AK800" s="476"/>
      <c r="AL800" s="476"/>
      <c r="AM800" s="476"/>
      <c r="AN800" s="476"/>
      <c r="AO800" s="476"/>
      <c r="AP800" s="476"/>
      <c r="AQ800" s="476"/>
      <c r="AR800" s="476"/>
      <c r="AS800" s="476"/>
      <c r="AT800" s="476"/>
      <c r="AU800" s="476"/>
    </row>
    <row r="801" spans="1:47" s="398" customFormat="1" ht="13.15" customHeight="1" x14ac:dyDescent="0.2">
      <c r="A801" s="476"/>
      <c r="D801" s="467"/>
      <c r="F801" s="468"/>
      <c r="G801" s="468"/>
      <c r="H801" s="468"/>
      <c r="I801" s="468"/>
      <c r="J801" s="469"/>
      <c r="L801" s="476"/>
      <c r="M801" s="476"/>
      <c r="N801" s="476"/>
      <c r="O801" s="476"/>
      <c r="P801" s="476"/>
      <c r="Q801" s="476"/>
      <c r="R801" s="476"/>
      <c r="S801" s="476"/>
      <c r="T801" s="476"/>
      <c r="U801" s="476"/>
      <c r="V801" s="476"/>
      <c r="W801" s="476"/>
      <c r="X801" s="476"/>
      <c r="Y801" s="476"/>
      <c r="Z801" s="476"/>
      <c r="AA801" s="476"/>
      <c r="AB801" s="476"/>
      <c r="AC801" s="476"/>
      <c r="AD801" s="476"/>
      <c r="AE801" s="476"/>
      <c r="AF801" s="476"/>
      <c r="AG801" s="476"/>
      <c r="AH801" s="476"/>
      <c r="AI801" s="476"/>
      <c r="AJ801" s="476"/>
      <c r="AK801" s="476"/>
      <c r="AL801" s="476"/>
      <c r="AM801" s="476"/>
      <c r="AN801" s="476"/>
      <c r="AO801" s="476"/>
      <c r="AP801" s="476"/>
      <c r="AQ801" s="476"/>
      <c r="AR801" s="476"/>
      <c r="AS801" s="476"/>
      <c r="AT801" s="476"/>
      <c r="AU801" s="476"/>
    </row>
    <row r="802" spans="1:47" s="398" customFormat="1" ht="13.15" customHeight="1" x14ac:dyDescent="0.2">
      <c r="A802" s="476"/>
      <c r="D802" s="467"/>
      <c r="F802" s="468"/>
      <c r="G802" s="468"/>
      <c r="H802" s="468"/>
      <c r="I802" s="468"/>
      <c r="J802" s="469"/>
      <c r="L802" s="476"/>
      <c r="M802" s="476"/>
      <c r="N802" s="476"/>
      <c r="O802" s="476"/>
      <c r="P802" s="476"/>
      <c r="Q802" s="476"/>
      <c r="R802" s="476"/>
      <c r="S802" s="476"/>
      <c r="T802" s="476"/>
      <c r="U802" s="476"/>
      <c r="V802" s="476"/>
      <c r="W802" s="476"/>
      <c r="X802" s="476"/>
      <c r="Y802" s="476"/>
      <c r="Z802" s="476"/>
      <c r="AA802" s="476"/>
      <c r="AB802" s="476"/>
      <c r="AC802" s="476"/>
      <c r="AD802" s="476"/>
      <c r="AE802" s="476"/>
      <c r="AF802" s="476"/>
      <c r="AG802" s="476"/>
      <c r="AH802" s="476"/>
      <c r="AI802" s="476"/>
      <c r="AJ802" s="476"/>
      <c r="AK802" s="476"/>
      <c r="AL802" s="476"/>
      <c r="AM802" s="476"/>
      <c r="AN802" s="476"/>
      <c r="AO802" s="476"/>
      <c r="AP802" s="476"/>
      <c r="AQ802" s="476"/>
      <c r="AR802" s="476"/>
      <c r="AS802" s="476"/>
      <c r="AT802" s="476"/>
      <c r="AU802" s="476"/>
    </row>
    <row r="803" spans="1:47" s="398" customFormat="1" ht="13.15" customHeight="1" x14ac:dyDescent="0.2">
      <c r="A803" s="476"/>
      <c r="D803" s="467"/>
      <c r="F803" s="468"/>
      <c r="G803" s="468"/>
      <c r="H803" s="468"/>
      <c r="I803" s="468"/>
      <c r="J803" s="469"/>
      <c r="L803" s="476"/>
      <c r="M803" s="476"/>
      <c r="N803" s="476"/>
      <c r="O803" s="476"/>
      <c r="P803" s="476"/>
      <c r="Q803" s="476"/>
      <c r="R803" s="476"/>
      <c r="S803" s="476"/>
      <c r="T803" s="476"/>
      <c r="U803" s="476"/>
      <c r="V803" s="476"/>
      <c r="W803" s="476"/>
      <c r="X803" s="476"/>
      <c r="Y803" s="476"/>
      <c r="Z803" s="476"/>
      <c r="AA803" s="476"/>
      <c r="AB803" s="476"/>
      <c r="AC803" s="476"/>
      <c r="AD803" s="476"/>
      <c r="AE803" s="476"/>
      <c r="AF803" s="476"/>
      <c r="AG803" s="476"/>
      <c r="AH803" s="476"/>
      <c r="AI803" s="476"/>
      <c r="AJ803" s="476"/>
      <c r="AK803" s="476"/>
      <c r="AL803" s="476"/>
      <c r="AM803" s="476"/>
      <c r="AN803" s="476"/>
      <c r="AO803" s="476"/>
      <c r="AP803" s="476"/>
      <c r="AQ803" s="476"/>
      <c r="AR803" s="476"/>
      <c r="AS803" s="476"/>
      <c r="AT803" s="476"/>
      <c r="AU803" s="476"/>
    </row>
    <row r="804" spans="1:47" s="398" customFormat="1" ht="13.15" customHeight="1" x14ac:dyDescent="0.2">
      <c r="A804" s="476"/>
      <c r="D804" s="467"/>
      <c r="F804" s="468"/>
      <c r="G804" s="468"/>
      <c r="H804" s="468"/>
      <c r="I804" s="468"/>
      <c r="J804" s="469"/>
      <c r="L804" s="476"/>
      <c r="M804" s="476"/>
      <c r="N804" s="476"/>
      <c r="O804" s="476"/>
      <c r="P804" s="476"/>
      <c r="Q804" s="476"/>
      <c r="R804" s="476"/>
      <c r="S804" s="476"/>
      <c r="T804" s="476"/>
      <c r="U804" s="476"/>
      <c r="V804" s="476"/>
      <c r="W804" s="476"/>
      <c r="X804" s="476"/>
      <c r="Y804" s="476"/>
      <c r="Z804" s="476"/>
      <c r="AA804" s="476"/>
      <c r="AB804" s="476"/>
      <c r="AC804" s="476"/>
      <c r="AD804" s="476"/>
      <c r="AE804" s="476"/>
      <c r="AF804" s="476"/>
      <c r="AG804" s="476"/>
      <c r="AH804" s="476"/>
      <c r="AI804" s="476"/>
      <c r="AJ804" s="476"/>
      <c r="AK804" s="476"/>
      <c r="AL804" s="476"/>
      <c r="AM804" s="476"/>
      <c r="AN804" s="476"/>
      <c r="AO804" s="476"/>
      <c r="AP804" s="476"/>
      <c r="AQ804" s="476"/>
      <c r="AR804" s="476"/>
      <c r="AS804" s="476"/>
      <c r="AT804" s="476"/>
      <c r="AU804" s="476"/>
    </row>
    <row r="805" spans="1:47" s="398" customFormat="1" ht="13.15" customHeight="1" x14ac:dyDescent="0.2">
      <c r="A805" s="476"/>
      <c r="D805" s="467"/>
      <c r="F805" s="468"/>
      <c r="G805" s="468"/>
      <c r="H805" s="468"/>
      <c r="I805" s="468"/>
      <c r="J805" s="469"/>
      <c r="L805" s="476"/>
      <c r="M805" s="476"/>
      <c r="N805" s="476"/>
      <c r="O805" s="476"/>
      <c r="P805" s="476"/>
      <c r="Q805" s="476"/>
      <c r="R805" s="476"/>
      <c r="S805" s="476"/>
      <c r="T805" s="476"/>
      <c r="U805" s="476"/>
      <c r="V805" s="476"/>
      <c r="W805" s="476"/>
      <c r="X805" s="476"/>
      <c r="Y805" s="476"/>
      <c r="Z805" s="476"/>
      <c r="AA805" s="476"/>
      <c r="AB805" s="476"/>
      <c r="AC805" s="476"/>
      <c r="AD805" s="476"/>
      <c r="AE805" s="476"/>
      <c r="AF805" s="476"/>
      <c r="AG805" s="476"/>
      <c r="AH805" s="476"/>
      <c r="AI805" s="476"/>
      <c r="AJ805" s="476"/>
      <c r="AK805" s="476"/>
      <c r="AL805" s="476"/>
      <c r="AM805" s="476"/>
      <c r="AN805" s="476"/>
      <c r="AO805" s="476"/>
      <c r="AP805" s="476"/>
      <c r="AQ805" s="476"/>
      <c r="AR805" s="476"/>
      <c r="AS805" s="476"/>
      <c r="AT805" s="476"/>
      <c r="AU805" s="476"/>
    </row>
    <row r="806" spans="1:47" s="398" customFormat="1" ht="13.15" customHeight="1" x14ac:dyDescent="0.2">
      <c r="A806" s="476"/>
      <c r="D806" s="467"/>
      <c r="F806" s="468"/>
      <c r="G806" s="468"/>
      <c r="H806" s="468"/>
      <c r="I806" s="468"/>
      <c r="J806" s="469"/>
      <c r="L806" s="476"/>
      <c r="M806" s="476"/>
      <c r="N806" s="476"/>
      <c r="O806" s="476"/>
      <c r="P806" s="476"/>
      <c r="Q806" s="476"/>
      <c r="R806" s="476"/>
      <c r="S806" s="476"/>
      <c r="T806" s="476"/>
      <c r="U806" s="476"/>
      <c r="V806" s="476"/>
      <c r="W806" s="476"/>
      <c r="X806" s="476"/>
      <c r="Y806" s="476"/>
      <c r="Z806" s="476"/>
      <c r="AA806" s="476"/>
      <c r="AB806" s="476"/>
      <c r="AC806" s="476"/>
      <c r="AD806" s="476"/>
      <c r="AE806" s="476"/>
      <c r="AF806" s="476"/>
      <c r="AG806" s="476"/>
      <c r="AH806" s="476"/>
      <c r="AI806" s="476"/>
      <c r="AJ806" s="476"/>
      <c r="AK806" s="476"/>
      <c r="AL806" s="476"/>
      <c r="AM806" s="476"/>
      <c r="AN806" s="476"/>
      <c r="AO806" s="476"/>
      <c r="AP806" s="476"/>
      <c r="AQ806" s="476"/>
      <c r="AR806" s="476"/>
      <c r="AS806" s="476"/>
      <c r="AT806" s="476"/>
      <c r="AU806" s="476"/>
    </row>
    <row r="807" spans="1:47" s="398" customFormat="1" ht="13.15" customHeight="1" x14ac:dyDescent="0.2">
      <c r="A807" s="476"/>
      <c r="D807" s="467"/>
      <c r="F807" s="468"/>
      <c r="G807" s="468"/>
      <c r="H807" s="468"/>
      <c r="I807" s="468"/>
      <c r="J807" s="469"/>
      <c r="L807" s="476"/>
      <c r="M807" s="476"/>
      <c r="N807" s="476"/>
      <c r="O807" s="476"/>
      <c r="P807" s="476"/>
      <c r="Q807" s="476"/>
      <c r="R807" s="476"/>
      <c r="S807" s="476"/>
      <c r="T807" s="476"/>
      <c r="U807" s="476"/>
      <c r="V807" s="476"/>
      <c r="W807" s="476"/>
      <c r="X807" s="476"/>
      <c r="Y807" s="476"/>
      <c r="Z807" s="476"/>
      <c r="AA807" s="476"/>
      <c r="AB807" s="476"/>
      <c r="AC807" s="476"/>
      <c r="AD807" s="476"/>
      <c r="AE807" s="476"/>
      <c r="AF807" s="476"/>
      <c r="AG807" s="476"/>
      <c r="AH807" s="476"/>
      <c r="AI807" s="476"/>
      <c r="AJ807" s="476"/>
      <c r="AK807" s="476"/>
      <c r="AL807" s="476"/>
      <c r="AM807" s="476"/>
      <c r="AN807" s="476"/>
      <c r="AO807" s="476"/>
      <c r="AP807" s="476"/>
      <c r="AQ807" s="476"/>
      <c r="AR807" s="476"/>
      <c r="AS807" s="476"/>
      <c r="AT807" s="476"/>
      <c r="AU807" s="476"/>
    </row>
    <row r="808" spans="1:47" s="398" customFormat="1" ht="13.15" customHeight="1" x14ac:dyDescent="0.2">
      <c r="A808" s="476"/>
      <c r="D808" s="467"/>
      <c r="F808" s="468"/>
      <c r="G808" s="468"/>
      <c r="H808" s="468"/>
      <c r="I808" s="468"/>
      <c r="J808" s="469"/>
      <c r="L808" s="476"/>
      <c r="M808" s="476"/>
      <c r="N808" s="476"/>
      <c r="O808" s="476"/>
      <c r="P808" s="476"/>
      <c r="Q808" s="476"/>
      <c r="R808" s="476"/>
      <c r="S808" s="476"/>
      <c r="T808" s="476"/>
      <c r="U808" s="476"/>
      <c r="V808" s="476"/>
      <c r="W808" s="476"/>
      <c r="X808" s="476"/>
      <c r="Y808" s="476"/>
      <c r="Z808" s="476"/>
      <c r="AA808" s="476"/>
      <c r="AB808" s="476"/>
      <c r="AC808" s="476"/>
      <c r="AD808" s="476"/>
      <c r="AE808" s="476"/>
      <c r="AF808" s="476"/>
      <c r="AG808" s="476"/>
      <c r="AH808" s="476"/>
      <c r="AI808" s="476"/>
      <c r="AJ808" s="476"/>
      <c r="AK808" s="476"/>
      <c r="AL808" s="476"/>
      <c r="AM808" s="476"/>
      <c r="AN808" s="476"/>
      <c r="AO808" s="476"/>
      <c r="AP808" s="476"/>
      <c r="AQ808" s="476"/>
      <c r="AR808" s="476"/>
      <c r="AS808" s="476"/>
      <c r="AT808" s="476"/>
      <c r="AU808" s="476"/>
    </row>
    <row r="809" spans="1:47" s="398" customFormat="1" ht="13.15" customHeight="1" x14ac:dyDescent="0.2">
      <c r="A809" s="476"/>
      <c r="D809" s="467"/>
      <c r="F809" s="468"/>
      <c r="G809" s="468"/>
      <c r="H809" s="468"/>
      <c r="I809" s="468"/>
      <c r="J809" s="469"/>
      <c r="L809" s="476"/>
      <c r="M809" s="476"/>
      <c r="N809" s="476"/>
      <c r="O809" s="476"/>
      <c r="P809" s="476"/>
      <c r="Q809" s="476"/>
      <c r="R809" s="476"/>
      <c r="S809" s="476"/>
      <c r="T809" s="476"/>
      <c r="U809" s="476"/>
      <c r="V809" s="476"/>
      <c r="W809" s="476"/>
      <c r="X809" s="476"/>
      <c r="Y809" s="476"/>
      <c r="Z809" s="476"/>
      <c r="AA809" s="476"/>
      <c r="AB809" s="476"/>
      <c r="AC809" s="476"/>
      <c r="AD809" s="476"/>
      <c r="AE809" s="476"/>
      <c r="AF809" s="476"/>
      <c r="AG809" s="476"/>
      <c r="AH809" s="476"/>
      <c r="AI809" s="476"/>
      <c r="AJ809" s="476"/>
      <c r="AK809" s="476"/>
      <c r="AL809" s="476"/>
      <c r="AM809" s="476"/>
      <c r="AN809" s="476"/>
      <c r="AO809" s="476"/>
      <c r="AP809" s="476"/>
      <c r="AQ809" s="476"/>
      <c r="AR809" s="476"/>
      <c r="AS809" s="476"/>
      <c r="AT809" s="476"/>
      <c r="AU809" s="476"/>
    </row>
    <row r="810" spans="1:47" s="398" customFormat="1" ht="13.15" customHeight="1" x14ac:dyDescent="0.2">
      <c r="A810" s="476"/>
      <c r="D810" s="467"/>
      <c r="F810" s="468"/>
      <c r="G810" s="468"/>
      <c r="H810" s="468"/>
      <c r="I810" s="468"/>
      <c r="J810" s="469"/>
      <c r="L810" s="476"/>
      <c r="M810" s="476"/>
      <c r="N810" s="476"/>
      <c r="O810" s="476"/>
      <c r="P810" s="476"/>
      <c r="Q810" s="476"/>
      <c r="R810" s="476"/>
      <c r="S810" s="476"/>
      <c r="T810" s="476"/>
      <c r="U810" s="476"/>
      <c r="V810" s="476"/>
      <c r="W810" s="476"/>
      <c r="X810" s="476"/>
      <c r="Y810" s="476"/>
      <c r="Z810" s="476"/>
      <c r="AA810" s="476"/>
      <c r="AB810" s="476"/>
      <c r="AC810" s="476"/>
      <c r="AD810" s="476"/>
      <c r="AE810" s="476"/>
      <c r="AF810" s="476"/>
      <c r="AG810" s="476"/>
      <c r="AH810" s="476"/>
      <c r="AI810" s="476"/>
      <c r="AJ810" s="476"/>
      <c r="AK810" s="476"/>
      <c r="AL810" s="476"/>
      <c r="AM810" s="476"/>
      <c r="AN810" s="476"/>
      <c r="AO810" s="476"/>
      <c r="AP810" s="476"/>
      <c r="AQ810" s="476"/>
      <c r="AR810" s="476"/>
      <c r="AS810" s="476"/>
      <c r="AT810" s="476"/>
      <c r="AU810" s="476"/>
    </row>
    <row r="811" spans="1:47" s="398" customFormat="1" ht="13.15" customHeight="1" x14ac:dyDescent="0.2">
      <c r="A811" s="476"/>
      <c r="D811" s="467"/>
      <c r="F811" s="468"/>
      <c r="G811" s="468"/>
      <c r="H811" s="468"/>
      <c r="I811" s="468"/>
      <c r="J811" s="469"/>
      <c r="L811" s="476"/>
      <c r="M811" s="476"/>
      <c r="N811" s="476"/>
      <c r="O811" s="476"/>
      <c r="P811" s="476"/>
      <c r="Q811" s="476"/>
      <c r="R811" s="476"/>
      <c r="S811" s="476"/>
      <c r="T811" s="476"/>
      <c r="U811" s="476"/>
      <c r="V811" s="476"/>
      <c r="W811" s="476"/>
      <c r="X811" s="476"/>
      <c r="Y811" s="476"/>
      <c r="Z811" s="476"/>
      <c r="AA811" s="476"/>
      <c r="AB811" s="476"/>
      <c r="AC811" s="476"/>
      <c r="AD811" s="476"/>
      <c r="AE811" s="476"/>
      <c r="AF811" s="476"/>
      <c r="AG811" s="476"/>
      <c r="AH811" s="476"/>
      <c r="AI811" s="476"/>
      <c r="AJ811" s="476"/>
      <c r="AK811" s="476"/>
      <c r="AL811" s="476"/>
      <c r="AM811" s="476"/>
      <c r="AN811" s="476"/>
      <c r="AO811" s="476"/>
      <c r="AP811" s="476"/>
      <c r="AQ811" s="476"/>
      <c r="AR811" s="476"/>
      <c r="AS811" s="476"/>
      <c r="AT811" s="476"/>
      <c r="AU811" s="476"/>
    </row>
    <row r="812" spans="1:47" s="398" customFormat="1" ht="13.15" customHeight="1" x14ac:dyDescent="0.2">
      <c r="A812" s="476"/>
      <c r="D812" s="467"/>
      <c r="F812" s="468"/>
      <c r="G812" s="468"/>
      <c r="H812" s="468"/>
      <c r="I812" s="468"/>
      <c r="J812" s="469"/>
      <c r="L812" s="476"/>
      <c r="M812" s="476"/>
      <c r="N812" s="476"/>
      <c r="O812" s="476"/>
      <c r="P812" s="476"/>
      <c r="Q812" s="476"/>
      <c r="R812" s="476"/>
      <c r="S812" s="476"/>
      <c r="T812" s="476"/>
      <c r="U812" s="476"/>
      <c r="V812" s="476"/>
      <c r="W812" s="476"/>
      <c r="X812" s="476"/>
      <c r="Y812" s="476"/>
      <c r="Z812" s="476"/>
      <c r="AA812" s="476"/>
      <c r="AB812" s="476"/>
      <c r="AC812" s="476"/>
      <c r="AD812" s="476"/>
      <c r="AE812" s="476"/>
      <c r="AF812" s="476"/>
      <c r="AG812" s="476"/>
      <c r="AH812" s="476"/>
      <c r="AI812" s="476"/>
      <c r="AJ812" s="476"/>
      <c r="AK812" s="476"/>
      <c r="AL812" s="476"/>
      <c r="AM812" s="476"/>
      <c r="AN812" s="476"/>
      <c r="AO812" s="476"/>
      <c r="AP812" s="476"/>
      <c r="AQ812" s="476"/>
      <c r="AR812" s="476"/>
      <c r="AS812" s="476"/>
      <c r="AT812" s="476"/>
      <c r="AU812" s="476"/>
    </row>
    <row r="813" spans="1:47" s="398" customFormat="1" ht="13.15" customHeight="1" x14ac:dyDescent="0.2">
      <c r="A813" s="476"/>
      <c r="D813" s="467"/>
      <c r="F813" s="468"/>
      <c r="G813" s="468"/>
      <c r="H813" s="468"/>
      <c r="I813" s="468"/>
      <c r="J813" s="469"/>
      <c r="L813" s="476"/>
      <c r="M813" s="476"/>
      <c r="N813" s="476"/>
      <c r="O813" s="476"/>
      <c r="P813" s="476"/>
      <c r="Q813" s="476"/>
      <c r="R813" s="476"/>
      <c r="S813" s="476"/>
      <c r="T813" s="476"/>
      <c r="U813" s="476"/>
      <c r="V813" s="476"/>
      <c r="W813" s="476"/>
      <c r="X813" s="476"/>
      <c r="Y813" s="476"/>
      <c r="Z813" s="476"/>
      <c r="AA813" s="476"/>
      <c r="AB813" s="476"/>
      <c r="AC813" s="476"/>
      <c r="AD813" s="476"/>
      <c r="AE813" s="476"/>
      <c r="AF813" s="476"/>
      <c r="AG813" s="476"/>
      <c r="AH813" s="476"/>
      <c r="AI813" s="476"/>
      <c r="AJ813" s="476"/>
      <c r="AK813" s="476"/>
      <c r="AL813" s="476"/>
      <c r="AM813" s="476"/>
      <c r="AN813" s="476"/>
      <c r="AO813" s="476"/>
      <c r="AP813" s="476"/>
      <c r="AQ813" s="476"/>
      <c r="AR813" s="476"/>
      <c r="AS813" s="476"/>
      <c r="AT813" s="476"/>
      <c r="AU813" s="476"/>
    </row>
    <row r="814" spans="1:47" s="398" customFormat="1" ht="13.15" customHeight="1" x14ac:dyDescent="0.2">
      <c r="A814" s="476"/>
      <c r="D814" s="467"/>
      <c r="F814" s="468"/>
      <c r="G814" s="468"/>
      <c r="H814" s="468"/>
      <c r="I814" s="468"/>
      <c r="J814" s="469"/>
      <c r="L814" s="476"/>
      <c r="M814" s="476"/>
      <c r="N814" s="476"/>
      <c r="O814" s="476"/>
      <c r="P814" s="476"/>
      <c r="Q814" s="476"/>
      <c r="R814" s="476"/>
      <c r="S814" s="476"/>
      <c r="T814" s="476"/>
      <c r="U814" s="476"/>
      <c r="V814" s="476"/>
      <c r="W814" s="476"/>
      <c r="X814" s="476"/>
      <c r="Y814" s="476"/>
      <c r="Z814" s="476"/>
      <c r="AA814" s="476"/>
      <c r="AB814" s="476"/>
      <c r="AC814" s="476"/>
      <c r="AD814" s="476"/>
      <c r="AE814" s="476"/>
      <c r="AF814" s="476"/>
      <c r="AG814" s="476"/>
      <c r="AH814" s="476"/>
      <c r="AI814" s="476"/>
      <c r="AJ814" s="476"/>
      <c r="AK814" s="476"/>
      <c r="AL814" s="476"/>
      <c r="AM814" s="476"/>
      <c r="AN814" s="476"/>
      <c r="AO814" s="476"/>
      <c r="AP814" s="476"/>
      <c r="AQ814" s="476"/>
      <c r="AR814" s="476"/>
      <c r="AS814" s="476"/>
      <c r="AT814" s="476"/>
      <c r="AU814" s="476"/>
    </row>
    <row r="815" spans="1:47" s="398" customFormat="1" ht="13.15" customHeight="1" x14ac:dyDescent="0.2">
      <c r="A815" s="476"/>
      <c r="D815" s="467"/>
      <c r="F815" s="468"/>
      <c r="G815" s="468"/>
      <c r="H815" s="468"/>
      <c r="I815" s="468"/>
      <c r="J815" s="469"/>
      <c r="L815" s="476"/>
      <c r="M815" s="476"/>
      <c r="N815" s="476"/>
      <c r="O815" s="476"/>
      <c r="P815" s="476"/>
      <c r="Q815" s="476"/>
      <c r="R815" s="476"/>
      <c r="S815" s="476"/>
      <c r="T815" s="476"/>
      <c r="U815" s="476"/>
      <c r="V815" s="476"/>
      <c r="W815" s="476"/>
      <c r="X815" s="476"/>
      <c r="Y815" s="476"/>
      <c r="Z815" s="476"/>
      <c r="AA815" s="476"/>
      <c r="AB815" s="476"/>
      <c r="AC815" s="476"/>
      <c r="AD815" s="476"/>
      <c r="AE815" s="476"/>
      <c r="AF815" s="476"/>
      <c r="AG815" s="476"/>
      <c r="AH815" s="476"/>
      <c r="AI815" s="476"/>
      <c r="AJ815" s="476"/>
      <c r="AK815" s="476"/>
      <c r="AL815" s="476"/>
      <c r="AM815" s="476"/>
      <c r="AN815" s="476"/>
      <c r="AO815" s="476"/>
      <c r="AP815" s="476"/>
      <c r="AQ815" s="476"/>
      <c r="AR815" s="476"/>
      <c r="AS815" s="476"/>
      <c r="AT815" s="476"/>
      <c r="AU815" s="476"/>
    </row>
    <row r="816" spans="1:47" s="398" customFormat="1" ht="13.15" customHeight="1" x14ac:dyDescent="0.2">
      <c r="A816" s="476"/>
      <c r="D816" s="467"/>
      <c r="F816" s="468"/>
      <c r="G816" s="468"/>
      <c r="H816" s="468"/>
      <c r="I816" s="468"/>
      <c r="J816" s="469"/>
      <c r="L816" s="476"/>
      <c r="M816" s="476"/>
      <c r="N816" s="476"/>
      <c r="O816" s="476"/>
      <c r="P816" s="476"/>
      <c r="Q816" s="476"/>
      <c r="R816" s="476"/>
      <c r="S816" s="476"/>
      <c r="T816" s="476"/>
      <c r="U816" s="476"/>
      <c r="V816" s="476"/>
      <c r="W816" s="476"/>
      <c r="X816" s="476"/>
      <c r="Y816" s="476"/>
      <c r="Z816" s="476"/>
      <c r="AA816" s="476"/>
      <c r="AB816" s="476"/>
      <c r="AC816" s="476"/>
      <c r="AD816" s="476"/>
      <c r="AE816" s="476"/>
      <c r="AF816" s="476"/>
      <c r="AG816" s="476"/>
      <c r="AH816" s="476"/>
      <c r="AI816" s="476"/>
      <c r="AJ816" s="476"/>
      <c r="AK816" s="476"/>
      <c r="AL816" s="476"/>
      <c r="AM816" s="476"/>
      <c r="AN816" s="476"/>
      <c r="AO816" s="476"/>
      <c r="AP816" s="476"/>
      <c r="AQ816" s="476"/>
      <c r="AR816" s="476"/>
      <c r="AS816" s="476"/>
      <c r="AT816" s="476"/>
      <c r="AU816" s="476"/>
    </row>
    <row r="817" spans="1:47" s="398" customFormat="1" ht="13.15" customHeight="1" x14ac:dyDescent="0.2">
      <c r="A817" s="476"/>
      <c r="D817" s="467"/>
      <c r="F817" s="468"/>
      <c r="G817" s="468"/>
      <c r="H817" s="468"/>
      <c r="I817" s="468"/>
      <c r="J817" s="469"/>
      <c r="L817" s="476"/>
      <c r="M817" s="476"/>
      <c r="N817" s="476"/>
      <c r="O817" s="476"/>
      <c r="P817" s="476"/>
      <c r="Q817" s="476"/>
      <c r="R817" s="476"/>
      <c r="S817" s="476"/>
      <c r="T817" s="476"/>
      <c r="U817" s="476"/>
      <c r="V817" s="476"/>
      <c r="W817" s="476"/>
      <c r="X817" s="476"/>
      <c r="Y817" s="476"/>
      <c r="Z817" s="476"/>
      <c r="AA817" s="476"/>
      <c r="AB817" s="476"/>
      <c r="AC817" s="476"/>
      <c r="AD817" s="476"/>
      <c r="AE817" s="476"/>
      <c r="AF817" s="476"/>
      <c r="AG817" s="476"/>
      <c r="AH817" s="476"/>
      <c r="AI817" s="476"/>
      <c r="AJ817" s="476"/>
      <c r="AK817" s="476"/>
      <c r="AL817" s="476"/>
      <c r="AM817" s="476"/>
      <c r="AN817" s="476"/>
      <c r="AO817" s="476"/>
      <c r="AP817" s="476"/>
      <c r="AQ817" s="476"/>
      <c r="AR817" s="476"/>
      <c r="AS817" s="476"/>
      <c r="AT817" s="476"/>
      <c r="AU817" s="476"/>
    </row>
    <row r="818" spans="1:47" s="398" customFormat="1" ht="13.15" customHeight="1" x14ac:dyDescent="0.2">
      <c r="A818" s="476"/>
      <c r="D818" s="467"/>
      <c r="F818" s="468"/>
      <c r="G818" s="468"/>
      <c r="H818" s="468"/>
      <c r="I818" s="468"/>
      <c r="J818" s="469"/>
      <c r="L818" s="476"/>
      <c r="M818" s="476"/>
      <c r="N818" s="476"/>
      <c r="O818" s="476"/>
      <c r="P818" s="476"/>
      <c r="Q818" s="476"/>
      <c r="R818" s="476"/>
      <c r="S818" s="476"/>
      <c r="T818" s="476"/>
      <c r="U818" s="476"/>
      <c r="V818" s="476"/>
      <c r="W818" s="476"/>
      <c r="X818" s="476"/>
      <c r="Y818" s="476"/>
      <c r="Z818" s="476"/>
      <c r="AA818" s="476"/>
      <c r="AB818" s="476"/>
      <c r="AC818" s="476"/>
      <c r="AD818" s="476"/>
      <c r="AE818" s="476"/>
      <c r="AF818" s="476"/>
      <c r="AG818" s="476"/>
      <c r="AH818" s="476"/>
      <c r="AI818" s="476"/>
      <c r="AJ818" s="476"/>
      <c r="AK818" s="476"/>
      <c r="AL818" s="476"/>
      <c r="AM818" s="476"/>
      <c r="AN818" s="476"/>
      <c r="AO818" s="476"/>
      <c r="AP818" s="476"/>
      <c r="AQ818" s="476"/>
      <c r="AR818" s="476"/>
      <c r="AS818" s="476"/>
      <c r="AT818" s="476"/>
      <c r="AU818" s="476"/>
    </row>
    <row r="819" spans="1:47" s="398" customFormat="1" ht="13.15" customHeight="1" x14ac:dyDescent="0.2">
      <c r="A819" s="476"/>
      <c r="D819" s="467"/>
      <c r="F819" s="468"/>
      <c r="G819" s="468"/>
      <c r="H819" s="468"/>
      <c r="I819" s="468"/>
      <c r="J819" s="469"/>
      <c r="L819" s="476"/>
      <c r="M819" s="476"/>
      <c r="N819" s="476"/>
      <c r="O819" s="476"/>
      <c r="P819" s="476"/>
      <c r="Q819" s="476"/>
      <c r="R819" s="476"/>
      <c r="S819" s="476"/>
      <c r="T819" s="476"/>
      <c r="U819" s="476"/>
      <c r="V819" s="476"/>
      <c r="W819" s="476"/>
      <c r="X819" s="476"/>
      <c r="Y819" s="476"/>
      <c r="Z819" s="476"/>
      <c r="AA819" s="476"/>
      <c r="AB819" s="476"/>
      <c r="AC819" s="476"/>
      <c r="AD819" s="476"/>
      <c r="AE819" s="476"/>
      <c r="AF819" s="476"/>
      <c r="AG819" s="476"/>
      <c r="AH819" s="476"/>
      <c r="AI819" s="476"/>
      <c r="AJ819" s="476"/>
      <c r="AK819" s="476"/>
      <c r="AL819" s="476"/>
      <c r="AM819" s="476"/>
      <c r="AN819" s="476"/>
      <c r="AO819" s="476"/>
      <c r="AP819" s="476"/>
      <c r="AQ819" s="476"/>
      <c r="AR819" s="476"/>
      <c r="AS819" s="476"/>
      <c r="AT819" s="476"/>
      <c r="AU819" s="476"/>
    </row>
    <row r="820" spans="1:47" s="398" customFormat="1" ht="13.15" customHeight="1" x14ac:dyDescent="0.2">
      <c r="A820" s="476"/>
      <c r="D820" s="467"/>
      <c r="F820" s="468"/>
      <c r="G820" s="468"/>
      <c r="H820" s="468"/>
      <c r="I820" s="468"/>
      <c r="J820" s="469"/>
      <c r="L820" s="476"/>
      <c r="M820" s="476"/>
      <c r="N820" s="476"/>
      <c r="O820" s="476"/>
      <c r="P820" s="476"/>
      <c r="Q820" s="476"/>
      <c r="R820" s="476"/>
      <c r="S820" s="476"/>
      <c r="T820" s="476"/>
      <c r="U820" s="476"/>
      <c r="V820" s="476"/>
      <c r="W820" s="476"/>
      <c r="X820" s="476"/>
      <c r="Y820" s="476"/>
      <c r="Z820" s="476"/>
      <c r="AA820" s="476"/>
      <c r="AB820" s="476"/>
      <c r="AC820" s="476"/>
      <c r="AD820" s="476"/>
      <c r="AE820" s="476"/>
      <c r="AF820" s="476"/>
      <c r="AG820" s="476"/>
      <c r="AH820" s="476"/>
      <c r="AI820" s="476"/>
      <c r="AJ820" s="476"/>
      <c r="AK820" s="476"/>
      <c r="AL820" s="476"/>
      <c r="AM820" s="476"/>
      <c r="AN820" s="476"/>
      <c r="AO820" s="476"/>
      <c r="AP820" s="476"/>
      <c r="AQ820" s="476"/>
      <c r="AR820" s="476"/>
      <c r="AS820" s="476"/>
      <c r="AT820" s="476"/>
      <c r="AU820" s="476"/>
    </row>
    <row r="821" spans="1:47" s="398" customFormat="1" ht="13.15" customHeight="1" x14ac:dyDescent="0.2">
      <c r="A821" s="476"/>
      <c r="D821" s="467"/>
      <c r="F821" s="468"/>
      <c r="G821" s="468"/>
      <c r="H821" s="468"/>
      <c r="I821" s="468"/>
      <c r="J821" s="469"/>
      <c r="L821" s="476"/>
      <c r="M821" s="476"/>
      <c r="N821" s="476"/>
      <c r="O821" s="476"/>
      <c r="P821" s="476"/>
      <c r="Q821" s="476"/>
      <c r="R821" s="476"/>
      <c r="S821" s="476"/>
      <c r="T821" s="476"/>
      <c r="U821" s="476"/>
      <c r="V821" s="476"/>
      <c r="W821" s="476"/>
      <c r="X821" s="476"/>
      <c r="Y821" s="476"/>
      <c r="Z821" s="476"/>
      <c r="AA821" s="476"/>
      <c r="AB821" s="476"/>
      <c r="AC821" s="476"/>
      <c r="AD821" s="476"/>
      <c r="AE821" s="476"/>
      <c r="AF821" s="476"/>
      <c r="AG821" s="476"/>
      <c r="AH821" s="476"/>
      <c r="AI821" s="476"/>
      <c r="AJ821" s="476"/>
      <c r="AK821" s="476"/>
      <c r="AL821" s="476"/>
      <c r="AM821" s="476"/>
      <c r="AN821" s="476"/>
      <c r="AO821" s="476"/>
      <c r="AP821" s="476"/>
      <c r="AQ821" s="476"/>
      <c r="AR821" s="476"/>
      <c r="AS821" s="476"/>
      <c r="AT821" s="476"/>
      <c r="AU821" s="476"/>
    </row>
    <row r="822" spans="1:47" s="398" customFormat="1" ht="13.15" customHeight="1" x14ac:dyDescent="0.2">
      <c r="A822" s="476"/>
      <c r="D822" s="467"/>
      <c r="F822" s="468"/>
      <c r="G822" s="468"/>
      <c r="H822" s="468"/>
      <c r="I822" s="468"/>
      <c r="J822" s="469"/>
      <c r="L822" s="476"/>
      <c r="M822" s="476"/>
      <c r="N822" s="476"/>
      <c r="O822" s="476"/>
      <c r="P822" s="476"/>
      <c r="Q822" s="476"/>
      <c r="R822" s="476"/>
      <c r="S822" s="476"/>
      <c r="T822" s="476"/>
      <c r="U822" s="476"/>
      <c r="V822" s="476"/>
      <c r="W822" s="476"/>
      <c r="X822" s="476"/>
      <c r="Y822" s="476"/>
      <c r="Z822" s="476"/>
      <c r="AA822" s="476"/>
      <c r="AB822" s="476"/>
      <c r="AC822" s="476"/>
      <c r="AD822" s="476"/>
      <c r="AE822" s="476"/>
      <c r="AF822" s="476"/>
      <c r="AG822" s="476"/>
      <c r="AH822" s="476"/>
      <c r="AI822" s="476"/>
      <c r="AJ822" s="476"/>
      <c r="AK822" s="476"/>
      <c r="AL822" s="476"/>
      <c r="AM822" s="476"/>
      <c r="AN822" s="476"/>
      <c r="AO822" s="476"/>
      <c r="AP822" s="476"/>
      <c r="AQ822" s="476"/>
      <c r="AR822" s="476"/>
      <c r="AS822" s="476"/>
      <c r="AT822" s="476"/>
      <c r="AU822" s="476"/>
    </row>
    <row r="823" spans="1:47" s="398" customFormat="1" ht="13.15" customHeight="1" x14ac:dyDescent="0.2">
      <c r="A823" s="476"/>
      <c r="D823" s="467"/>
      <c r="F823" s="468"/>
      <c r="G823" s="468"/>
      <c r="H823" s="468"/>
      <c r="I823" s="468"/>
      <c r="J823" s="469"/>
      <c r="L823" s="476"/>
      <c r="M823" s="476"/>
      <c r="N823" s="476"/>
      <c r="O823" s="476"/>
      <c r="P823" s="476"/>
      <c r="Q823" s="476"/>
      <c r="R823" s="476"/>
      <c r="S823" s="476"/>
      <c r="T823" s="476"/>
      <c r="U823" s="476"/>
      <c r="V823" s="476"/>
      <c r="W823" s="476"/>
      <c r="X823" s="476"/>
      <c r="Y823" s="476"/>
      <c r="Z823" s="476"/>
      <c r="AA823" s="476"/>
      <c r="AB823" s="476"/>
      <c r="AC823" s="476"/>
      <c r="AD823" s="476"/>
      <c r="AE823" s="476"/>
      <c r="AF823" s="476"/>
      <c r="AG823" s="476"/>
      <c r="AH823" s="476"/>
      <c r="AI823" s="476"/>
      <c r="AJ823" s="476"/>
      <c r="AK823" s="476"/>
      <c r="AL823" s="476"/>
      <c r="AM823" s="476"/>
      <c r="AN823" s="476"/>
      <c r="AO823" s="476"/>
      <c r="AP823" s="476"/>
      <c r="AQ823" s="476"/>
      <c r="AR823" s="476"/>
      <c r="AS823" s="476"/>
      <c r="AT823" s="476"/>
      <c r="AU823" s="476"/>
    </row>
    <row r="824" spans="1:47" s="398" customFormat="1" ht="13.15" customHeight="1" x14ac:dyDescent="0.2">
      <c r="A824" s="476"/>
      <c r="D824" s="467"/>
      <c r="F824" s="468"/>
      <c r="G824" s="468"/>
      <c r="H824" s="468"/>
      <c r="I824" s="468"/>
      <c r="J824" s="469"/>
      <c r="L824" s="476"/>
      <c r="M824" s="476"/>
      <c r="N824" s="476"/>
      <c r="O824" s="476"/>
      <c r="P824" s="476"/>
      <c r="Q824" s="476"/>
      <c r="R824" s="476"/>
      <c r="S824" s="476"/>
      <c r="T824" s="476"/>
      <c r="U824" s="476"/>
      <c r="V824" s="476"/>
      <c r="W824" s="476"/>
      <c r="X824" s="476"/>
      <c r="Y824" s="476"/>
      <c r="Z824" s="476"/>
      <c r="AA824" s="476"/>
      <c r="AB824" s="476"/>
      <c r="AC824" s="476"/>
      <c r="AD824" s="476"/>
      <c r="AE824" s="476"/>
      <c r="AF824" s="476"/>
      <c r="AG824" s="476"/>
      <c r="AH824" s="476"/>
      <c r="AI824" s="476"/>
      <c r="AJ824" s="476"/>
      <c r="AK824" s="476"/>
      <c r="AL824" s="476"/>
      <c r="AM824" s="476"/>
      <c r="AN824" s="476"/>
      <c r="AO824" s="476"/>
      <c r="AP824" s="476"/>
      <c r="AQ824" s="476"/>
      <c r="AR824" s="476"/>
      <c r="AS824" s="476"/>
      <c r="AT824" s="476"/>
      <c r="AU824" s="476"/>
    </row>
    <row r="825" spans="1:47" s="398" customFormat="1" ht="13.15" customHeight="1" x14ac:dyDescent="0.2">
      <c r="A825" s="476"/>
      <c r="D825" s="467"/>
      <c r="F825" s="468"/>
      <c r="G825" s="468"/>
      <c r="H825" s="468"/>
      <c r="I825" s="468"/>
      <c r="J825" s="469"/>
      <c r="L825" s="476"/>
      <c r="M825" s="476"/>
      <c r="N825" s="476"/>
      <c r="O825" s="476"/>
      <c r="P825" s="476"/>
      <c r="Q825" s="476"/>
      <c r="R825" s="476"/>
      <c r="S825" s="476"/>
      <c r="T825" s="476"/>
      <c r="U825" s="476"/>
      <c r="V825" s="476"/>
      <c r="W825" s="476"/>
      <c r="X825" s="476"/>
      <c r="Y825" s="476"/>
      <c r="Z825" s="476"/>
      <c r="AA825" s="476"/>
      <c r="AB825" s="476"/>
      <c r="AC825" s="476"/>
      <c r="AD825" s="476"/>
      <c r="AE825" s="476"/>
      <c r="AF825" s="476"/>
      <c r="AG825" s="476"/>
      <c r="AH825" s="476"/>
      <c r="AI825" s="476"/>
      <c r="AJ825" s="476"/>
      <c r="AK825" s="476"/>
      <c r="AL825" s="476"/>
      <c r="AM825" s="476"/>
      <c r="AN825" s="476"/>
      <c r="AO825" s="476"/>
      <c r="AP825" s="476"/>
      <c r="AQ825" s="476"/>
      <c r="AR825" s="476"/>
      <c r="AS825" s="476"/>
      <c r="AT825" s="476"/>
      <c r="AU825" s="476"/>
    </row>
    <row r="826" spans="1:47" s="398" customFormat="1" ht="13.15" customHeight="1" x14ac:dyDescent="0.2">
      <c r="A826" s="476"/>
      <c r="D826" s="467"/>
      <c r="F826" s="468"/>
      <c r="G826" s="468"/>
      <c r="H826" s="468"/>
      <c r="I826" s="468"/>
      <c r="J826" s="469"/>
      <c r="L826" s="476"/>
      <c r="M826" s="476"/>
      <c r="N826" s="476"/>
      <c r="O826" s="476"/>
      <c r="P826" s="476"/>
      <c r="Q826" s="476"/>
      <c r="R826" s="476"/>
      <c r="S826" s="476"/>
      <c r="T826" s="476"/>
      <c r="U826" s="476"/>
      <c r="V826" s="476"/>
      <c r="W826" s="476"/>
      <c r="X826" s="476"/>
      <c r="Y826" s="476"/>
      <c r="Z826" s="476"/>
      <c r="AA826" s="476"/>
      <c r="AB826" s="476"/>
      <c r="AC826" s="476"/>
      <c r="AD826" s="476"/>
      <c r="AE826" s="476"/>
      <c r="AF826" s="476"/>
      <c r="AG826" s="476"/>
      <c r="AH826" s="476"/>
      <c r="AI826" s="476"/>
      <c r="AJ826" s="476"/>
      <c r="AK826" s="476"/>
      <c r="AL826" s="476"/>
      <c r="AM826" s="476"/>
      <c r="AN826" s="476"/>
      <c r="AO826" s="476"/>
      <c r="AP826" s="476"/>
      <c r="AQ826" s="476"/>
      <c r="AR826" s="476"/>
      <c r="AS826" s="476"/>
      <c r="AT826" s="476"/>
      <c r="AU826" s="476"/>
    </row>
    <row r="827" spans="1:47" s="398" customFormat="1" ht="13.15" customHeight="1" x14ac:dyDescent="0.2">
      <c r="A827" s="476"/>
      <c r="D827" s="467"/>
      <c r="F827" s="468"/>
      <c r="G827" s="468"/>
      <c r="H827" s="468"/>
      <c r="I827" s="468"/>
      <c r="J827" s="469"/>
      <c r="L827" s="476"/>
      <c r="M827" s="476"/>
      <c r="N827" s="476"/>
      <c r="O827" s="476"/>
      <c r="P827" s="476"/>
      <c r="Q827" s="476"/>
      <c r="R827" s="476"/>
      <c r="S827" s="476"/>
      <c r="T827" s="476"/>
      <c r="U827" s="476"/>
      <c r="V827" s="476"/>
      <c r="W827" s="476"/>
      <c r="X827" s="476"/>
      <c r="Y827" s="476"/>
      <c r="Z827" s="476"/>
      <c r="AA827" s="476"/>
      <c r="AB827" s="476"/>
      <c r="AC827" s="476"/>
      <c r="AD827" s="476"/>
      <c r="AE827" s="476"/>
      <c r="AF827" s="476"/>
      <c r="AG827" s="476"/>
      <c r="AH827" s="476"/>
      <c r="AI827" s="476"/>
      <c r="AJ827" s="476"/>
      <c r="AK827" s="476"/>
      <c r="AL827" s="476"/>
      <c r="AM827" s="476"/>
      <c r="AN827" s="476"/>
      <c r="AO827" s="476"/>
      <c r="AP827" s="476"/>
      <c r="AQ827" s="476"/>
      <c r="AR827" s="476"/>
      <c r="AS827" s="476"/>
      <c r="AT827" s="476"/>
      <c r="AU827" s="476"/>
    </row>
    <row r="828" spans="1:47" s="398" customFormat="1" ht="13.15" customHeight="1" x14ac:dyDescent="0.2">
      <c r="A828" s="476"/>
      <c r="D828" s="467"/>
      <c r="F828" s="468"/>
      <c r="G828" s="468"/>
      <c r="H828" s="468"/>
      <c r="I828" s="468"/>
      <c r="J828" s="469"/>
      <c r="L828" s="476"/>
      <c r="M828" s="476"/>
      <c r="N828" s="476"/>
      <c r="O828" s="476"/>
      <c r="P828" s="476"/>
      <c r="Q828" s="476"/>
      <c r="R828" s="476"/>
      <c r="S828" s="476"/>
      <c r="T828" s="476"/>
      <c r="U828" s="476"/>
      <c r="V828" s="476"/>
      <c r="W828" s="476"/>
      <c r="X828" s="476"/>
      <c r="Y828" s="476"/>
      <c r="Z828" s="476"/>
      <c r="AA828" s="476"/>
      <c r="AB828" s="476"/>
      <c r="AC828" s="476"/>
      <c r="AD828" s="476"/>
      <c r="AE828" s="476"/>
      <c r="AF828" s="476"/>
      <c r="AG828" s="476"/>
      <c r="AH828" s="476"/>
      <c r="AI828" s="476"/>
      <c r="AJ828" s="476"/>
      <c r="AK828" s="476"/>
      <c r="AL828" s="476"/>
      <c r="AM828" s="476"/>
      <c r="AN828" s="476"/>
      <c r="AO828" s="476"/>
      <c r="AP828" s="476"/>
      <c r="AQ828" s="476"/>
      <c r="AR828" s="476"/>
      <c r="AS828" s="476"/>
      <c r="AT828" s="476"/>
      <c r="AU828" s="476"/>
    </row>
    <row r="829" spans="1:47" s="398" customFormat="1" ht="13.15" customHeight="1" x14ac:dyDescent="0.2">
      <c r="A829" s="476"/>
      <c r="D829" s="467"/>
      <c r="F829" s="468"/>
      <c r="G829" s="468"/>
      <c r="H829" s="468"/>
      <c r="I829" s="468"/>
      <c r="J829" s="469"/>
      <c r="L829" s="476"/>
      <c r="M829" s="476"/>
      <c r="N829" s="476"/>
      <c r="O829" s="476"/>
      <c r="P829" s="476"/>
      <c r="Q829" s="476"/>
      <c r="R829" s="476"/>
      <c r="S829" s="476"/>
      <c r="T829" s="476"/>
      <c r="U829" s="476"/>
      <c r="V829" s="476"/>
      <c r="W829" s="476"/>
      <c r="X829" s="476"/>
      <c r="Y829" s="476"/>
      <c r="Z829" s="476"/>
      <c r="AA829" s="476"/>
      <c r="AB829" s="476"/>
      <c r="AC829" s="476"/>
      <c r="AD829" s="476"/>
      <c r="AE829" s="476"/>
      <c r="AF829" s="476"/>
      <c r="AG829" s="476"/>
      <c r="AH829" s="476"/>
      <c r="AI829" s="476"/>
      <c r="AJ829" s="476"/>
      <c r="AK829" s="476"/>
      <c r="AL829" s="476"/>
      <c r="AM829" s="476"/>
      <c r="AN829" s="476"/>
      <c r="AO829" s="476"/>
      <c r="AP829" s="476"/>
      <c r="AQ829" s="476"/>
      <c r="AR829" s="476"/>
      <c r="AS829" s="476"/>
      <c r="AT829" s="476"/>
      <c r="AU829" s="476"/>
    </row>
    <row r="830" spans="1:47" s="398" customFormat="1" ht="13.15" customHeight="1" x14ac:dyDescent="0.2">
      <c r="A830" s="476"/>
      <c r="D830" s="467"/>
      <c r="F830" s="468"/>
      <c r="G830" s="468"/>
      <c r="H830" s="468"/>
      <c r="I830" s="468"/>
      <c r="J830" s="469"/>
      <c r="L830" s="476"/>
      <c r="M830" s="476"/>
      <c r="N830" s="476"/>
      <c r="O830" s="476"/>
      <c r="P830" s="476"/>
      <c r="Q830" s="476"/>
      <c r="R830" s="476"/>
      <c r="S830" s="476"/>
      <c r="T830" s="476"/>
      <c r="U830" s="476"/>
      <c r="V830" s="476"/>
      <c r="W830" s="476"/>
      <c r="X830" s="476"/>
      <c r="Y830" s="476"/>
      <c r="Z830" s="476"/>
      <c r="AA830" s="476"/>
      <c r="AB830" s="476"/>
      <c r="AC830" s="476"/>
      <c r="AD830" s="476"/>
      <c r="AE830" s="476"/>
      <c r="AF830" s="476"/>
      <c r="AG830" s="476"/>
      <c r="AH830" s="476"/>
      <c r="AI830" s="476"/>
      <c r="AJ830" s="476"/>
      <c r="AK830" s="476"/>
      <c r="AL830" s="476"/>
      <c r="AM830" s="476"/>
      <c r="AN830" s="476"/>
      <c r="AO830" s="476"/>
      <c r="AP830" s="476"/>
      <c r="AQ830" s="476"/>
      <c r="AR830" s="476"/>
      <c r="AS830" s="476"/>
      <c r="AT830" s="476"/>
      <c r="AU830" s="476"/>
    </row>
    <row r="831" spans="1:47" s="398" customFormat="1" ht="13.15" customHeight="1" x14ac:dyDescent="0.2">
      <c r="A831" s="476"/>
      <c r="D831" s="467"/>
      <c r="F831" s="468"/>
      <c r="G831" s="468"/>
      <c r="H831" s="468"/>
      <c r="I831" s="468"/>
      <c r="J831" s="469"/>
      <c r="L831" s="476"/>
      <c r="M831" s="476"/>
      <c r="N831" s="476"/>
      <c r="O831" s="476"/>
      <c r="P831" s="476"/>
      <c r="Q831" s="476"/>
      <c r="R831" s="476"/>
      <c r="S831" s="476"/>
      <c r="T831" s="476"/>
      <c r="U831" s="476"/>
      <c r="V831" s="476"/>
      <c r="W831" s="476"/>
      <c r="X831" s="476"/>
      <c r="Y831" s="476"/>
      <c r="Z831" s="476"/>
      <c r="AA831" s="476"/>
      <c r="AB831" s="476"/>
      <c r="AC831" s="476"/>
      <c r="AD831" s="476"/>
      <c r="AE831" s="476"/>
      <c r="AF831" s="476"/>
      <c r="AG831" s="476"/>
      <c r="AH831" s="476"/>
      <c r="AI831" s="476"/>
      <c r="AJ831" s="476"/>
      <c r="AK831" s="476"/>
      <c r="AL831" s="476"/>
      <c r="AM831" s="476"/>
      <c r="AN831" s="476"/>
      <c r="AO831" s="476"/>
      <c r="AP831" s="476"/>
      <c r="AQ831" s="476"/>
      <c r="AR831" s="476"/>
      <c r="AS831" s="476"/>
      <c r="AT831" s="476"/>
      <c r="AU831" s="476"/>
    </row>
    <row r="832" spans="1:47" s="398" customFormat="1" ht="13.15" customHeight="1" x14ac:dyDescent="0.2">
      <c r="A832" s="476"/>
      <c r="D832" s="467"/>
      <c r="F832" s="468"/>
      <c r="G832" s="468"/>
      <c r="H832" s="468"/>
      <c r="I832" s="468"/>
      <c r="J832" s="469"/>
      <c r="L832" s="476"/>
      <c r="M832" s="476"/>
      <c r="N832" s="476"/>
      <c r="O832" s="476"/>
      <c r="P832" s="476"/>
      <c r="Q832" s="476"/>
      <c r="R832" s="476"/>
      <c r="S832" s="476"/>
      <c r="T832" s="476"/>
      <c r="U832" s="476"/>
      <c r="V832" s="476"/>
      <c r="W832" s="476"/>
      <c r="X832" s="476"/>
      <c r="Y832" s="476"/>
      <c r="Z832" s="476"/>
      <c r="AA832" s="476"/>
      <c r="AB832" s="476"/>
      <c r="AC832" s="476"/>
      <c r="AD832" s="476"/>
      <c r="AE832" s="476"/>
      <c r="AF832" s="476"/>
      <c r="AG832" s="476"/>
      <c r="AH832" s="476"/>
      <c r="AI832" s="476"/>
      <c r="AJ832" s="476"/>
      <c r="AK832" s="476"/>
      <c r="AL832" s="476"/>
      <c r="AM832" s="476"/>
      <c r="AN832" s="476"/>
      <c r="AO832" s="476"/>
      <c r="AP832" s="476"/>
      <c r="AQ832" s="476"/>
      <c r="AR832" s="476"/>
      <c r="AS832" s="476"/>
      <c r="AT832" s="476"/>
      <c r="AU832" s="476"/>
    </row>
    <row r="833" spans="1:47" s="398" customFormat="1" ht="13.15" customHeight="1" x14ac:dyDescent="0.2">
      <c r="A833" s="476"/>
      <c r="D833" s="467"/>
      <c r="F833" s="468"/>
      <c r="G833" s="468"/>
      <c r="H833" s="468"/>
      <c r="I833" s="468"/>
      <c r="J833" s="469"/>
      <c r="L833" s="476"/>
      <c r="M833" s="476"/>
      <c r="N833" s="476"/>
      <c r="O833" s="476"/>
      <c r="P833" s="476"/>
      <c r="Q833" s="476"/>
      <c r="R833" s="476"/>
      <c r="S833" s="476"/>
      <c r="T833" s="476"/>
      <c r="U833" s="476"/>
      <c r="V833" s="476"/>
      <c r="W833" s="476"/>
      <c r="X833" s="476"/>
      <c r="Y833" s="476"/>
      <c r="Z833" s="476"/>
      <c r="AA833" s="476"/>
      <c r="AB833" s="476"/>
      <c r="AC833" s="476"/>
      <c r="AD833" s="476"/>
      <c r="AE833" s="476"/>
      <c r="AF833" s="476"/>
      <c r="AG833" s="476"/>
      <c r="AH833" s="476"/>
      <c r="AI833" s="476"/>
      <c r="AJ833" s="476"/>
      <c r="AK833" s="476"/>
      <c r="AL833" s="476"/>
      <c r="AM833" s="476"/>
      <c r="AN833" s="476"/>
      <c r="AO833" s="476"/>
      <c r="AP833" s="476"/>
      <c r="AQ833" s="476"/>
      <c r="AR833" s="476"/>
      <c r="AS833" s="476"/>
      <c r="AT833" s="476"/>
      <c r="AU833" s="476"/>
    </row>
    <row r="834" spans="1:47" s="398" customFormat="1" ht="13.15" customHeight="1" x14ac:dyDescent="0.2">
      <c r="A834" s="476"/>
      <c r="D834" s="467"/>
      <c r="F834" s="468"/>
      <c r="G834" s="468"/>
      <c r="H834" s="468"/>
      <c r="I834" s="468"/>
      <c r="J834" s="469"/>
      <c r="L834" s="476"/>
      <c r="M834" s="476"/>
      <c r="N834" s="476"/>
      <c r="O834" s="476"/>
      <c r="P834" s="476"/>
      <c r="Q834" s="476"/>
      <c r="R834" s="476"/>
      <c r="S834" s="476"/>
      <c r="T834" s="476"/>
      <c r="U834" s="476"/>
      <c r="V834" s="476"/>
      <c r="W834" s="476"/>
      <c r="X834" s="476"/>
      <c r="Y834" s="476"/>
      <c r="Z834" s="476"/>
      <c r="AA834" s="476"/>
      <c r="AB834" s="476"/>
      <c r="AC834" s="476"/>
      <c r="AD834" s="476"/>
      <c r="AE834" s="476"/>
      <c r="AF834" s="476"/>
      <c r="AG834" s="476"/>
      <c r="AH834" s="476"/>
      <c r="AI834" s="476"/>
      <c r="AJ834" s="476"/>
      <c r="AK834" s="476"/>
      <c r="AL834" s="476"/>
      <c r="AM834" s="476"/>
      <c r="AN834" s="476"/>
      <c r="AO834" s="476"/>
      <c r="AP834" s="476"/>
      <c r="AQ834" s="476"/>
      <c r="AR834" s="476"/>
      <c r="AS834" s="476"/>
      <c r="AT834" s="476"/>
      <c r="AU834" s="476"/>
    </row>
    <row r="835" spans="1:47" s="398" customFormat="1" ht="13.15" customHeight="1" x14ac:dyDescent="0.2">
      <c r="A835" s="476"/>
      <c r="D835" s="467"/>
      <c r="F835" s="468"/>
      <c r="G835" s="468"/>
      <c r="H835" s="468"/>
      <c r="I835" s="468"/>
      <c r="J835" s="469"/>
      <c r="L835" s="476"/>
      <c r="M835" s="476"/>
      <c r="N835" s="476"/>
      <c r="O835" s="476"/>
      <c r="P835" s="476"/>
      <c r="Q835" s="476"/>
      <c r="R835" s="476"/>
      <c r="S835" s="476"/>
      <c r="T835" s="476"/>
      <c r="U835" s="476"/>
      <c r="V835" s="476"/>
      <c r="W835" s="476"/>
      <c r="X835" s="476"/>
      <c r="Y835" s="476"/>
      <c r="Z835" s="476"/>
      <c r="AA835" s="476"/>
      <c r="AB835" s="476"/>
      <c r="AC835" s="476"/>
      <c r="AD835" s="476"/>
      <c r="AE835" s="476"/>
      <c r="AF835" s="476"/>
      <c r="AG835" s="476"/>
      <c r="AH835" s="476"/>
      <c r="AI835" s="476"/>
      <c r="AJ835" s="476"/>
      <c r="AK835" s="476"/>
      <c r="AL835" s="476"/>
      <c r="AM835" s="476"/>
      <c r="AN835" s="476"/>
      <c r="AO835" s="476"/>
      <c r="AP835" s="476"/>
      <c r="AQ835" s="476"/>
      <c r="AR835" s="476"/>
      <c r="AS835" s="476"/>
      <c r="AT835" s="476"/>
      <c r="AU835" s="476"/>
    </row>
    <row r="836" spans="1:47" s="398" customFormat="1" ht="13.15" customHeight="1" x14ac:dyDescent="0.2">
      <c r="A836" s="476"/>
      <c r="D836" s="467"/>
      <c r="F836" s="468"/>
      <c r="G836" s="468"/>
      <c r="H836" s="468"/>
      <c r="I836" s="468"/>
      <c r="J836" s="469"/>
      <c r="L836" s="476"/>
      <c r="M836" s="476"/>
      <c r="N836" s="476"/>
      <c r="O836" s="476"/>
      <c r="P836" s="476"/>
      <c r="Q836" s="476"/>
      <c r="R836" s="476"/>
      <c r="S836" s="476"/>
      <c r="T836" s="476"/>
      <c r="U836" s="476"/>
      <c r="V836" s="476"/>
      <c r="W836" s="476"/>
      <c r="X836" s="476"/>
      <c r="Y836" s="476"/>
      <c r="Z836" s="476"/>
      <c r="AA836" s="476"/>
      <c r="AB836" s="476"/>
      <c r="AC836" s="476"/>
      <c r="AD836" s="476"/>
      <c r="AE836" s="476"/>
      <c r="AF836" s="476"/>
      <c r="AG836" s="476"/>
      <c r="AH836" s="476"/>
      <c r="AI836" s="476"/>
      <c r="AJ836" s="476"/>
      <c r="AK836" s="476"/>
      <c r="AL836" s="476"/>
      <c r="AM836" s="476"/>
      <c r="AN836" s="476"/>
      <c r="AO836" s="476"/>
      <c r="AP836" s="476"/>
      <c r="AQ836" s="476"/>
      <c r="AR836" s="476"/>
      <c r="AS836" s="476"/>
      <c r="AT836" s="476"/>
      <c r="AU836" s="476"/>
    </row>
    <row r="837" spans="1:47" s="398" customFormat="1" ht="13.15" customHeight="1" x14ac:dyDescent="0.2">
      <c r="A837" s="476"/>
      <c r="D837" s="467"/>
      <c r="F837" s="468"/>
      <c r="G837" s="468"/>
      <c r="H837" s="468"/>
      <c r="I837" s="468"/>
      <c r="J837" s="469"/>
      <c r="L837" s="476"/>
      <c r="M837" s="476"/>
      <c r="N837" s="476"/>
      <c r="O837" s="476"/>
      <c r="P837" s="476"/>
      <c r="Q837" s="476"/>
      <c r="R837" s="476"/>
      <c r="S837" s="476"/>
      <c r="T837" s="476"/>
      <c r="U837" s="476"/>
      <c r="V837" s="476"/>
      <c r="W837" s="476"/>
      <c r="X837" s="476"/>
      <c r="Y837" s="476"/>
      <c r="Z837" s="476"/>
      <c r="AA837" s="476"/>
      <c r="AB837" s="476"/>
      <c r="AC837" s="476"/>
      <c r="AD837" s="476"/>
      <c r="AE837" s="476"/>
      <c r="AF837" s="476"/>
      <c r="AG837" s="476"/>
      <c r="AH837" s="476"/>
      <c r="AI837" s="476"/>
      <c r="AJ837" s="476"/>
      <c r="AK837" s="476"/>
      <c r="AL837" s="476"/>
      <c r="AM837" s="476"/>
      <c r="AN837" s="476"/>
      <c r="AO837" s="476"/>
      <c r="AP837" s="476"/>
      <c r="AQ837" s="476"/>
      <c r="AR837" s="476"/>
      <c r="AS837" s="476"/>
      <c r="AT837" s="476"/>
      <c r="AU837" s="476"/>
    </row>
    <row r="838" spans="1:47" s="398" customFormat="1" ht="13.15" customHeight="1" x14ac:dyDescent="0.2">
      <c r="A838" s="476"/>
      <c r="D838" s="467"/>
      <c r="F838" s="468"/>
      <c r="G838" s="468"/>
      <c r="H838" s="468"/>
      <c r="I838" s="468"/>
      <c r="J838" s="469"/>
      <c r="L838" s="476"/>
      <c r="M838" s="476"/>
      <c r="N838" s="476"/>
      <c r="O838" s="476"/>
      <c r="P838" s="476"/>
      <c r="Q838" s="476"/>
      <c r="R838" s="476"/>
      <c r="S838" s="476"/>
      <c r="T838" s="476"/>
      <c r="U838" s="476"/>
      <c r="V838" s="476"/>
      <c r="W838" s="476"/>
      <c r="X838" s="476"/>
      <c r="Y838" s="476"/>
      <c r="Z838" s="476"/>
      <c r="AA838" s="476"/>
      <c r="AB838" s="476"/>
      <c r="AC838" s="476"/>
      <c r="AD838" s="476"/>
      <c r="AE838" s="476"/>
      <c r="AF838" s="476"/>
      <c r="AG838" s="476"/>
      <c r="AH838" s="476"/>
      <c r="AI838" s="476"/>
      <c r="AJ838" s="476"/>
      <c r="AK838" s="476"/>
      <c r="AL838" s="476"/>
      <c r="AM838" s="476"/>
      <c r="AN838" s="476"/>
      <c r="AO838" s="476"/>
      <c r="AP838" s="476"/>
      <c r="AQ838" s="476"/>
      <c r="AR838" s="476"/>
      <c r="AS838" s="476"/>
      <c r="AT838" s="476"/>
      <c r="AU838" s="476"/>
    </row>
    <row r="839" spans="1:47" s="398" customFormat="1" ht="13.15" customHeight="1" x14ac:dyDescent="0.2">
      <c r="A839" s="476"/>
      <c r="D839" s="467"/>
      <c r="F839" s="468"/>
      <c r="G839" s="468"/>
      <c r="H839" s="468"/>
      <c r="I839" s="468"/>
      <c r="J839" s="469"/>
      <c r="L839" s="476"/>
      <c r="M839" s="476"/>
      <c r="N839" s="476"/>
      <c r="O839" s="476"/>
      <c r="P839" s="476"/>
      <c r="Q839" s="476"/>
      <c r="R839" s="476"/>
      <c r="S839" s="476"/>
      <c r="T839" s="476"/>
      <c r="U839" s="476"/>
      <c r="V839" s="476"/>
      <c r="W839" s="476"/>
      <c r="X839" s="476"/>
      <c r="Y839" s="476"/>
      <c r="Z839" s="476"/>
      <c r="AA839" s="476"/>
      <c r="AB839" s="476"/>
      <c r="AC839" s="476"/>
      <c r="AD839" s="476"/>
      <c r="AE839" s="476"/>
      <c r="AF839" s="476"/>
      <c r="AG839" s="476"/>
      <c r="AH839" s="476"/>
      <c r="AI839" s="476"/>
      <c r="AJ839" s="476"/>
      <c r="AK839" s="476"/>
      <c r="AL839" s="476"/>
      <c r="AM839" s="476"/>
      <c r="AN839" s="476"/>
      <c r="AO839" s="476"/>
      <c r="AP839" s="476"/>
      <c r="AQ839" s="476"/>
      <c r="AR839" s="476"/>
      <c r="AS839" s="476"/>
      <c r="AT839" s="476"/>
      <c r="AU839" s="476"/>
    </row>
    <row r="840" spans="1:47" s="398" customFormat="1" ht="13.15" customHeight="1" x14ac:dyDescent="0.2">
      <c r="A840" s="476"/>
      <c r="D840" s="467"/>
      <c r="F840" s="468"/>
      <c r="G840" s="468"/>
      <c r="H840" s="468"/>
      <c r="I840" s="468"/>
      <c r="J840" s="469"/>
      <c r="L840" s="476"/>
      <c r="M840" s="476"/>
      <c r="N840" s="476"/>
      <c r="O840" s="476"/>
      <c r="P840" s="476"/>
      <c r="Q840" s="476"/>
      <c r="R840" s="476"/>
      <c r="S840" s="476"/>
      <c r="T840" s="476"/>
      <c r="U840" s="476"/>
      <c r="V840" s="476"/>
      <c r="W840" s="476"/>
      <c r="X840" s="476"/>
      <c r="Y840" s="476"/>
      <c r="Z840" s="476"/>
      <c r="AA840" s="476"/>
      <c r="AB840" s="476"/>
      <c r="AC840" s="476"/>
      <c r="AD840" s="476"/>
      <c r="AE840" s="476"/>
      <c r="AF840" s="476"/>
      <c r="AG840" s="476"/>
      <c r="AH840" s="476"/>
      <c r="AI840" s="476"/>
      <c r="AJ840" s="476"/>
      <c r="AK840" s="476"/>
      <c r="AL840" s="476"/>
      <c r="AM840" s="476"/>
      <c r="AN840" s="476"/>
      <c r="AO840" s="476"/>
      <c r="AP840" s="476"/>
      <c r="AQ840" s="476"/>
      <c r="AR840" s="476"/>
      <c r="AS840" s="476"/>
      <c r="AT840" s="476"/>
      <c r="AU840" s="476"/>
    </row>
    <row r="841" spans="1:47" s="398" customFormat="1" ht="13.15" customHeight="1" x14ac:dyDescent="0.2">
      <c r="A841" s="476"/>
      <c r="D841" s="467"/>
      <c r="F841" s="468"/>
      <c r="G841" s="468"/>
      <c r="H841" s="468"/>
      <c r="I841" s="468"/>
      <c r="J841" s="469"/>
      <c r="L841" s="476"/>
      <c r="M841" s="476"/>
      <c r="N841" s="476"/>
      <c r="O841" s="476"/>
      <c r="P841" s="476"/>
      <c r="Q841" s="476"/>
      <c r="R841" s="476"/>
      <c r="S841" s="476"/>
      <c r="T841" s="476"/>
      <c r="U841" s="476"/>
      <c r="V841" s="476"/>
      <c r="W841" s="476"/>
      <c r="X841" s="476"/>
      <c r="Y841" s="476"/>
      <c r="Z841" s="476"/>
      <c r="AA841" s="476"/>
      <c r="AB841" s="476"/>
      <c r="AC841" s="476"/>
      <c r="AD841" s="476"/>
      <c r="AE841" s="476"/>
      <c r="AF841" s="476"/>
      <c r="AG841" s="476"/>
      <c r="AH841" s="476"/>
      <c r="AI841" s="476"/>
      <c r="AJ841" s="476"/>
      <c r="AK841" s="476"/>
      <c r="AL841" s="476"/>
      <c r="AM841" s="476"/>
      <c r="AN841" s="476"/>
      <c r="AO841" s="476"/>
      <c r="AP841" s="476"/>
      <c r="AQ841" s="476"/>
      <c r="AR841" s="476"/>
      <c r="AS841" s="476"/>
      <c r="AT841" s="476"/>
      <c r="AU841" s="476"/>
    </row>
    <row r="842" spans="1:47" s="398" customFormat="1" ht="13.15" customHeight="1" x14ac:dyDescent="0.2">
      <c r="A842" s="476"/>
      <c r="D842" s="467"/>
      <c r="F842" s="468"/>
      <c r="G842" s="468"/>
      <c r="H842" s="468"/>
      <c r="I842" s="468"/>
      <c r="J842" s="469"/>
      <c r="L842" s="476"/>
      <c r="M842" s="476"/>
      <c r="N842" s="476"/>
      <c r="O842" s="476"/>
      <c r="P842" s="476"/>
      <c r="Q842" s="476"/>
      <c r="R842" s="476"/>
      <c r="S842" s="476"/>
      <c r="T842" s="476"/>
      <c r="U842" s="476"/>
      <c r="V842" s="476"/>
      <c r="W842" s="476"/>
      <c r="X842" s="476"/>
      <c r="Y842" s="476"/>
      <c r="Z842" s="476"/>
      <c r="AA842" s="476"/>
      <c r="AB842" s="476"/>
      <c r="AC842" s="476"/>
      <c r="AD842" s="476"/>
      <c r="AE842" s="476"/>
      <c r="AF842" s="476"/>
      <c r="AG842" s="476"/>
      <c r="AH842" s="476"/>
      <c r="AI842" s="476"/>
      <c r="AJ842" s="476"/>
      <c r="AK842" s="476"/>
      <c r="AL842" s="476"/>
      <c r="AM842" s="476"/>
      <c r="AN842" s="476"/>
      <c r="AO842" s="476"/>
      <c r="AP842" s="476"/>
      <c r="AQ842" s="476"/>
      <c r="AR842" s="476"/>
      <c r="AS842" s="476"/>
      <c r="AT842" s="476"/>
      <c r="AU842" s="476"/>
    </row>
    <row r="843" spans="1:47" s="398" customFormat="1" ht="13.15" customHeight="1" x14ac:dyDescent="0.2">
      <c r="A843" s="476"/>
      <c r="D843" s="467"/>
      <c r="F843" s="468"/>
      <c r="G843" s="468"/>
      <c r="H843" s="468"/>
      <c r="I843" s="468"/>
      <c r="J843" s="469"/>
      <c r="L843" s="476"/>
      <c r="M843" s="476"/>
      <c r="N843" s="476"/>
      <c r="O843" s="476"/>
      <c r="P843" s="476"/>
      <c r="Q843" s="476"/>
      <c r="R843" s="476"/>
      <c r="S843" s="476"/>
      <c r="T843" s="476"/>
      <c r="U843" s="476"/>
      <c r="V843" s="476"/>
      <c r="W843" s="476"/>
      <c r="X843" s="476"/>
      <c r="Y843" s="476"/>
      <c r="Z843" s="476"/>
      <c r="AA843" s="476"/>
      <c r="AB843" s="476"/>
      <c r="AC843" s="476"/>
      <c r="AD843" s="476"/>
      <c r="AE843" s="476"/>
      <c r="AF843" s="476"/>
      <c r="AG843" s="476"/>
      <c r="AH843" s="476"/>
      <c r="AI843" s="476"/>
      <c r="AJ843" s="476"/>
      <c r="AK843" s="476"/>
      <c r="AL843" s="476"/>
      <c r="AM843" s="476"/>
      <c r="AN843" s="476"/>
      <c r="AO843" s="476"/>
      <c r="AP843" s="476"/>
      <c r="AQ843" s="476"/>
      <c r="AR843" s="476"/>
      <c r="AS843" s="476"/>
      <c r="AT843" s="476"/>
      <c r="AU843" s="476"/>
    </row>
    <row r="844" spans="1:47" s="398" customFormat="1" ht="13.15" customHeight="1" x14ac:dyDescent="0.2">
      <c r="A844" s="476"/>
      <c r="D844" s="467"/>
      <c r="F844" s="468"/>
      <c r="G844" s="468"/>
      <c r="H844" s="468"/>
      <c r="I844" s="468"/>
      <c r="J844" s="469"/>
      <c r="L844" s="476"/>
      <c r="M844" s="476"/>
      <c r="N844" s="476"/>
      <c r="O844" s="476"/>
      <c r="P844" s="476"/>
      <c r="Q844" s="476"/>
      <c r="R844" s="476"/>
      <c r="S844" s="476"/>
      <c r="T844" s="476"/>
      <c r="U844" s="476"/>
      <c r="V844" s="476"/>
      <c r="W844" s="476"/>
      <c r="X844" s="476"/>
      <c r="Y844" s="476"/>
      <c r="Z844" s="476"/>
      <c r="AA844" s="476"/>
      <c r="AB844" s="476"/>
      <c r="AC844" s="476"/>
      <c r="AD844" s="476"/>
      <c r="AE844" s="476"/>
      <c r="AF844" s="476"/>
      <c r="AG844" s="476"/>
      <c r="AH844" s="476"/>
      <c r="AI844" s="476"/>
      <c r="AJ844" s="476"/>
      <c r="AK844" s="476"/>
      <c r="AL844" s="476"/>
      <c r="AM844" s="476"/>
      <c r="AN844" s="476"/>
      <c r="AO844" s="476"/>
      <c r="AP844" s="476"/>
      <c r="AQ844" s="476"/>
      <c r="AR844" s="476"/>
      <c r="AS844" s="476"/>
      <c r="AT844" s="476"/>
      <c r="AU844" s="476"/>
    </row>
    <row r="845" spans="1:47" s="398" customFormat="1" ht="13.15" customHeight="1" x14ac:dyDescent="0.2">
      <c r="A845" s="476"/>
      <c r="D845" s="467"/>
      <c r="F845" s="468"/>
      <c r="G845" s="468"/>
      <c r="H845" s="468"/>
      <c r="I845" s="468"/>
      <c r="J845" s="469"/>
      <c r="L845" s="476"/>
      <c r="M845" s="476"/>
      <c r="N845" s="476"/>
      <c r="O845" s="476"/>
      <c r="P845" s="476"/>
      <c r="Q845" s="476"/>
      <c r="R845" s="476"/>
      <c r="S845" s="476"/>
      <c r="T845" s="476"/>
      <c r="U845" s="476"/>
      <c r="V845" s="476"/>
      <c r="W845" s="476"/>
      <c r="X845" s="476"/>
      <c r="Y845" s="476"/>
      <c r="Z845" s="476"/>
      <c r="AA845" s="476"/>
      <c r="AB845" s="476"/>
      <c r="AC845" s="476"/>
      <c r="AD845" s="476"/>
      <c r="AE845" s="476"/>
      <c r="AF845" s="476"/>
      <c r="AG845" s="476"/>
      <c r="AH845" s="476"/>
      <c r="AI845" s="476"/>
      <c r="AJ845" s="476"/>
      <c r="AK845" s="476"/>
      <c r="AL845" s="476"/>
      <c r="AM845" s="476"/>
      <c r="AN845" s="476"/>
      <c r="AO845" s="476"/>
      <c r="AP845" s="476"/>
      <c r="AQ845" s="476"/>
      <c r="AR845" s="476"/>
      <c r="AS845" s="476"/>
      <c r="AT845" s="476"/>
      <c r="AU845" s="476"/>
    </row>
    <row r="846" spans="1:47" s="398" customFormat="1" ht="13.15" customHeight="1" x14ac:dyDescent="0.2">
      <c r="A846" s="476"/>
      <c r="D846" s="467"/>
      <c r="F846" s="468"/>
      <c r="G846" s="468"/>
      <c r="H846" s="468"/>
      <c r="I846" s="468"/>
      <c r="J846" s="469"/>
      <c r="L846" s="476"/>
      <c r="M846" s="476"/>
      <c r="N846" s="476"/>
      <c r="O846" s="476"/>
      <c r="P846" s="476"/>
      <c r="Q846" s="476"/>
      <c r="R846" s="476"/>
      <c r="S846" s="476"/>
      <c r="T846" s="476"/>
      <c r="U846" s="476"/>
      <c r="V846" s="476"/>
      <c r="W846" s="476"/>
      <c r="X846" s="476"/>
      <c r="Y846" s="476"/>
      <c r="Z846" s="476"/>
      <c r="AA846" s="476"/>
      <c r="AB846" s="476"/>
      <c r="AC846" s="476"/>
      <c r="AD846" s="476"/>
      <c r="AE846" s="476"/>
      <c r="AF846" s="476"/>
      <c r="AG846" s="476"/>
      <c r="AH846" s="476"/>
      <c r="AI846" s="476"/>
      <c r="AJ846" s="476"/>
      <c r="AK846" s="476"/>
      <c r="AL846" s="476"/>
      <c r="AM846" s="476"/>
      <c r="AN846" s="476"/>
      <c r="AO846" s="476"/>
      <c r="AP846" s="476"/>
      <c r="AQ846" s="476"/>
      <c r="AR846" s="476"/>
      <c r="AS846" s="476"/>
      <c r="AT846" s="476"/>
      <c r="AU846" s="476"/>
    </row>
    <row r="847" spans="1:47" s="398" customFormat="1" ht="13.15" customHeight="1" x14ac:dyDescent="0.2">
      <c r="A847" s="476"/>
      <c r="D847" s="467"/>
      <c r="F847" s="468"/>
      <c r="G847" s="468"/>
      <c r="H847" s="468"/>
      <c r="I847" s="468"/>
      <c r="J847" s="469"/>
      <c r="L847" s="476"/>
      <c r="M847" s="476"/>
      <c r="N847" s="476"/>
      <c r="O847" s="476"/>
      <c r="P847" s="476"/>
      <c r="Q847" s="476"/>
      <c r="R847" s="476"/>
      <c r="S847" s="476"/>
      <c r="T847" s="476"/>
      <c r="U847" s="476"/>
      <c r="V847" s="476"/>
      <c r="W847" s="476"/>
      <c r="X847" s="476"/>
      <c r="Y847" s="476"/>
      <c r="Z847" s="476"/>
      <c r="AA847" s="476"/>
      <c r="AB847" s="476"/>
      <c r="AC847" s="476"/>
      <c r="AD847" s="476"/>
      <c r="AE847" s="476"/>
      <c r="AF847" s="476"/>
      <c r="AG847" s="476"/>
      <c r="AH847" s="476"/>
      <c r="AI847" s="476"/>
      <c r="AJ847" s="476"/>
      <c r="AK847" s="476"/>
      <c r="AL847" s="476"/>
      <c r="AM847" s="476"/>
      <c r="AN847" s="476"/>
      <c r="AO847" s="476"/>
      <c r="AP847" s="476"/>
      <c r="AQ847" s="476"/>
      <c r="AR847" s="476"/>
      <c r="AS847" s="476"/>
      <c r="AT847" s="476"/>
      <c r="AU847" s="476"/>
    </row>
    <row r="848" spans="1:47" s="398" customFormat="1" ht="13.15" customHeight="1" x14ac:dyDescent="0.2">
      <c r="A848" s="476"/>
      <c r="D848" s="467"/>
      <c r="F848" s="468"/>
      <c r="G848" s="468"/>
      <c r="H848" s="468"/>
      <c r="I848" s="468"/>
      <c r="J848" s="469"/>
      <c r="L848" s="476"/>
      <c r="M848" s="476"/>
      <c r="N848" s="476"/>
      <c r="O848" s="476"/>
      <c r="P848" s="476"/>
      <c r="Q848" s="476"/>
      <c r="R848" s="476"/>
      <c r="S848" s="476"/>
      <c r="T848" s="476"/>
      <c r="U848" s="476"/>
      <c r="V848" s="476"/>
      <c r="W848" s="476"/>
      <c r="X848" s="476"/>
      <c r="Y848" s="476"/>
      <c r="Z848" s="476"/>
      <c r="AA848" s="476"/>
      <c r="AB848" s="476"/>
      <c r="AC848" s="476"/>
      <c r="AD848" s="476"/>
      <c r="AE848" s="476"/>
      <c r="AF848" s="476"/>
      <c r="AG848" s="476"/>
      <c r="AH848" s="476"/>
      <c r="AI848" s="476"/>
      <c r="AJ848" s="476"/>
      <c r="AK848" s="476"/>
      <c r="AL848" s="476"/>
      <c r="AM848" s="476"/>
      <c r="AN848" s="476"/>
      <c r="AO848" s="476"/>
      <c r="AP848" s="476"/>
      <c r="AQ848" s="476"/>
      <c r="AR848" s="476"/>
      <c r="AS848" s="476"/>
      <c r="AT848" s="476"/>
      <c r="AU848" s="476"/>
    </row>
    <row r="849" spans="1:47" s="398" customFormat="1" ht="13.15" customHeight="1" x14ac:dyDescent="0.2">
      <c r="A849" s="476"/>
      <c r="D849" s="467"/>
      <c r="F849" s="468"/>
      <c r="G849" s="468"/>
      <c r="H849" s="468"/>
      <c r="I849" s="468"/>
      <c r="J849" s="469"/>
      <c r="L849" s="476"/>
      <c r="M849" s="476"/>
      <c r="N849" s="476"/>
      <c r="O849" s="476"/>
      <c r="P849" s="476"/>
      <c r="Q849" s="476"/>
      <c r="R849" s="476"/>
      <c r="S849" s="476"/>
      <c r="T849" s="476"/>
      <c r="U849" s="476"/>
      <c r="V849" s="476"/>
      <c r="W849" s="476"/>
      <c r="X849" s="476"/>
      <c r="Y849" s="476"/>
      <c r="Z849" s="476"/>
      <c r="AA849" s="476"/>
      <c r="AB849" s="476"/>
      <c r="AC849" s="476"/>
      <c r="AD849" s="476"/>
      <c r="AE849" s="476"/>
      <c r="AF849" s="476"/>
      <c r="AG849" s="476"/>
      <c r="AH849" s="476"/>
      <c r="AI849" s="476"/>
      <c r="AJ849" s="476"/>
      <c r="AK849" s="476"/>
      <c r="AL849" s="476"/>
      <c r="AM849" s="476"/>
      <c r="AN849" s="476"/>
      <c r="AO849" s="476"/>
      <c r="AP849" s="476"/>
      <c r="AQ849" s="476"/>
      <c r="AR849" s="476"/>
      <c r="AS849" s="476"/>
      <c r="AT849" s="476"/>
      <c r="AU849" s="476"/>
    </row>
    <row r="850" spans="1:47" s="398" customFormat="1" ht="13.15" customHeight="1" x14ac:dyDescent="0.2">
      <c r="A850" s="476"/>
      <c r="D850" s="467"/>
      <c r="F850" s="468"/>
      <c r="G850" s="468"/>
      <c r="H850" s="468"/>
      <c r="I850" s="468"/>
      <c r="J850" s="469"/>
      <c r="L850" s="476"/>
      <c r="M850" s="476"/>
      <c r="N850" s="476"/>
      <c r="O850" s="476"/>
      <c r="P850" s="476"/>
      <c r="Q850" s="476"/>
      <c r="R850" s="476"/>
      <c r="S850" s="476"/>
      <c r="T850" s="476"/>
      <c r="U850" s="476"/>
      <c r="V850" s="476"/>
      <c r="W850" s="476"/>
      <c r="X850" s="476"/>
      <c r="Y850" s="476"/>
      <c r="Z850" s="476"/>
      <c r="AA850" s="476"/>
      <c r="AB850" s="476"/>
      <c r="AC850" s="476"/>
      <c r="AD850" s="476"/>
      <c r="AE850" s="476"/>
      <c r="AF850" s="476"/>
      <c r="AG850" s="476"/>
      <c r="AH850" s="476"/>
      <c r="AI850" s="476"/>
      <c r="AJ850" s="476"/>
      <c r="AK850" s="476"/>
      <c r="AL850" s="476"/>
      <c r="AM850" s="476"/>
      <c r="AN850" s="476"/>
      <c r="AO850" s="476"/>
      <c r="AP850" s="476"/>
      <c r="AQ850" s="476"/>
      <c r="AR850" s="476"/>
      <c r="AS850" s="476"/>
      <c r="AT850" s="476"/>
      <c r="AU850" s="476"/>
    </row>
    <row r="851" spans="1:47" s="398" customFormat="1" ht="13.15" customHeight="1" x14ac:dyDescent="0.2">
      <c r="A851" s="476"/>
      <c r="D851" s="467"/>
      <c r="F851" s="468"/>
      <c r="G851" s="468"/>
      <c r="H851" s="468"/>
      <c r="I851" s="468"/>
      <c r="J851" s="469"/>
      <c r="L851" s="476"/>
      <c r="M851" s="476"/>
      <c r="N851" s="476"/>
      <c r="O851" s="476"/>
      <c r="P851" s="476"/>
      <c r="Q851" s="476"/>
      <c r="R851" s="476"/>
      <c r="S851" s="476"/>
      <c r="T851" s="476"/>
      <c r="U851" s="476"/>
      <c r="V851" s="476"/>
      <c r="W851" s="476"/>
      <c r="X851" s="476"/>
      <c r="Y851" s="476"/>
      <c r="Z851" s="476"/>
      <c r="AA851" s="476"/>
      <c r="AB851" s="476"/>
      <c r="AC851" s="476"/>
      <c r="AD851" s="476"/>
      <c r="AE851" s="476"/>
      <c r="AF851" s="476"/>
      <c r="AG851" s="476"/>
      <c r="AH851" s="476"/>
      <c r="AI851" s="476"/>
      <c r="AJ851" s="476"/>
      <c r="AK851" s="476"/>
      <c r="AL851" s="476"/>
      <c r="AM851" s="476"/>
      <c r="AN851" s="476"/>
      <c r="AO851" s="476"/>
      <c r="AP851" s="476"/>
      <c r="AQ851" s="476"/>
      <c r="AR851" s="476"/>
      <c r="AS851" s="476"/>
      <c r="AT851" s="476"/>
      <c r="AU851" s="476"/>
    </row>
    <row r="852" spans="1:47" s="398" customFormat="1" ht="13.15" customHeight="1" x14ac:dyDescent="0.2">
      <c r="A852" s="476"/>
      <c r="D852" s="467"/>
      <c r="F852" s="468"/>
      <c r="G852" s="468"/>
      <c r="H852" s="468"/>
      <c r="I852" s="468"/>
      <c r="J852" s="469"/>
      <c r="L852" s="476"/>
      <c r="M852" s="476"/>
      <c r="N852" s="476"/>
      <c r="O852" s="476"/>
      <c r="P852" s="476"/>
      <c r="Q852" s="476"/>
      <c r="R852" s="476"/>
      <c r="S852" s="476"/>
      <c r="T852" s="476"/>
      <c r="U852" s="476"/>
      <c r="V852" s="476"/>
      <c r="W852" s="476"/>
      <c r="X852" s="476"/>
      <c r="Y852" s="476"/>
      <c r="Z852" s="476"/>
      <c r="AA852" s="476"/>
      <c r="AB852" s="476"/>
      <c r="AC852" s="476"/>
      <c r="AD852" s="476"/>
      <c r="AE852" s="476"/>
      <c r="AF852" s="476"/>
      <c r="AG852" s="476"/>
      <c r="AH852" s="476"/>
      <c r="AI852" s="476"/>
      <c r="AJ852" s="476"/>
      <c r="AK852" s="476"/>
      <c r="AL852" s="476"/>
      <c r="AM852" s="476"/>
      <c r="AN852" s="476"/>
      <c r="AO852" s="476"/>
      <c r="AP852" s="476"/>
      <c r="AQ852" s="476"/>
      <c r="AR852" s="476"/>
      <c r="AS852" s="476"/>
      <c r="AT852" s="476"/>
      <c r="AU852" s="476"/>
    </row>
    <row r="853" spans="1:47" s="398" customFormat="1" ht="13.15" customHeight="1" x14ac:dyDescent="0.2">
      <c r="A853" s="476"/>
      <c r="D853" s="467"/>
      <c r="F853" s="468"/>
      <c r="G853" s="468"/>
      <c r="H853" s="468"/>
      <c r="I853" s="468"/>
      <c r="J853" s="469"/>
      <c r="L853" s="476"/>
      <c r="M853" s="476"/>
      <c r="N853" s="476"/>
      <c r="O853" s="476"/>
      <c r="P853" s="476"/>
      <c r="Q853" s="476"/>
      <c r="R853" s="476"/>
      <c r="S853" s="476"/>
      <c r="T853" s="476"/>
      <c r="U853" s="476"/>
      <c r="V853" s="476"/>
      <c r="W853" s="476"/>
      <c r="X853" s="476"/>
      <c r="Y853" s="476"/>
      <c r="Z853" s="476"/>
      <c r="AA853" s="476"/>
      <c r="AB853" s="476"/>
      <c r="AC853" s="476"/>
      <c r="AD853" s="476"/>
      <c r="AE853" s="476"/>
      <c r="AF853" s="476"/>
      <c r="AG853" s="476"/>
      <c r="AH853" s="476"/>
      <c r="AI853" s="476"/>
      <c r="AJ853" s="476"/>
      <c r="AK853" s="476"/>
      <c r="AL853" s="476"/>
      <c r="AM853" s="476"/>
      <c r="AN853" s="476"/>
      <c r="AO853" s="476"/>
      <c r="AP853" s="476"/>
      <c r="AQ853" s="476"/>
      <c r="AR853" s="476"/>
      <c r="AS853" s="476"/>
      <c r="AT853" s="476"/>
      <c r="AU853" s="476"/>
    </row>
    <row r="854" spans="1:47" s="398" customFormat="1" ht="13.15" customHeight="1" x14ac:dyDescent="0.2">
      <c r="A854" s="476"/>
      <c r="D854" s="467"/>
      <c r="F854" s="468"/>
      <c r="G854" s="468"/>
      <c r="H854" s="468"/>
      <c r="I854" s="468"/>
      <c r="J854" s="469"/>
      <c r="L854" s="476"/>
      <c r="M854" s="476"/>
      <c r="N854" s="476"/>
      <c r="O854" s="476"/>
      <c r="P854" s="476"/>
      <c r="Q854" s="476"/>
      <c r="R854" s="476"/>
      <c r="S854" s="476"/>
      <c r="T854" s="476"/>
      <c r="U854" s="476"/>
      <c r="V854" s="476"/>
      <c r="W854" s="476"/>
      <c r="X854" s="476"/>
      <c r="Y854" s="476"/>
      <c r="Z854" s="476"/>
      <c r="AA854" s="476"/>
      <c r="AB854" s="476"/>
      <c r="AC854" s="476"/>
      <c r="AD854" s="476"/>
      <c r="AE854" s="476"/>
      <c r="AF854" s="476"/>
      <c r="AG854" s="476"/>
      <c r="AH854" s="476"/>
      <c r="AI854" s="476"/>
      <c r="AJ854" s="476"/>
      <c r="AK854" s="476"/>
      <c r="AL854" s="476"/>
      <c r="AM854" s="476"/>
      <c r="AN854" s="476"/>
      <c r="AO854" s="476"/>
      <c r="AP854" s="476"/>
      <c r="AQ854" s="476"/>
      <c r="AR854" s="476"/>
      <c r="AS854" s="476"/>
      <c r="AT854" s="476"/>
      <c r="AU854" s="476"/>
    </row>
    <row r="855" spans="1:47" s="398" customFormat="1" ht="13.15" customHeight="1" x14ac:dyDescent="0.2">
      <c r="A855" s="476"/>
      <c r="D855" s="467"/>
      <c r="F855" s="468"/>
      <c r="G855" s="468"/>
      <c r="H855" s="468"/>
      <c r="I855" s="468"/>
      <c r="J855" s="469"/>
      <c r="L855" s="476"/>
      <c r="M855" s="476"/>
      <c r="N855" s="476"/>
      <c r="O855" s="476"/>
      <c r="P855" s="476"/>
      <c r="Q855" s="476"/>
      <c r="R855" s="476"/>
      <c r="S855" s="476"/>
      <c r="T855" s="476"/>
      <c r="U855" s="476"/>
      <c r="V855" s="476"/>
      <c r="W855" s="476"/>
      <c r="X855" s="476"/>
      <c r="Y855" s="476"/>
      <c r="Z855" s="476"/>
      <c r="AA855" s="476"/>
      <c r="AB855" s="476"/>
      <c r="AC855" s="476"/>
      <c r="AD855" s="476"/>
      <c r="AE855" s="476"/>
      <c r="AF855" s="476"/>
      <c r="AG855" s="476"/>
      <c r="AH855" s="476"/>
      <c r="AI855" s="476"/>
      <c r="AJ855" s="476"/>
      <c r="AK855" s="476"/>
      <c r="AL855" s="476"/>
      <c r="AM855" s="476"/>
      <c r="AN855" s="476"/>
      <c r="AO855" s="476"/>
      <c r="AP855" s="476"/>
      <c r="AQ855" s="476"/>
      <c r="AR855" s="476"/>
      <c r="AS855" s="476"/>
      <c r="AT855" s="476"/>
      <c r="AU855" s="476"/>
    </row>
    <row r="856" spans="1:47" s="398" customFormat="1" ht="13.15" customHeight="1" x14ac:dyDescent="0.2">
      <c r="A856" s="476"/>
      <c r="D856" s="467"/>
      <c r="F856" s="468"/>
      <c r="G856" s="468"/>
      <c r="H856" s="468"/>
      <c r="I856" s="468"/>
      <c r="J856" s="469"/>
      <c r="L856" s="476"/>
      <c r="M856" s="476"/>
      <c r="N856" s="476"/>
      <c r="O856" s="476"/>
      <c r="P856" s="476"/>
      <c r="Q856" s="476"/>
      <c r="R856" s="476"/>
      <c r="S856" s="476"/>
      <c r="T856" s="476"/>
      <c r="U856" s="476"/>
      <c r="V856" s="476"/>
      <c r="W856" s="476"/>
      <c r="X856" s="476"/>
      <c r="Y856" s="476"/>
      <c r="Z856" s="476"/>
      <c r="AA856" s="476"/>
      <c r="AB856" s="476"/>
      <c r="AC856" s="476"/>
      <c r="AD856" s="476"/>
      <c r="AE856" s="476"/>
      <c r="AF856" s="476"/>
      <c r="AG856" s="476"/>
      <c r="AH856" s="476"/>
      <c r="AI856" s="476"/>
      <c r="AJ856" s="476"/>
      <c r="AK856" s="476"/>
      <c r="AL856" s="476"/>
      <c r="AM856" s="476"/>
      <c r="AN856" s="476"/>
      <c r="AO856" s="476"/>
      <c r="AP856" s="476"/>
      <c r="AQ856" s="476"/>
      <c r="AR856" s="476"/>
      <c r="AS856" s="476"/>
      <c r="AT856" s="476"/>
      <c r="AU856" s="476"/>
    </row>
    <row r="857" spans="1:47" s="398" customFormat="1" ht="13.15" customHeight="1" x14ac:dyDescent="0.2">
      <c r="A857" s="476"/>
      <c r="D857" s="467"/>
      <c r="F857" s="468"/>
      <c r="G857" s="468"/>
      <c r="H857" s="468"/>
      <c r="I857" s="468"/>
      <c r="J857" s="469"/>
      <c r="L857" s="476"/>
      <c r="M857" s="476"/>
      <c r="N857" s="476"/>
      <c r="O857" s="476"/>
      <c r="P857" s="476"/>
      <c r="Q857" s="476"/>
      <c r="R857" s="476"/>
      <c r="S857" s="476"/>
      <c r="T857" s="476"/>
      <c r="U857" s="476"/>
      <c r="V857" s="476"/>
      <c r="W857" s="476"/>
      <c r="X857" s="476"/>
      <c r="Y857" s="476"/>
      <c r="Z857" s="476"/>
      <c r="AA857" s="476"/>
      <c r="AB857" s="476"/>
      <c r="AC857" s="476"/>
      <c r="AD857" s="476"/>
      <c r="AE857" s="476"/>
      <c r="AF857" s="476"/>
      <c r="AG857" s="476"/>
      <c r="AH857" s="476"/>
      <c r="AI857" s="476"/>
      <c r="AJ857" s="476"/>
      <c r="AK857" s="476"/>
      <c r="AL857" s="476"/>
      <c r="AM857" s="476"/>
      <c r="AN857" s="476"/>
      <c r="AO857" s="476"/>
      <c r="AP857" s="476"/>
      <c r="AQ857" s="476"/>
      <c r="AR857" s="476"/>
      <c r="AS857" s="476"/>
      <c r="AT857" s="476"/>
      <c r="AU857" s="476"/>
    </row>
    <row r="858" spans="1:47" s="398" customFormat="1" ht="13.15" customHeight="1" x14ac:dyDescent="0.2">
      <c r="A858" s="476"/>
      <c r="D858" s="467"/>
      <c r="F858" s="468"/>
      <c r="G858" s="468"/>
      <c r="H858" s="468"/>
      <c r="I858" s="468"/>
      <c r="J858" s="469"/>
      <c r="L858" s="476"/>
      <c r="M858" s="476"/>
      <c r="N858" s="476"/>
      <c r="O858" s="476"/>
      <c r="P858" s="476"/>
      <c r="Q858" s="476"/>
      <c r="R858" s="476"/>
      <c r="S858" s="476"/>
      <c r="T858" s="476"/>
      <c r="U858" s="476"/>
      <c r="V858" s="476"/>
      <c r="W858" s="476"/>
      <c r="X858" s="476"/>
      <c r="Y858" s="476"/>
      <c r="Z858" s="476"/>
      <c r="AA858" s="476"/>
      <c r="AB858" s="476"/>
      <c r="AC858" s="476"/>
      <c r="AD858" s="476"/>
      <c r="AE858" s="476"/>
      <c r="AF858" s="476"/>
      <c r="AG858" s="476"/>
      <c r="AH858" s="476"/>
      <c r="AI858" s="476"/>
      <c r="AJ858" s="476"/>
      <c r="AK858" s="476"/>
      <c r="AL858" s="476"/>
      <c r="AM858" s="476"/>
      <c r="AN858" s="476"/>
      <c r="AO858" s="476"/>
      <c r="AP858" s="476"/>
      <c r="AQ858" s="476"/>
      <c r="AR858" s="476"/>
      <c r="AS858" s="476"/>
      <c r="AT858" s="476"/>
      <c r="AU858" s="476"/>
    </row>
    <row r="859" spans="1:47" s="398" customFormat="1" ht="13.15" customHeight="1" x14ac:dyDescent="0.2">
      <c r="A859" s="476"/>
      <c r="D859" s="467"/>
      <c r="F859" s="468"/>
      <c r="G859" s="468"/>
      <c r="H859" s="468"/>
      <c r="I859" s="468"/>
      <c r="J859" s="469"/>
      <c r="L859" s="476"/>
      <c r="M859" s="476"/>
      <c r="N859" s="476"/>
      <c r="O859" s="476"/>
      <c r="P859" s="476"/>
      <c r="Q859" s="476"/>
      <c r="R859" s="476"/>
      <c r="S859" s="476"/>
      <c r="T859" s="476"/>
      <c r="U859" s="476"/>
      <c r="V859" s="476"/>
      <c r="W859" s="476"/>
      <c r="X859" s="476"/>
      <c r="Y859" s="476"/>
      <c r="Z859" s="476"/>
      <c r="AA859" s="476"/>
      <c r="AB859" s="476"/>
      <c r="AC859" s="476"/>
      <c r="AD859" s="476"/>
      <c r="AE859" s="476"/>
      <c r="AF859" s="476"/>
      <c r="AG859" s="476"/>
      <c r="AH859" s="476"/>
      <c r="AI859" s="476"/>
      <c r="AJ859" s="476"/>
      <c r="AK859" s="476"/>
      <c r="AL859" s="476"/>
      <c r="AM859" s="476"/>
      <c r="AN859" s="476"/>
      <c r="AO859" s="476"/>
      <c r="AP859" s="476"/>
      <c r="AQ859" s="476"/>
      <c r="AR859" s="476"/>
      <c r="AS859" s="476"/>
      <c r="AT859" s="476"/>
      <c r="AU859" s="476"/>
    </row>
    <row r="860" spans="1:47" s="398" customFormat="1" ht="13.15" customHeight="1" x14ac:dyDescent="0.2">
      <c r="A860" s="476"/>
      <c r="D860" s="467"/>
      <c r="F860" s="468"/>
      <c r="G860" s="468"/>
      <c r="H860" s="468"/>
      <c r="I860" s="468"/>
      <c r="J860" s="469"/>
      <c r="L860" s="476"/>
      <c r="M860" s="476"/>
      <c r="N860" s="476"/>
      <c r="O860" s="476"/>
      <c r="P860" s="476"/>
      <c r="Q860" s="476"/>
      <c r="R860" s="476"/>
      <c r="S860" s="476"/>
      <c r="T860" s="476"/>
      <c r="U860" s="476"/>
      <c r="V860" s="476"/>
      <c r="W860" s="476"/>
      <c r="X860" s="476"/>
      <c r="Y860" s="476"/>
      <c r="Z860" s="476"/>
      <c r="AA860" s="476"/>
      <c r="AB860" s="476"/>
      <c r="AC860" s="476"/>
      <c r="AD860" s="476"/>
      <c r="AE860" s="476"/>
      <c r="AF860" s="476"/>
      <c r="AG860" s="476"/>
      <c r="AH860" s="476"/>
      <c r="AI860" s="476"/>
      <c r="AJ860" s="476"/>
      <c r="AK860" s="476"/>
      <c r="AL860" s="476"/>
      <c r="AM860" s="476"/>
      <c r="AN860" s="476"/>
      <c r="AO860" s="476"/>
      <c r="AP860" s="476"/>
      <c r="AQ860" s="476"/>
      <c r="AR860" s="476"/>
      <c r="AS860" s="476"/>
      <c r="AT860" s="476"/>
      <c r="AU860" s="476"/>
    </row>
    <row r="861" spans="1:47" s="398" customFormat="1" ht="13.15" customHeight="1" x14ac:dyDescent="0.2">
      <c r="A861" s="476"/>
      <c r="D861" s="467"/>
      <c r="F861" s="468"/>
      <c r="G861" s="468"/>
      <c r="H861" s="468"/>
      <c r="I861" s="468"/>
      <c r="J861" s="469"/>
      <c r="L861" s="476"/>
      <c r="M861" s="476"/>
      <c r="N861" s="476"/>
      <c r="O861" s="476"/>
      <c r="P861" s="476"/>
      <c r="Q861" s="476"/>
      <c r="R861" s="476"/>
      <c r="S861" s="476"/>
      <c r="T861" s="476"/>
      <c r="U861" s="476"/>
      <c r="V861" s="476"/>
      <c r="W861" s="476"/>
      <c r="X861" s="476"/>
      <c r="Y861" s="476"/>
      <c r="Z861" s="476"/>
      <c r="AA861" s="476"/>
      <c r="AB861" s="476"/>
      <c r="AC861" s="476"/>
      <c r="AD861" s="476"/>
      <c r="AE861" s="476"/>
      <c r="AF861" s="476"/>
      <c r="AG861" s="476"/>
      <c r="AH861" s="476"/>
      <c r="AI861" s="476"/>
      <c r="AJ861" s="476"/>
      <c r="AK861" s="476"/>
      <c r="AL861" s="476"/>
      <c r="AM861" s="476"/>
      <c r="AN861" s="476"/>
      <c r="AO861" s="476"/>
      <c r="AP861" s="476"/>
      <c r="AQ861" s="476"/>
      <c r="AR861" s="476"/>
      <c r="AS861" s="476"/>
      <c r="AT861" s="476"/>
      <c r="AU861" s="476"/>
    </row>
    <row r="862" spans="1:47" s="398" customFormat="1" ht="13.15" customHeight="1" x14ac:dyDescent="0.2">
      <c r="A862" s="476"/>
      <c r="D862" s="467"/>
      <c r="F862" s="468"/>
      <c r="G862" s="468"/>
      <c r="H862" s="468"/>
      <c r="I862" s="468"/>
      <c r="J862" s="469"/>
      <c r="L862" s="476"/>
      <c r="M862" s="476"/>
      <c r="N862" s="476"/>
      <c r="O862" s="476"/>
      <c r="P862" s="476"/>
      <c r="Q862" s="476"/>
      <c r="R862" s="476"/>
      <c r="S862" s="476"/>
      <c r="T862" s="476"/>
      <c r="U862" s="476"/>
      <c r="V862" s="476"/>
      <c r="W862" s="476"/>
      <c r="X862" s="476"/>
      <c r="Y862" s="476"/>
      <c r="Z862" s="476"/>
      <c r="AA862" s="476"/>
      <c r="AB862" s="476"/>
      <c r="AC862" s="476"/>
      <c r="AD862" s="476"/>
      <c r="AE862" s="476"/>
      <c r="AF862" s="476"/>
      <c r="AG862" s="476"/>
      <c r="AH862" s="476"/>
      <c r="AI862" s="476"/>
      <c r="AJ862" s="476"/>
      <c r="AK862" s="476"/>
      <c r="AL862" s="476"/>
      <c r="AM862" s="476"/>
      <c r="AN862" s="476"/>
      <c r="AO862" s="476"/>
      <c r="AP862" s="476"/>
      <c r="AQ862" s="476"/>
      <c r="AR862" s="476"/>
      <c r="AS862" s="476"/>
      <c r="AT862" s="476"/>
      <c r="AU862" s="476"/>
    </row>
    <row r="863" spans="1:47" s="398" customFormat="1" ht="13.15" customHeight="1" x14ac:dyDescent="0.2">
      <c r="A863" s="476"/>
      <c r="D863" s="467"/>
      <c r="F863" s="468"/>
      <c r="G863" s="468"/>
      <c r="H863" s="468"/>
      <c r="I863" s="468"/>
      <c r="J863" s="469"/>
      <c r="L863" s="476"/>
      <c r="M863" s="476"/>
      <c r="N863" s="476"/>
      <c r="O863" s="476"/>
      <c r="P863" s="476"/>
      <c r="Q863" s="476"/>
      <c r="R863" s="476"/>
      <c r="S863" s="476"/>
      <c r="T863" s="476"/>
      <c r="U863" s="476"/>
      <c r="V863" s="476"/>
      <c r="W863" s="476"/>
      <c r="X863" s="476"/>
      <c r="Y863" s="476"/>
      <c r="Z863" s="476"/>
      <c r="AA863" s="476"/>
      <c r="AB863" s="476"/>
      <c r="AC863" s="476"/>
      <c r="AD863" s="476"/>
      <c r="AE863" s="476"/>
      <c r="AF863" s="476"/>
      <c r="AG863" s="476"/>
      <c r="AH863" s="476"/>
      <c r="AI863" s="476"/>
      <c r="AJ863" s="476"/>
      <c r="AK863" s="476"/>
      <c r="AL863" s="476"/>
      <c r="AM863" s="476"/>
      <c r="AN863" s="476"/>
      <c r="AO863" s="476"/>
      <c r="AP863" s="476"/>
      <c r="AQ863" s="476"/>
      <c r="AR863" s="476"/>
      <c r="AS863" s="476"/>
      <c r="AT863" s="476"/>
      <c r="AU863" s="476"/>
    </row>
    <row r="864" spans="1:47" s="398" customFormat="1" ht="13.15" customHeight="1" x14ac:dyDescent="0.2">
      <c r="A864" s="476"/>
      <c r="D864" s="467"/>
      <c r="F864" s="468"/>
      <c r="G864" s="468"/>
      <c r="H864" s="468"/>
      <c r="I864" s="468"/>
      <c r="J864" s="469"/>
      <c r="L864" s="476"/>
      <c r="M864" s="476"/>
      <c r="N864" s="476"/>
      <c r="O864" s="476"/>
      <c r="P864" s="476"/>
      <c r="Q864" s="476"/>
      <c r="R864" s="476"/>
      <c r="S864" s="476"/>
      <c r="T864" s="476"/>
      <c r="U864" s="476"/>
      <c r="V864" s="476"/>
      <c r="W864" s="476"/>
      <c r="X864" s="476"/>
      <c r="Y864" s="476"/>
      <c r="Z864" s="476"/>
      <c r="AA864" s="476"/>
      <c r="AB864" s="476"/>
      <c r="AC864" s="476"/>
      <c r="AD864" s="476"/>
      <c r="AE864" s="476"/>
      <c r="AF864" s="476"/>
      <c r="AG864" s="476"/>
      <c r="AH864" s="476"/>
      <c r="AI864" s="476"/>
      <c r="AJ864" s="476"/>
      <c r="AK864" s="476"/>
      <c r="AL864" s="476"/>
      <c r="AM864" s="476"/>
      <c r="AN864" s="476"/>
      <c r="AO864" s="476"/>
      <c r="AP864" s="476"/>
      <c r="AQ864" s="476"/>
      <c r="AR864" s="476"/>
      <c r="AS864" s="476"/>
      <c r="AT864" s="476"/>
      <c r="AU864" s="476"/>
    </row>
    <row r="865" spans="1:47" s="398" customFormat="1" ht="13.15" customHeight="1" x14ac:dyDescent="0.2">
      <c r="A865" s="476"/>
      <c r="D865" s="467"/>
      <c r="F865" s="468"/>
      <c r="G865" s="468"/>
      <c r="H865" s="468"/>
      <c r="I865" s="468"/>
      <c r="J865" s="469"/>
      <c r="L865" s="476"/>
      <c r="M865" s="476"/>
      <c r="N865" s="476"/>
      <c r="O865" s="476"/>
      <c r="P865" s="476"/>
      <c r="Q865" s="476"/>
      <c r="R865" s="476"/>
      <c r="S865" s="476"/>
      <c r="T865" s="476"/>
      <c r="U865" s="476"/>
      <c r="V865" s="476"/>
      <c r="W865" s="476"/>
      <c r="X865" s="476"/>
      <c r="Y865" s="476"/>
      <c r="Z865" s="476"/>
      <c r="AA865" s="476"/>
      <c r="AB865" s="476"/>
      <c r="AC865" s="476"/>
      <c r="AD865" s="476"/>
      <c r="AE865" s="476"/>
      <c r="AF865" s="476"/>
      <c r="AG865" s="476"/>
      <c r="AH865" s="476"/>
      <c r="AI865" s="476"/>
      <c r="AJ865" s="476"/>
      <c r="AK865" s="476"/>
      <c r="AL865" s="476"/>
      <c r="AM865" s="476"/>
      <c r="AN865" s="476"/>
      <c r="AO865" s="476"/>
      <c r="AP865" s="476"/>
      <c r="AQ865" s="476"/>
      <c r="AR865" s="476"/>
      <c r="AS865" s="476"/>
      <c r="AT865" s="476"/>
      <c r="AU865" s="476"/>
    </row>
    <row r="866" spans="1:47" s="398" customFormat="1" ht="13.15" customHeight="1" x14ac:dyDescent="0.2">
      <c r="A866" s="476"/>
      <c r="D866" s="467"/>
      <c r="F866" s="468"/>
      <c r="G866" s="468"/>
      <c r="H866" s="468"/>
      <c r="I866" s="468"/>
      <c r="J866" s="469"/>
      <c r="L866" s="476"/>
      <c r="M866" s="476"/>
      <c r="N866" s="476"/>
      <c r="O866" s="476"/>
      <c r="P866" s="476"/>
      <c r="Q866" s="476"/>
      <c r="R866" s="476"/>
      <c r="S866" s="476"/>
      <c r="T866" s="476"/>
      <c r="U866" s="476"/>
      <c r="V866" s="476"/>
      <c r="W866" s="476"/>
      <c r="X866" s="476"/>
      <c r="Y866" s="476"/>
      <c r="Z866" s="476"/>
      <c r="AA866" s="476"/>
      <c r="AB866" s="476"/>
      <c r="AC866" s="476"/>
      <c r="AD866" s="476"/>
      <c r="AE866" s="476"/>
      <c r="AF866" s="476"/>
      <c r="AG866" s="476"/>
      <c r="AH866" s="476"/>
      <c r="AI866" s="476"/>
      <c r="AJ866" s="476"/>
      <c r="AK866" s="476"/>
      <c r="AL866" s="476"/>
      <c r="AM866" s="476"/>
      <c r="AN866" s="476"/>
      <c r="AO866" s="476"/>
      <c r="AP866" s="476"/>
      <c r="AQ866" s="476"/>
      <c r="AR866" s="476"/>
      <c r="AS866" s="476"/>
      <c r="AT866" s="476"/>
      <c r="AU866" s="476"/>
    </row>
    <row r="867" spans="1:47" s="398" customFormat="1" ht="13.15" customHeight="1" x14ac:dyDescent="0.2">
      <c r="A867" s="476"/>
      <c r="D867" s="467"/>
      <c r="F867" s="468"/>
      <c r="G867" s="468"/>
      <c r="H867" s="468"/>
      <c r="I867" s="468"/>
      <c r="J867" s="469"/>
      <c r="L867" s="476"/>
      <c r="M867" s="476"/>
      <c r="N867" s="476"/>
      <c r="O867" s="476"/>
      <c r="P867" s="476"/>
      <c r="Q867" s="476"/>
      <c r="R867" s="476"/>
      <c r="S867" s="476"/>
      <c r="T867" s="476"/>
      <c r="U867" s="476"/>
      <c r="V867" s="476"/>
      <c r="W867" s="476"/>
      <c r="X867" s="476"/>
      <c r="Y867" s="476"/>
      <c r="Z867" s="476"/>
      <c r="AA867" s="476"/>
      <c r="AB867" s="476"/>
      <c r="AC867" s="476"/>
      <c r="AD867" s="476"/>
      <c r="AE867" s="476"/>
      <c r="AF867" s="476"/>
      <c r="AG867" s="476"/>
      <c r="AH867" s="476"/>
      <c r="AI867" s="476"/>
      <c r="AJ867" s="476"/>
      <c r="AK867" s="476"/>
      <c r="AL867" s="476"/>
      <c r="AM867" s="476"/>
      <c r="AN867" s="476"/>
      <c r="AO867" s="476"/>
      <c r="AP867" s="476"/>
      <c r="AQ867" s="476"/>
      <c r="AR867" s="476"/>
      <c r="AS867" s="476"/>
      <c r="AT867" s="476"/>
      <c r="AU867" s="476"/>
    </row>
    <row r="868" spans="1:47" s="398" customFormat="1" ht="13.15" customHeight="1" x14ac:dyDescent="0.2">
      <c r="A868" s="476"/>
      <c r="D868" s="467"/>
      <c r="F868" s="468"/>
      <c r="G868" s="468"/>
      <c r="H868" s="468"/>
      <c r="I868" s="468"/>
      <c r="J868" s="469"/>
      <c r="L868" s="476"/>
      <c r="M868" s="476"/>
      <c r="N868" s="476"/>
      <c r="O868" s="476"/>
      <c r="P868" s="476"/>
      <c r="Q868" s="476"/>
      <c r="R868" s="476"/>
      <c r="S868" s="476"/>
      <c r="T868" s="476"/>
      <c r="U868" s="476"/>
      <c r="V868" s="476"/>
      <c r="W868" s="476"/>
      <c r="X868" s="476"/>
      <c r="Y868" s="476"/>
      <c r="Z868" s="476"/>
      <c r="AA868" s="476"/>
      <c r="AB868" s="476"/>
      <c r="AC868" s="476"/>
      <c r="AD868" s="476"/>
      <c r="AE868" s="476"/>
      <c r="AF868" s="476"/>
      <c r="AG868" s="476"/>
      <c r="AH868" s="476"/>
      <c r="AI868" s="476"/>
      <c r="AJ868" s="476"/>
      <c r="AK868" s="476"/>
      <c r="AL868" s="476"/>
      <c r="AM868" s="476"/>
      <c r="AN868" s="476"/>
      <c r="AO868" s="476"/>
      <c r="AP868" s="476"/>
      <c r="AQ868" s="476"/>
      <c r="AR868" s="476"/>
      <c r="AS868" s="476"/>
      <c r="AT868" s="476"/>
      <c r="AU868" s="476"/>
    </row>
    <row r="869" spans="1:47" s="398" customFormat="1" ht="13.15" customHeight="1" x14ac:dyDescent="0.2">
      <c r="A869" s="476"/>
      <c r="D869" s="467"/>
      <c r="F869" s="468"/>
      <c r="G869" s="468"/>
      <c r="H869" s="468"/>
      <c r="I869" s="468"/>
      <c r="J869" s="469"/>
      <c r="L869" s="476"/>
      <c r="M869" s="476"/>
      <c r="N869" s="476"/>
      <c r="O869" s="476"/>
      <c r="P869" s="476"/>
      <c r="Q869" s="476"/>
      <c r="R869" s="476"/>
      <c r="S869" s="476"/>
      <c r="T869" s="476"/>
      <c r="U869" s="476"/>
      <c r="V869" s="476"/>
      <c r="W869" s="476"/>
      <c r="X869" s="476"/>
      <c r="Y869" s="476"/>
      <c r="Z869" s="476"/>
      <c r="AA869" s="476"/>
      <c r="AB869" s="476"/>
      <c r="AC869" s="476"/>
      <c r="AD869" s="476"/>
      <c r="AE869" s="476"/>
      <c r="AF869" s="476"/>
      <c r="AG869" s="476"/>
      <c r="AH869" s="476"/>
      <c r="AI869" s="476"/>
      <c r="AJ869" s="476"/>
      <c r="AK869" s="476"/>
      <c r="AL869" s="476"/>
      <c r="AM869" s="476"/>
      <c r="AN869" s="476"/>
      <c r="AO869" s="476"/>
      <c r="AP869" s="476"/>
      <c r="AQ869" s="476"/>
      <c r="AR869" s="476"/>
      <c r="AS869" s="476"/>
      <c r="AT869" s="476"/>
      <c r="AU869" s="476"/>
    </row>
    <row r="870" spans="1:47" s="398" customFormat="1" ht="13.15" customHeight="1" x14ac:dyDescent="0.2">
      <c r="A870" s="476"/>
      <c r="D870" s="467"/>
      <c r="F870" s="468"/>
      <c r="G870" s="468"/>
      <c r="H870" s="468"/>
      <c r="I870" s="468"/>
      <c r="J870" s="469"/>
      <c r="L870" s="476"/>
      <c r="M870" s="476"/>
      <c r="N870" s="476"/>
      <c r="O870" s="476"/>
      <c r="P870" s="476"/>
      <c r="Q870" s="476"/>
      <c r="R870" s="476"/>
      <c r="S870" s="476"/>
      <c r="T870" s="476"/>
      <c r="U870" s="476"/>
      <c r="V870" s="476"/>
      <c r="W870" s="476"/>
      <c r="X870" s="476"/>
      <c r="Y870" s="476"/>
      <c r="Z870" s="476"/>
      <c r="AA870" s="476"/>
      <c r="AB870" s="476"/>
      <c r="AC870" s="476"/>
      <c r="AD870" s="476"/>
      <c r="AE870" s="476"/>
      <c r="AF870" s="476"/>
      <c r="AG870" s="476"/>
      <c r="AH870" s="476"/>
      <c r="AI870" s="476"/>
      <c r="AJ870" s="476"/>
      <c r="AK870" s="476"/>
      <c r="AL870" s="476"/>
      <c r="AM870" s="476"/>
      <c r="AN870" s="476"/>
      <c r="AO870" s="476"/>
      <c r="AP870" s="476"/>
      <c r="AQ870" s="476"/>
      <c r="AR870" s="476"/>
      <c r="AS870" s="476"/>
      <c r="AT870" s="476"/>
      <c r="AU870" s="476"/>
    </row>
    <row r="871" spans="1:47" s="398" customFormat="1" ht="13.15" customHeight="1" x14ac:dyDescent="0.2">
      <c r="A871" s="476"/>
      <c r="D871" s="467"/>
      <c r="F871" s="468"/>
      <c r="G871" s="468"/>
      <c r="H871" s="468"/>
      <c r="I871" s="468"/>
      <c r="J871" s="469"/>
      <c r="L871" s="476"/>
      <c r="M871" s="476"/>
      <c r="N871" s="476"/>
      <c r="O871" s="476"/>
      <c r="P871" s="476"/>
      <c r="Q871" s="476"/>
      <c r="R871" s="476"/>
      <c r="S871" s="476"/>
      <c r="T871" s="476"/>
      <c r="U871" s="476"/>
      <c r="V871" s="476"/>
      <c r="W871" s="476"/>
      <c r="X871" s="476"/>
      <c r="Y871" s="476"/>
      <c r="Z871" s="476"/>
      <c r="AA871" s="476"/>
      <c r="AB871" s="476"/>
      <c r="AC871" s="476"/>
      <c r="AD871" s="476"/>
      <c r="AE871" s="476"/>
      <c r="AF871" s="476"/>
      <c r="AG871" s="476"/>
      <c r="AH871" s="476"/>
      <c r="AI871" s="476"/>
      <c r="AJ871" s="476"/>
      <c r="AK871" s="476"/>
      <c r="AL871" s="476"/>
      <c r="AM871" s="476"/>
      <c r="AN871" s="476"/>
      <c r="AO871" s="476"/>
      <c r="AP871" s="476"/>
      <c r="AQ871" s="476"/>
      <c r="AR871" s="476"/>
      <c r="AS871" s="476"/>
      <c r="AT871" s="476"/>
      <c r="AU871" s="476"/>
    </row>
    <row r="872" spans="1:47" s="398" customFormat="1" ht="13.15" customHeight="1" x14ac:dyDescent="0.2">
      <c r="A872" s="476"/>
      <c r="D872" s="467"/>
      <c r="F872" s="468"/>
      <c r="G872" s="468"/>
      <c r="H872" s="468"/>
      <c r="I872" s="468"/>
      <c r="J872" s="469"/>
      <c r="L872" s="476"/>
      <c r="M872" s="476"/>
      <c r="N872" s="476"/>
      <c r="O872" s="476"/>
      <c r="P872" s="476"/>
      <c r="Q872" s="476"/>
      <c r="R872" s="476"/>
      <c r="S872" s="476"/>
      <c r="T872" s="476"/>
      <c r="U872" s="476"/>
      <c r="V872" s="476"/>
      <c r="W872" s="476"/>
      <c r="X872" s="476"/>
      <c r="Y872" s="476"/>
      <c r="Z872" s="476"/>
      <c r="AA872" s="476"/>
      <c r="AB872" s="476"/>
      <c r="AC872" s="476"/>
      <c r="AD872" s="476"/>
      <c r="AE872" s="476"/>
      <c r="AF872" s="476"/>
      <c r="AG872" s="476"/>
      <c r="AH872" s="476"/>
      <c r="AI872" s="476"/>
      <c r="AJ872" s="476"/>
      <c r="AK872" s="476"/>
      <c r="AL872" s="476"/>
      <c r="AM872" s="476"/>
      <c r="AN872" s="476"/>
      <c r="AO872" s="476"/>
      <c r="AP872" s="476"/>
      <c r="AQ872" s="476"/>
      <c r="AR872" s="476"/>
      <c r="AS872" s="476"/>
      <c r="AT872" s="476"/>
      <c r="AU872" s="476"/>
    </row>
    <row r="873" spans="1:47" s="398" customFormat="1" ht="13.15" customHeight="1" x14ac:dyDescent="0.2">
      <c r="A873" s="476"/>
      <c r="D873" s="467"/>
      <c r="F873" s="468"/>
      <c r="G873" s="468"/>
      <c r="H873" s="468"/>
      <c r="I873" s="468"/>
      <c r="J873" s="469"/>
      <c r="L873" s="476"/>
      <c r="M873" s="476"/>
      <c r="N873" s="476"/>
      <c r="O873" s="476"/>
      <c r="P873" s="476"/>
      <c r="Q873" s="476"/>
      <c r="R873" s="476"/>
      <c r="S873" s="476"/>
      <c r="T873" s="476"/>
      <c r="U873" s="476"/>
      <c r="V873" s="476"/>
      <c r="W873" s="476"/>
      <c r="X873" s="476"/>
      <c r="Y873" s="476"/>
      <c r="Z873" s="476"/>
      <c r="AA873" s="476"/>
      <c r="AB873" s="476"/>
      <c r="AC873" s="476"/>
      <c r="AD873" s="476"/>
      <c r="AE873" s="476"/>
      <c r="AF873" s="476"/>
      <c r="AG873" s="476"/>
      <c r="AH873" s="476"/>
      <c r="AI873" s="476"/>
      <c r="AJ873" s="476"/>
      <c r="AK873" s="476"/>
      <c r="AL873" s="476"/>
      <c r="AM873" s="476"/>
      <c r="AN873" s="476"/>
      <c r="AO873" s="476"/>
      <c r="AP873" s="476"/>
      <c r="AQ873" s="476"/>
      <c r="AR873" s="476"/>
      <c r="AS873" s="476"/>
      <c r="AT873" s="476"/>
      <c r="AU873" s="476"/>
    </row>
    <row r="874" spans="1:47" s="398" customFormat="1" ht="13.15" customHeight="1" x14ac:dyDescent="0.2">
      <c r="A874" s="476"/>
      <c r="D874" s="467"/>
      <c r="F874" s="468"/>
      <c r="G874" s="468"/>
      <c r="H874" s="468"/>
      <c r="I874" s="468"/>
      <c r="J874" s="469"/>
      <c r="L874" s="476"/>
      <c r="M874" s="476"/>
      <c r="N874" s="476"/>
      <c r="O874" s="476"/>
      <c r="P874" s="476"/>
      <c r="Q874" s="476"/>
      <c r="R874" s="476"/>
      <c r="S874" s="476"/>
      <c r="T874" s="476"/>
      <c r="U874" s="476"/>
      <c r="V874" s="476"/>
      <c r="W874" s="476"/>
      <c r="X874" s="476"/>
      <c r="Y874" s="476"/>
      <c r="Z874" s="476"/>
      <c r="AA874" s="476"/>
      <c r="AB874" s="476"/>
      <c r="AC874" s="476"/>
      <c r="AD874" s="476"/>
      <c r="AE874" s="476"/>
      <c r="AF874" s="476"/>
      <c r="AG874" s="476"/>
      <c r="AH874" s="476"/>
      <c r="AI874" s="476"/>
      <c r="AJ874" s="476"/>
      <c r="AK874" s="476"/>
      <c r="AL874" s="476"/>
      <c r="AM874" s="476"/>
      <c r="AN874" s="476"/>
      <c r="AO874" s="476"/>
      <c r="AP874" s="476"/>
      <c r="AQ874" s="476"/>
      <c r="AR874" s="476"/>
      <c r="AS874" s="476"/>
      <c r="AT874" s="476"/>
      <c r="AU874" s="476"/>
    </row>
    <row r="875" spans="1:47" s="398" customFormat="1" ht="13.15" customHeight="1" x14ac:dyDescent="0.2">
      <c r="A875" s="476"/>
      <c r="D875" s="467"/>
      <c r="F875" s="468"/>
      <c r="G875" s="468"/>
      <c r="H875" s="468"/>
      <c r="I875" s="468"/>
      <c r="J875" s="469"/>
      <c r="L875" s="476"/>
      <c r="M875" s="476"/>
      <c r="N875" s="476"/>
      <c r="O875" s="476"/>
      <c r="P875" s="476"/>
      <c r="Q875" s="476"/>
      <c r="R875" s="476"/>
      <c r="S875" s="476"/>
      <c r="T875" s="476"/>
      <c r="U875" s="476"/>
      <c r="V875" s="476"/>
      <c r="W875" s="476"/>
      <c r="X875" s="476"/>
      <c r="Y875" s="476"/>
      <c r="Z875" s="476"/>
      <c r="AA875" s="476"/>
      <c r="AB875" s="476"/>
      <c r="AC875" s="476"/>
      <c r="AD875" s="476"/>
      <c r="AE875" s="476"/>
      <c r="AF875" s="476"/>
      <c r="AG875" s="476"/>
      <c r="AH875" s="476"/>
      <c r="AI875" s="476"/>
      <c r="AJ875" s="476"/>
      <c r="AK875" s="476"/>
      <c r="AL875" s="476"/>
      <c r="AM875" s="476"/>
      <c r="AN875" s="476"/>
      <c r="AO875" s="476"/>
      <c r="AP875" s="476"/>
      <c r="AQ875" s="476"/>
      <c r="AR875" s="476"/>
      <c r="AS875" s="476"/>
      <c r="AT875" s="476"/>
      <c r="AU875" s="476"/>
    </row>
    <row r="876" spans="1:47" s="398" customFormat="1" ht="13.15" customHeight="1" x14ac:dyDescent="0.2">
      <c r="A876" s="476"/>
      <c r="D876" s="467"/>
      <c r="F876" s="468"/>
      <c r="G876" s="468"/>
      <c r="H876" s="468"/>
      <c r="I876" s="468"/>
      <c r="J876" s="469"/>
      <c r="L876" s="476"/>
      <c r="M876" s="476"/>
      <c r="N876" s="476"/>
      <c r="O876" s="476"/>
      <c r="P876" s="476"/>
      <c r="Q876" s="476"/>
      <c r="R876" s="476"/>
      <c r="S876" s="476"/>
      <c r="T876" s="476"/>
      <c r="U876" s="476"/>
      <c r="V876" s="476"/>
      <c r="W876" s="476"/>
      <c r="X876" s="476"/>
      <c r="Y876" s="476"/>
      <c r="Z876" s="476"/>
      <c r="AA876" s="476"/>
      <c r="AB876" s="476"/>
      <c r="AC876" s="476"/>
      <c r="AD876" s="476"/>
      <c r="AE876" s="476"/>
      <c r="AF876" s="476"/>
      <c r="AG876" s="476"/>
      <c r="AH876" s="476"/>
      <c r="AI876" s="476"/>
      <c r="AJ876" s="476"/>
      <c r="AK876" s="476"/>
      <c r="AL876" s="476"/>
      <c r="AM876" s="476"/>
      <c r="AN876" s="476"/>
      <c r="AO876" s="476"/>
      <c r="AP876" s="476"/>
      <c r="AQ876" s="476"/>
      <c r="AR876" s="476"/>
      <c r="AS876" s="476"/>
      <c r="AT876" s="476"/>
      <c r="AU876" s="476"/>
    </row>
    <row r="877" spans="1:47" s="398" customFormat="1" ht="13.15" customHeight="1" x14ac:dyDescent="0.2">
      <c r="A877" s="476"/>
      <c r="D877" s="467"/>
      <c r="F877" s="468"/>
      <c r="G877" s="468"/>
      <c r="H877" s="468"/>
      <c r="I877" s="468"/>
      <c r="J877" s="469"/>
      <c r="L877" s="476"/>
      <c r="M877" s="476"/>
      <c r="N877" s="476"/>
      <c r="O877" s="476"/>
      <c r="P877" s="476"/>
      <c r="Q877" s="476"/>
      <c r="R877" s="476"/>
      <c r="S877" s="476"/>
      <c r="T877" s="476"/>
      <c r="U877" s="476"/>
      <c r="V877" s="476"/>
      <c r="W877" s="476"/>
      <c r="X877" s="476"/>
      <c r="Y877" s="476"/>
      <c r="Z877" s="476"/>
      <c r="AA877" s="476"/>
      <c r="AB877" s="476"/>
      <c r="AC877" s="476"/>
      <c r="AD877" s="476"/>
      <c r="AE877" s="476"/>
      <c r="AF877" s="476"/>
      <c r="AG877" s="476"/>
      <c r="AH877" s="476"/>
      <c r="AI877" s="476"/>
      <c r="AJ877" s="476"/>
      <c r="AK877" s="476"/>
      <c r="AL877" s="476"/>
      <c r="AM877" s="476"/>
      <c r="AN877" s="476"/>
      <c r="AO877" s="476"/>
      <c r="AP877" s="476"/>
      <c r="AQ877" s="476"/>
      <c r="AR877" s="476"/>
      <c r="AS877" s="476"/>
      <c r="AT877" s="476"/>
      <c r="AU877" s="476"/>
    </row>
    <row r="878" spans="1:47" s="398" customFormat="1" ht="13.15" customHeight="1" x14ac:dyDescent="0.2">
      <c r="A878" s="476"/>
      <c r="D878" s="467"/>
      <c r="F878" s="468"/>
      <c r="G878" s="468"/>
      <c r="H878" s="468"/>
      <c r="I878" s="468"/>
      <c r="J878" s="469"/>
      <c r="L878" s="476"/>
      <c r="M878" s="476"/>
      <c r="N878" s="476"/>
      <c r="O878" s="476"/>
      <c r="P878" s="476"/>
      <c r="Q878" s="476"/>
      <c r="R878" s="476"/>
      <c r="S878" s="476"/>
      <c r="T878" s="476"/>
      <c r="U878" s="476"/>
      <c r="V878" s="476"/>
      <c r="W878" s="476"/>
      <c r="X878" s="476"/>
      <c r="Y878" s="476"/>
      <c r="Z878" s="476"/>
      <c r="AA878" s="476"/>
      <c r="AB878" s="476"/>
      <c r="AC878" s="476"/>
      <c r="AD878" s="476"/>
      <c r="AE878" s="476"/>
      <c r="AF878" s="476"/>
      <c r="AG878" s="476"/>
      <c r="AH878" s="476"/>
      <c r="AI878" s="476"/>
      <c r="AJ878" s="476"/>
      <c r="AK878" s="476"/>
      <c r="AL878" s="476"/>
      <c r="AM878" s="476"/>
      <c r="AN878" s="476"/>
      <c r="AO878" s="476"/>
      <c r="AP878" s="476"/>
      <c r="AQ878" s="476"/>
      <c r="AR878" s="476"/>
      <c r="AS878" s="476"/>
      <c r="AT878" s="476"/>
      <c r="AU878" s="476"/>
    </row>
    <row r="879" spans="1:47" s="398" customFormat="1" ht="13.15" customHeight="1" x14ac:dyDescent="0.2">
      <c r="A879" s="476"/>
      <c r="D879" s="467"/>
      <c r="F879" s="468"/>
      <c r="G879" s="468"/>
      <c r="H879" s="468"/>
      <c r="I879" s="468"/>
      <c r="J879" s="469"/>
      <c r="L879" s="476"/>
      <c r="M879" s="476"/>
      <c r="N879" s="476"/>
      <c r="O879" s="476"/>
      <c r="P879" s="476"/>
      <c r="Q879" s="476"/>
      <c r="R879" s="476"/>
      <c r="S879" s="476"/>
      <c r="T879" s="476"/>
      <c r="U879" s="476"/>
      <c r="V879" s="476"/>
      <c r="W879" s="476"/>
      <c r="X879" s="476"/>
      <c r="Y879" s="476"/>
      <c r="Z879" s="476"/>
      <c r="AA879" s="476"/>
      <c r="AB879" s="476"/>
      <c r="AC879" s="476"/>
      <c r="AD879" s="476"/>
      <c r="AE879" s="476"/>
      <c r="AF879" s="476"/>
      <c r="AG879" s="476"/>
      <c r="AH879" s="476"/>
      <c r="AI879" s="476"/>
      <c r="AJ879" s="476"/>
      <c r="AK879" s="476"/>
      <c r="AL879" s="476"/>
      <c r="AM879" s="476"/>
      <c r="AN879" s="476"/>
      <c r="AO879" s="476"/>
      <c r="AP879" s="476"/>
      <c r="AQ879" s="476"/>
      <c r="AR879" s="476"/>
      <c r="AS879" s="476"/>
      <c r="AT879" s="476"/>
      <c r="AU879" s="476"/>
    </row>
    <row r="880" spans="1:47" s="398" customFormat="1" ht="13.15" customHeight="1" x14ac:dyDescent="0.2">
      <c r="A880" s="476"/>
      <c r="D880" s="467"/>
      <c r="F880" s="468"/>
      <c r="G880" s="468"/>
      <c r="H880" s="468"/>
      <c r="I880" s="468"/>
      <c r="J880" s="469"/>
      <c r="L880" s="476"/>
      <c r="M880" s="476"/>
      <c r="N880" s="476"/>
      <c r="O880" s="476"/>
      <c r="P880" s="476"/>
      <c r="Q880" s="476"/>
      <c r="R880" s="476"/>
      <c r="S880" s="476"/>
      <c r="T880" s="476"/>
      <c r="U880" s="476"/>
      <c r="V880" s="476"/>
      <c r="W880" s="476"/>
      <c r="X880" s="476"/>
      <c r="Y880" s="476"/>
      <c r="Z880" s="476"/>
      <c r="AA880" s="476"/>
      <c r="AB880" s="476"/>
      <c r="AC880" s="476"/>
      <c r="AD880" s="476"/>
      <c r="AE880" s="476"/>
      <c r="AF880" s="476"/>
      <c r="AG880" s="476"/>
      <c r="AH880" s="476"/>
      <c r="AI880" s="476"/>
      <c r="AJ880" s="476"/>
      <c r="AK880" s="476"/>
      <c r="AL880" s="476"/>
      <c r="AM880" s="476"/>
      <c r="AN880" s="476"/>
      <c r="AO880" s="476"/>
      <c r="AP880" s="476"/>
      <c r="AQ880" s="476"/>
      <c r="AR880" s="476"/>
      <c r="AS880" s="476"/>
      <c r="AT880" s="476"/>
      <c r="AU880" s="476"/>
    </row>
    <row r="881" spans="1:47" s="398" customFormat="1" ht="13.15" customHeight="1" x14ac:dyDescent="0.2">
      <c r="A881" s="476"/>
      <c r="D881" s="467"/>
      <c r="F881" s="468"/>
      <c r="G881" s="468"/>
      <c r="H881" s="468"/>
      <c r="I881" s="468"/>
      <c r="J881" s="469"/>
      <c r="L881" s="476"/>
      <c r="M881" s="476"/>
      <c r="N881" s="476"/>
      <c r="O881" s="476"/>
      <c r="P881" s="476"/>
      <c r="Q881" s="476"/>
      <c r="R881" s="476"/>
      <c r="S881" s="476"/>
      <c r="T881" s="476"/>
      <c r="U881" s="476"/>
      <c r="V881" s="476"/>
      <c r="W881" s="476"/>
      <c r="X881" s="476"/>
      <c r="Y881" s="476"/>
      <c r="Z881" s="476"/>
      <c r="AA881" s="476"/>
      <c r="AB881" s="476"/>
      <c r="AC881" s="476"/>
      <c r="AD881" s="476"/>
      <c r="AE881" s="476"/>
      <c r="AF881" s="476"/>
      <c r="AG881" s="476"/>
      <c r="AH881" s="476"/>
      <c r="AI881" s="476"/>
      <c r="AJ881" s="476"/>
      <c r="AK881" s="476"/>
      <c r="AL881" s="476"/>
      <c r="AM881" s="476"/>
      <c r="AN881" s="476"/>
      <c r="AO881" s="476"/>
      <c r="AP881" s="476"/>
      <c r="AQ881" s="476"/>
      <c r="AR881" s="476"/>
      <c r="AS881" s="476"/>
      <c r="AT881" s="476"/>
      <c r="AU881" s="476"/>
    </row>
    <row r="882" spans="1:47" s="398" customFormat="1" ht="13.15" customHeight="1" x14ac:dyDescent="0.2">
      <c r="A882" s="476"/>
      <c r="D882" s="467"/>
      <c r="F882" s="468"/>
      <c r="G882" s="468"/>
      <c r="H882" s="468"/>
      <c r="I882" s="468"/>
      <c r="J882" s="469"/>
      <c r="L882" s="476"/>
      <c r="M882" s="476"/>
      <c r="N882" s="476"/>
      <c r="O882" s="476"/>
      <c r="P882" s="476"/>
      <c r="Q882" s="476"/>
      <c r="R882" s="476"/>
      <c r="S882" s="476"/>
      <c r="T882" s="476"/>
      <c r="U882" s="476"/>
      <c r="V882" s="476"/>
      <c r="W882" s="476"/>
      <c r="X882" s="476"/>
      <c r="Y882" s="476"/>
      <c r="Z882" s="476"/>
      <c r="AA882" s="476"/>
      <c r="AB882" s="476"/>
      <c r="AC882" s="476"/>
      <c r="AD882" s="476"/>
      <c r="AE882" s="476"/>
      <c r="AF882" s="476"/>
      <c r="AG882" s="476"/>
      <c r="AH882" s="476"/>
      <c r="AI882" s="476"/>
      <c r="AJ882" s="476"/>
      <c r="AK882" s="476"/>
      <c r="AL882" s="476"/>
      <c r="AM882" s="476"/>
      <c r="AN882" s="476"/>
      <c r="AO882" s="476"/>
      <c r="AP882" s="476"/>
      <c r="AQ882" s="476"/>
      <c r="AR882" s="476"/>
      <c r="AS882" s="476"/>
      <c r="AT882" s="476"/>
      <c r="AU882" s="476"/>
    </row>
    <row r="883" spans="1:47" s="398" customFormat="1" ht="13.15" customHeight="1" x14ac:dyDescent="0.2">
      <c r="A883" s="476"/>
      <c r="D883" s="467"/>
      <c r="F883" s="468"/>
      <c r="G883" s="468"/>
      <c r="H883" s="468"/>
      <c r="I883" s="468"/>
      <c r="J883" s="469"/>
      <c r="L883" s="476"/>
      <c r="M883" s="476"/>
      <c r="N883" s="476"/>
      <c r="O883" s="476"/>
      <c r="P883" s="476"/>
      <c r="Q883" s="476"/>
      <c r="R883" s="476"/>
      <c r="S883" s="476"/>
      <c r="T883" s="476"/>
      <c r="U883" s="476"/>
      <c r="V883" s="476"/>
      <c r="W883" s="476"/>
      <c r="X883" s="476"/>
      <c r="Y883" s="476"/>
      <c r="Z883" s="476"/>
      <c r="AA883" s="476"/>
      <c r="AB883" s="476"/>
      <c r="AC883" s="476"/>
      <c r="AD883" s="476"/>
      <c r="AE883" s="476"/>
      <c r="AF883" s="476"/>
      <c r="AG883" s="476"/>
      <c r="AH883" s="476"/>
      <c r="AI883" s="476"/>
      <c r="AJ883" s="476"/>
      <c r="AK883" s="476"/>
      <c r="AL883" s="476"/>
      <c r="AM883" s="476"/>
      <c r="AN883" s="476"/>
      <c r="AO883" s="476"/>
      <c r="AP883" s="476"/>
      <c r="AQ883" s="476"/>
      <c r="AR883" s="476"/>
      <c r="AS883" s="476"/>
      <c r="AT883" s="476"/>
      <c r="AU883" s="476"/>
    </row>
    <row r="884" spans="1:47" s="398" customFormat="1" ht="13.15" customHeight="1" x14ac:dyDescent="0.2">
      <c r="A884" s="476"/>
      <c r="D884" s="467"/>
      <c r="F884" s="468"/>
      <c r="G884" s="468"/>
      <c r="H884" s="468"/>
      <c r="I884" s="468"/>
      <c r="J884" s="469"/>
      <c r="L884" s="476"/>
      <c r="M884" s="476"/>
      <c r="N884" s="476"/>
      <c r="O884" s="476"/>
      <c r="P884" s="476"/>
      <c r="Q884" s="476"/>
      <c r="R884" s="476"/>
      <c r="S884" s="476"/>
      <c r="T884" s="476"/>
      <c r="U884" s="476"/>
      <c r="V884" s="476"/>
      <c r="W884" s="476"/>
      <c r="X884" s="476"/>
      <c r="Y884" s="476"/>
      <c r="Z884" s="476"/>
      <c r="AA884" s="476"/>
      <c r="AB884" s="476"/>
      <c r="AC884" s="476"/>
      <c r="AD884" s="476"/>
      <c r="AE884" s="476"/>
      <c r="AF884" s="476"/>
      <c r="AG884" s="476"/>
      <c r="AH884" s="476"/>
      <c r="AI884" s="476"/>
      <c r="AJ884" s="476"/>
      <c r="AK884" s="476"/>
      <c r="AL884" s="476"/>
      <c r="AM884" s="476"/>
      <c r="AN884" s="476"/>
      <c r="AO884" s="476"/>
      <c r="AP884" s="476"/>
      <c r="AQ884" s="476"/>
      <c r="AR884" s="476"/>
      <c r="AS884" s="476"/>
      <c r="AT884" s="476"/>
      <c r="AU884" s="476"/>
    </row>
    <row r="885" spans="1:47" s="398" customFormat="1" ht="13.15" customHeight="1" x14ac:dyDescent="0.2">
      <c r="A885" s="476"/>
      <c r="D885" s="467"/>
      <c r="F885" s="468"/>
      <c r="G885" s="468"/>
      <c r="H885" s="468"/>
      <c r="I885" s="468"/>
      <c r="J885" s="469"/>
      <c r="L885" s="476"/>
      <c r="M885" s="476"/>
      <c r="N885" s="476"/>
      <c r="O885" s="476"/>
      <c r="P885" s="476"/>
      <c r="Q885" s="476"/>
      <c r="R885" s="476"/>
      <c r="S885" s="476"/>
      <c r="T885" s="476"/>
      <c r="U885" s="476"/>
      <c r="V885" s="476"/>
      <c r="W885" s="476"/>
      <c r="X885" s="476"/>
      <c r="Y885" s="476"/>
      <c r="Z885" s="476"/>
      <c r="AA885" s="476"/>
      <c r="AB885" s="476"/>
      <c r="AC885" s="476"/>
      <c r="AD885" s="476"/>
      <c r="AE885" s="476"/>
      <c r="AF885" s="476"/>
      <c r="AG885" s="476"/>
      <c r="AH885" s="476"/>
      <c r="AI885" s="476"/>
      <c r="AJ885" s="476"/>
      <c r="AK885" s="476"/>
      <c r="AL885" s="476"/>
      <c r="AM885" s="476"/>
      <c r="AN885" s="476"/>
      <c r="AO885" s="476"/>
      <c r="AP885" s="476"/>
      <c r="AQ885" s="476"/>
      <c r="AR885" s="476"/>
      <c r="AS885" s="476"/>
      <c r="AT885" s="476"/>
      <c r="AU885" s="476"/>
    </row>
    <row r="886" spans="1:47" s="398" customFormat="1" ht="13.15" customHeight="1" x14ac:dyDescent="0.2">
      <c r="A886" s="476"/>
      <c r="D886" s="467"/>
      <c r="F886" s="468"/>
      <c r="G886" s="468"/>
      <c r="H886" s="468"/>
      <c r="I886" s="468"/>
      <c r="J886" s="469"/>
      <c r="L886" s="476"/>
      <c r="M886" s="476"/>
      <c r="N886" s="476"/>
      <c r="O886" s="476"/>
      <c r="P886" s="476"/>
      <c r="Q886" s="476"/>
      <c r="R886" s="476"/>
      <c r="S886" s="476"/>
      <c r="T886" s="476"/>
      <c r="U886" s="476"/>
      <c r="V886" s="476"/>
      <c r="W886" s="476"/>
      <c r="X886" s="476"/>
      <c r="Y886" s="476"/>
      <c r="Z886" s="476"/>
      <c r="AA886" s="476"/>
      <c r="AB886" s="476"/>
      <c r="AC886" s="476"/>
      <c r="AD886" s="476"/>
      <c r="AE886" s="476"/>
      <c r="AF886" s="476"/>
      <c r="AG886" s="476"/>
      <c r="AH886" s="476"/>
      <c r="AI886" s="476"/>
      <c r="AJ886" s="476"/>
      <c r="AK886" s="476"/>
      <c r="AL886" s="476"/>
      <c r="AM886" s="476"/>
      <c r="AN886" s="476"/>
      <c r="AO886" s="476"/>
      <c r="AP886" s="476"/>
      <c r="AQ886" s="476"/>
      <c r="AR886" s="476"/>
      <c r="AS886" s="476"/>
      <c r="AT886" s="476"/>
      <c r="AU886" s="476"/>
    </row>
    <row r="887" spans="1:47" s="398" customFormat="1" ht="13.15" customHeight="1" x14ac:dyDescent="0.2">
      <c r="A887" s="476"/>
      <c r="D887" s="467"/>
      <c r="F887" s="468"/>
      <c r="G887" s="468"/>
      <c r="H887" s="468"/>
      <c r="I887" s="468"/>
      <c r="J887" s="469"/>
      <c r="L887" s="476"/>
      <c r="M887" s="476"/>
      <c r="N887" s="476"/>
      <c r="O887" s="476"/>
      <c r="P887" s="476"/>
      <c r="Q887" s="476"/>
      <c r="R887" s="476"/>
      <c r="S887" s="476"/>
      <c r="T887" s="476"/>
      <c r="U887" s="476"/>
      <c r="V887" s="476"/>
      <c r="W887" s="476"/>
      <c r="X887" s="476"/>
      <c r="Y887" s="476"/>
      <c r="Z887" s="476"/>
      <c r="AA887" s="476"/>
      <c r="AB887" s="476"/>
      <c r="AC887" s="476"/>
      <c r="AD887" s="476"/>
      <c r="AE887" s="476"/>
      <c r="AF887" s="476"/>
      <c r="AG887" s="476"/>
      <c r="AH887" s="476"/>
      <c r="AI887" s="476"/>
      <c r="AJ887" s="476"/>
      <c r="AK887" s="476"/>
      <c r="AL887" s="476"/>
      <c r="AM887" s="476"/>
      <c r="AN887" s="476"/>
      <c r="AO887" s="476"/>
      <c r="AP887" s="476"/>
      <c r="AQ887" s="476"/>
      <c r="AR887" s="476"/>
      <c r="AS887" s="476"/>
      <c r="AT887" s="476"/>
      <c r="AU887" s="476"/>
    </row>
    <row r="888" spans="1:47" s="398" customFormat="1" ht="13.15" customHeight="1" x14ac:dyDescent="0.2">
      <c r="A888" s="476"/>
      <c r="D888" s="467"/>
      <c r="F888" s="468"/>
      <c r="G888" s="468"/>
      <c r="H888" s="468"/>
      <c r="I888" s="468"/>
      <c r="J888" s="469"/>
      <c r="L888" s="476"/>
      <c r="M888" s="476"/>
      <c r="N888" s="476"/>
      <c r="O888" s="476"/>
      <c r="P888" s="476"/>
      <c r="Q888" s="476"/>
      <c r="R888" s="476"/>
      <c r="S888" s="476"/>
      <c r="T888" s="476"/>
      <c r="U888" s="476"/>
      <c r="V888" s="476"/>
      <c r="W888" s="476"/>
      <c r="X888" s="476"/>
      <c r="Y888" s="476"/>
      <c r="Z888" s="476"/>
      <c r="AA888" s="476"/>
      <c r="AB888" s="476"/>
      <c r="AC888" s="476"/>
      <c r="AD888" s="476"/>
      <c r="AE888" s="476"/>
      <c r="AF888" s="476"/>
      <c r="AG888" s="476"/>
      <c r="AH888" s="476"/>
      <c r="AI888" s="476"/>
      <c r="AJ888" s="476"/>
      <c r="AK888" s="476"/>
      <c r="AL888" s="476"/>
      <c r="AM888" s="476"/>
      <c r="AN888" s="476"/>
      <c r="AO888" s="476"/>
      <c r="AP888" s="476"/>
      <c r="AQ888" s="476"/>
      <c r="AR888" s="476"/>
      <c r="AS888" s="476"/>
      <c r="AT888" s="476"/>
      <c r="AU888" s="476"/>
    </row>
    <row r="889" spans="1:47" s="398" customFormat="1" ht="13.15" customHeight="1" x14ac:dyDescent="0.2">
      <c r="A889" s="476"/>
      <c r="D889" s="467"/>
      <c r="F889" s="468"/>
      <c r="G889" s="468"/>
      <c r="H889" s="468"/>
      <c r="I889" s="468"/>
      <c r="J889" s="469"/>
      <c r="L889" s="476"/>
      <c r="M889" s="476"/>
      <c r="N889" s="476"/>
      <c r="O889" s="476"/>
      <c r="P889" s="476"/>
      <c r="Q889" s="476"/>
      <c r="R889" s="476"/>
      <c r="S889" s="476"/>
      <c r="T889" s="476"/>
      <c r="U889" s="476"/>
      <c r="V889" s="476"/>
      <c r="W889" s="476"/>
      <c r="X889" s="476"/>
      <c r="Y889" s="476"/>
      <c r="Z889" s="476"/>
      <c r="AA889" s="476"/>
      <c r="AB889" s="476"/>
      <c r="AC889" s="476"/>
      <c r="AD889" s="476"/>
      <c r="AE889" s="476"/>
      <c r="AF889" s="476"/>
      <c r="AG889" s="476"/>
      <c r="AH889" s="476"/>
      <c r="AI889" s="476"/>
      <c r="AJ889" s="476"/>
      <c r="AK889" s="476"/>
      <c r="AL889" s="476"/>
      <c r="AM889" s="476"/>
      <c r="AN889" s="476"/>
      <c r="AO889" s="476"/>
      <c r="AP889" s="476"/>
      <c r="AQ889" s="476"/>
      <c r="AR889" s="476"/>
      <c r="AS889" s="476"/>
      <c r="AT889" s="476"/>
      <c r="AU889" s="476"/>
    </row>
    <row r="890" spans="1:47" s="398" customFormat="1" ht="13.15" customHeight="1" x14ac:dyDescent="0.2">
      <c r="A890" s="476"/>
      <c r="D890" s="467"/>
      <c r="F890" s="468"/>
      <c r="G890" s="468"/>
      <c r="H890" s="468"/>
      <c r="I890" s="468"/>
      <c r="J890" s="469"/>
      <c r="L890" s="476"/>
      <c r="M890" s="476"/>
      <c r="N890" s="476"/>
      <c r="O890" s="476"/>
      <c r="P890" s="476"/>
      <c r="Q890" s="476"/>
      <c r="R890" s="476"/>
      <c r="S890" s="476"/>
      <c r="T890" s="476"/>
      <c r="U890" s="476"/>
      <c r="V890" s="476"/>
      <c r="W890" s="476"/>
      <c r="X890" s="476"/>
      <c r="Y890" s="476"/>
      <c r="Z890" s="476"/>
      <c r="AA890" s="476"/>
      <c r="AB890" s="476"/>
      <c r="AC890" s="476"/>
      <c r="AD890" s="476"/>
      <c r="AE890" s="476"/>
      <c r="AF890" s="476"/>
      <c r="AG890" s="476"/>
      <c r="AH890" s="476"/>
      <c r="AI890" s="476"/>
      <c r="AJ890" s="476"/>
      <c r="AK890" s="476"/>
      <c r="AL890" s="476"/>
      <c r="AM890" s="476"/>
      <c r="AN890" s="476"/>
      <c r="AO890" s="476"/>
      <c r="AP890" s="476"/>
      <c r="AQ890" s="476"/>
      <c r="AR890" s="476"/>
      <c r="AS890" s="476"/>
      <c r="AT890" s="476"/>
      <c r="AU890" s="476"/>
    </row>
    <row r="891" spans="1:47" s="398" customFormat="1" ht="13.15" customHeight="1" x14ac:dyDescent="0.2">
      <c r="A891" s="476"/>
      <c r="D891" s="467"/>
      <c r="F891" s="468"/>
      <c r="G891" s="468"/>
      <c r="H891" s="468"/>
      <c r="I891" s="468"/>
      <c r="J891" s="469"/>
      <c r="L891" s="476"/>
      <c r="M891" s="476"/>
      <c r="N891" s="476"/>
      <c r="O891" s="476"/>
      <c r="P891" s="476"/>
      <c r="Q891" s="476"/>
      <c r="R891" s="476"/>
      <c r="S891" s="476"/>
      <c r="T891" s="476"/>
      <c r="U891" s="476"/>
      <c r="V891" s="476"/>
      <c r="W891" s="476"/>
      <c r="X891" s="476"/>
      <c r="Y891" s="476"/>
      <c r="Z891" s="476"/>
      <c r="AA891" s="476"/>
      <c r="AB891" s="476"/>
      <c r="AC891" s="476"/>
      <c r="AD891" s="476"/>
      <c r="AE891" s="476"/>
      <c r="AF891" s="476"/>
      <c r="AG891" s="476"/>
      <c r="AH891" s="476"/>
      <c r="AI891" s="476"/>
      <c r="AJ891" s="476"/>
      <c r="AK891" s="476"/>
      <c r="AL891" s="476"/>
      <c r="AM891" s="476"/>
      <c r="AN891" s="476"/>
      <c r="AO891" s="476"/>
      <c r="AP891" s="476"/>
      <c r="AQ891" s="476"/>
      <c r="AR891" s="476"/>
      <c r="AS891" s="476"/>
      <c r="AT891" s="476"/>
      <c r="AU891" s="476"/>
    </row>
    <row r="892" spans="1:47" s="398" customFormat="1" ht="13.15" customHeight="1" x14ac:dyDescent="0.2">
      <c r="A892" s="476"/>
      <c r="D892" s="467"/>
      <c r="F892" s="468"/>
      <c r="G892" s="468"/>
      <c r="H892" s="468"/>
      <c r="I892" s="468"/>
      <c r="J892" s="469"/>
      <c r="L892" s="476"/>
      <c r="M892" s="476"/>
      <c r="N892" s="476"/>
      <c r="O892" s="476"/>
      <c r="P892" s="476"/>
      <c r="Q892" s="476"/>
      <c r="R892" s="476"/>
      <c r="S892" s="476"/>
      <c r="T892" s="476"/>
      <c r="U892" s="476"/>
      <c r="V892" s="476"/>
      <c r="W892" s="476"/>
      <c r="X892" s="476"/>
      <c r="Y892" s="476"/>
      <c r="Z892" s="476"/>
      <c r="AA892" s="476"/>
      <c r="AB892" s="476"/>
      <c r="AC892" s="476"/>
      <c r="AD892" s="476"/>
      <c r="AE892" s="476"/>
      <c r="AF892" s="476"/>
      <c r="AG892" s="476"/>
      <c r="AH892" s="476"/>
      <c r="AI892" s="476"/>
      <c r="AJ892" s="476"/>
      <c r="AK892" s="476"/>
      <c r="AL892" s="476"/>
      <c r="AM892" s="476"/>
      <c r="AN892" s="476"/>
      <c r="AO892" s="476"/>
      <c r="AP892" s="476"/>
      <c r="AQ892" s="476"/>
      <c r="AR892" s="476"/>
      <c r="AS892" s="476"/>
      <c r="AT892" s="476"/>
      <c r="AU892" s="476"/>
    </row>
    <row r="893" spans="1:47" s="398" customFormat="1" ht="13.15" customHeight="1" x14ac:dyDescent="0.2">
      <c r="A893" s="476"/>
      <c r="D893" s="467"/>
      <c r="F893" s="468"/>
      <c r="G893" s="468"/>
      <c r="H893" s="468"/>
      <c r="I893" s="468"/>
      <c r="J893" s="469"/>
      <c r="L893" s="476"/>
      <c r="M893" s="476"/>
      <c r="N893" s="476"/>
      <c r="O893" s="476"/>
      <c r="P893" s="476"/>
      <c r="Q893" s="476"/>
      <c r="R893" s="476"/>
      <c r="S893" s="476"/>
      <c r="T893" s="476"/>
      <c r="U893" s="476"/>
      <c r="V893" s="476"/>
      <c r="W893" s="476"/>
      <c r="X893" s="476"/>
      <c r="Y893" s="476"/>
      <c r="Z893" s="476"/>
      <c r="AA893" s="476"/>
      <c r="AB893" s="476"/>
      <c r="AC893" s="476"/>
      <c r="AD893" s="476"/>
      <c r="AE893" s="476"/>
      <c r="AF893" s="476"/>
      <c r="AG893" s="476"/>
      <c r="AH893" s="476"/>
      <c r="AI893" s="476"/>
      <c r="AJ893" s="476"/>
      <c r="AK893" s="476"/>
      <c r="AL893" s="476"/>
      <c r="AM893" s="476"/>
      <c r="AN893" s="476"/>
      <c r="AO893" s="476"/>
      <c r="AP893" s="476"/>
      <c r="AQ893" s="476"/>
      <c r="AR893" s="476"/>
      <c r="AS893" s="476"/>
      <c r="AT893" s="476"/>
      <c r="AU893" s="476"/>
    </row>
    <row r="894" spans="1:47" s="398" customFormat="1" ht="13.15" customHeight="1" x14ac:dyDescent="0.2">
      <c r="A894" s="476"/>
      <c r="D894" s="467"/>
      <c r="F894" s="468"/>
      <c r="G894" s="468"/>
      <c r="H894" s="468"/>
      <c r="I894" s="468"/>
      <c r="J894" s="469"/>
      <c r="L894" s="476"/>
      <c r="M894" s="476"/>
      <c r="N894" s="476"/>
      <c r="O894" s="476"/>
      <c r="P894" s="476"/>
      <c r="Q894" s="476"/>
      <c r="R894" s="476"/>
      <c r="S894" s="476"/>
      <c r="T894" s="476"/>
      <c r="U894" s="476"/>
      <c r="V894" s="476"/>
      <c r="W894" s="476"/>
      <c r="X894" s="476"/>
      <c r="Y894" s="476"/>
      <c r="Z894" s="476"/>
      <c r="AA894" s="476"/>
      <c r="AB894" s="476"/>
      <c r="AC894" s="476"/>
      <c r="AD894" s="476"/>
      <c r="AE894" s="476"/>
      <c r="AF894" s="476"/>
      <c r="AG894" s="476"/>
      <c r="AH894" s="476"/>
      <c r="AI894" s="476"/>
      <c r="AJ894" s="476"/>
      <c r="AK894" s="476"/>
      <c r="AL894" s="476"/>
      <c r="AM894" s="476"/>
      <c r="AN894" s="476"/>
      <c r="AO894" s="476"/>
      <c r="AP894" s="476"/>
      <c r="AQ894" s="476"/>
      <c r="AR894" s="476"/>
      <c r="AS894" s="476"/>
      <c r="AT894" s="476"/>
      <c r="AU894" s="476"/>
    </row>
    <row r="895" spans="1:47" s="398" customFormat="1" ht="13.15" customHeight="1" x14ac:dyDescent="0.2">
      <c r="A895" s="476"/>
      <c r="D895" s="467"/>
      <c r="F895" s="468"/>
      <c r="G895" s="468"/>
      <c r="H895" s="468"/>
      <c r="I895" s="468"/>
      <c r="J895" s="469"/>
      <c r="L895" s="476"/>
      <c r="M895" s="476"/>
      <c r="N895" s="476"/>
      <c r="O895" s="476"/>
      <c r="P895" s="476"/>
      <c r="Q895" s="476"/>
      <c r="R895" s="476"/>
      <c r="S895" s="476"/>
      <c r="T895" s="476"/>
      <c r="U895" s="476"/>
      <c r="V895" s="476"/>
      <c r="W895" s="476"/>
      <c r="X895" s="476"/>
      <c r="Y895" s="476"/>
      <c r="Z895" s="476"/>
      <c r="AA895" s="476"/>
      <c r="AB895" s="476"/>
      <c r="AC895" s="476"/>
      <c r="AD895" s="476"/>
      <c r="AE895" s="476"/>
      <c r="AF895" s="476"/>
      <c r="AG895" s="476"/>
      <c r="AH895" s="476"/>
      <c r="AI895" s="476"/>
      <c r="AJ895" s="476"/>
      <c r="AK895" s="476"/>
      <c r="AL895" s="476"/>
      <c r="AM895" s="476"/>
      <c r="AN895" s="476"/>
      <c r="AO895" s="476"/>
      <c r="AP895" s="476"/>
      <c r="AQ895" s="476"/>
      <c r="AR895" s="476"/>
      <c r="AS895" s="476"/>
      <c r="AT895" s="476"/>
      <c r="AU895" s="476"/>
    </row>
    <row r="896" spans="1:47" s="398" customFormat="1" ht="13.15" customHeight="1" x14ac:dyDescent="0.2">
      <c r="A896" s="476"/>
      <c r="D896" s="467"/>
      <c r="F896" s="468"/>
      <c r="G896" s="468"/>
      <c r="H896" s="468"/>
      <c r="I896" s="468"/>
      <c r="J896" s="469"/>
      <c r="L896" s="476"/>
      <c r="M896" s="476"/>
      <c r="N896" s="476"/>
      <c r="O896" s="476"/>
      <c r="P896" s="476"/>
      <c r="Q896" s="476"/>
      <c r="R896" s="476"/>
      <c r="S896" s="476"/>
      <c r="T896" s="476"/>
      <c r="U896" s="476"/>
      <c r="V896" s="476"/>
      <c r="W896" s="476"/>
      <c r="X896" s="476"/>
      <c r="Y896" s="476"/>
      <c r="Z896" s="476"/>
      <c r="AA896" s="476"/>
      <c r="AB896" s="476"/>
      <c r="AC896" s="476"/>
      <c r="AD896" s="476"/>
      <c r="AE896" s="476"/>
      <c r="AF896" s="476"/>
      <c r="AG896" s="476"/>
      <c r="AH896" s="476"/>
      <c r="AI896" s="476"/>
      <c r="AJ896" s="476"/>
      <c r="AK896" s="476"/>
      <c r="AL896" s="476"/>
      <c r="AM896" s="476"/>
      <c r="AN896" s="476"/>
      <c r="AO896" s="476"/>
      <c r="AP896" s="476"/>
      <c r="AQ896" s="476"/>
      <c r="AR896" s="476"/>
      <c r="AS896" s="476"/>
      <c r="AT896" s="476"/>
      <c r="AU896" s="476"/>
    </row>
    <row r="897" spans="1:47" s="398" customFormat="1" ht="13.15" customHeight="1" x14ac:dyDescent="0.2">
      <c r="A897" s="476"/>
      <c r="D897" s="467"/>
      <c r="F897" s="468"/>
      <c r="G897" s="468"/>
      <c r="H897" s="468"/>
      <c r="I897" s="468"/>
      <c r="J897" s="469"/>
      <c r="L897" s="476"/>
      <c r="M897" s="476"/>
      <c r="N897" s="476"/>
      <c r="O897" s="476"/>
      <c r="P897" s="476"/>
      <c r="Q897" s="476"/>
      <c r="R897" s="476"/>
      <c r="S897" s="476"/>
      <c r="T897" s="476"/>
      <c r="U897" s="476"/>
      <c r="V897" s="476"/>
      <c r="W897" s="476"/>
      <c r="X897" s="476"/>
      <c r="Y897" s="476"/>
      <c r="Z897" s="476"/>
      <c r="AA897" s="476"/>
      <c r="AB897" s="476"/>
      <c r="AC897" s="476"/>
      <c r="AD897" s="476"/>
      <c r="AE897" s="476"/>
      <c r="AF897" s="476"/>
      <c r="AG897" s="476"/>
      <c r="AH897" s="476"/>
      <c r="AI897" s="476"/>
      <c r="AJ897" s="476"/>
      <c r="AK897" s="476"/>
      <c r="AL897" s="476"/>
      <c r="AM897" s="476"/>
      <c r="AN897" s="476"/>
      <c r="AO897" s="476"/>
      <c r="AP897" s="476"/>
      <c r="AQ897" s="476"/>
      <c r="AR897" s="476"/>
      <c r="AS897" s="476"/>
      <c r="AT897" s="476"/>
      <c r="AU897" s="476"/>
    </row>
    <row r="898" spans="1:47" s="398" customFormat="1" ht="13.15" customHeight="1" x14ac:dyDescent="0.2">
      <c r="A898" s="476"/>
      <c r="D898" s="467"/>
      <c r="F898" s="468"/>
      <c r="G898" s="468"/>
      <c r="H898" s="468"/>
      <c r="I898" s="468"/>
      <c r="J898" s="469"/>
      <c r="L898" s="476"/>
      <c r="M898" s="476"/>
      <c r="N898" s="476"/>
      <c r="O898" s="476"/>
      <c r="P898" s="476"/>
      <c r="Q898" s="476"/>
      <c r="R898" s="476"/>
      <c r="S898" s="476"/>
      <c r="T898" s="476"/>
      <c r="U898" s="476"/>
      <c r="V898" s="476"/>
      <c r="W898" s="476"/>
      <c r="X898" s="476"/>
      <c r="Y898" s="476"/>
      <c r="Z898" s="476"/>
      <c r="AA898" s="476"/>
      <c r="AB898" s="476"/>
      <c r="AC898" s="476"/>
      <c r="AD898" s="476"/>
      <c r="AE898" s="476"/>
      <c r="AF898" s="476"/>
      <c r="AG898" s="476"/>
      <c r="AH898" s="476"/>
      <c r="AI898" s="476"/>
      <c r="AJ898" s="476"/>
      <c r="AK898" s="476"/>
      <c r="AL898" s="476"/>
      <c r="AM898" s="476"/>
      <c r="AN898" s="476"/>
      <c r="AO898" s="476"/>
      <c r="AP898" s="476"/>
      <c r="AQ898" s="476"/>
      <c r="AR898" s="476"/>
      <c r="AS898" s="476"/>
      <c r="AT898" s="476"/>
      <c r="AU898" s="476"/>
    </row>
    <row r="899" spans="1:47" s="398" customFormat="1" ht="13.15" customHeight="1" x14ac:dyDescent="0.2">
      <c r="A899" s="476"/>
      <c r="D899" s="467"/>
      <c r="F899" s="468"/>
      <c r="G899" s="468"/>
      <c r="H899" s="468"/>
      <c r="I899" s="468"/>
      <c r="J899" s="469"/>
      <c r="L899" s="476"/>
      <c r="M899" s="476"/>
      <c r="N899" s="476"/>
      <c r="O899" s="476"/>
      <c r="P899" s="476"/>
      <c r="Q899" s="476"/>
      <c r="R899" s="476"/>
      <c r="S899" s="476"/>
      <c r="T899" s="476"/>
      <c r="U899" s="476"/>
      <c r="V899" s="476"/>
      <c r="W899" s="476"/>
      <c r="X899" s="476"/>
      <c r="Y899" s="476"/>
      <c r="Z899" s="476"/>
      <c r="AA899" s="476"/>
      <c r="AB899" s="476"/>
      <c r="AC899" s="476"/>
      <c r="AD899" s="476"/>
      <c r="AE899" s="476"/>
      <c r="AF899" s="476"/>
      <c r="AG899" s="476"/>
      <c r="AH899" s="476"/>
      <c r="AI899" s="476"/>
      <c r="AJ899" s="476"/>
      <c r="AK899" s="476"/>
      <c r="AL899" s="476"/>
      <c r="AM899" s="476"/>
      <c r="AN899" s="476"/>
      <c r="AO899" s="476"/>
      <c r="AP899" s="476"/>
      <c r="AQ899" s="476"/>
      <c r="AR899" s="476"/>
      <c r="AS899" s="476"/>
      <c r="AT899" s="476"/>
      <c r="AU899" s="476"/>
    </row>
    <row r="900" spans="1:47" s="398" customFormat="1" ht="13.15" customHeight="1" x14ac:dyDescent="0.2">
      <c r="A900" s="476"/>
      <c r="D900" s="467"/>
      <c r="F900" s="468"/>
      <c r="G900" s="468"/>
      <c r="H900" s="468"/>
      <c r="I900" s="468"/>
      <c r="J900" s="469"/>
      <c r="L900" s="476"/>
      <c r="M900" s="476"/>
      <c r="N900" s="476"/>
      <c r="O900" s="476"/>
      <c r="P900" s="476"/>
      <c r="Q900" s="476"/>
      <c r="R900" s="476"/>
      <c r="S900" s="476"/>
      <c r="T900" s="476"/>
      <c r="U900" s="476"/>
      <c r="V900" s="476"/>
      <c r="W900" s="476"/>
      <c r="X900" s="476"/>
      <c r="Y900" s="476"/>
      <c r="Z900" s="476"/>
      <c r="AA900" s="476"/>
      <c r="AB900" s="476"/>
      <c r="AC900" s="476"/>
      <c r="AD900" s="476"/>
      <c r="AE900" s="476"/>
      <c r="AF900" s="476"/>
      <c r="AG900" s="476"/>
      <c r="AH900" s="476"/>
      <c r="AI900" s="476"/>
      <c r="AJ900" s="476"/>
      <c r="AK900" s="476"/>
      <c r="AL900" s="476"/>
      <c r="AM900" s="476"/>
      <c r="AN900" s="476"/>
      <c r="AO900" s="476"/>
      <c r="AP900" s="476"/>
      <c r="AQ900" s="476"/>
      <c r="AR900" s="476"/>
      <c r="AS900" s="476"/>
      <c r="AT900" s="476"/>
      <c r="AU900" s="476"/>
    </row>
    <row r="901" spans="1:47" s="398" customFormat="1" ht="13.15" customHeight="1" x14ac:dyDescent="0.2">
      <c r="A901" s="476"/>
      <c r="D901" s="467"/>
      <c r="F901" s="468"/>
      <c r="G901" s="468"/>
      <c r="H901" s="468"/>
      <c r="I901" s="468"/>
      <c r="J901" s="469"/>
      <c r="L901" s="476"/>
      <c r="M901" s="476"/>
      <c r="N901" s="476"/>
      <c r="O901" s="476"/>
      <c r="P901" s="476"/>
      <c r="Q901" s="476"/>
      <c r="R901" s="476"/>
      <c r="S901" s="476"/>
      <c r="T901" s="476"/>
      <c r="U901" s="476"/>
      <c r="V901" s="476"/>
      <c r="W901" s="476"/>
      <c r="X901" s="476"/>
      <c r="Y901" s="476"/>
      <c r="Z901" s="476"/>
      <c r="AA901" s="476"/>
      <c r="AB901" s="476"/>
      <c r="AC901" s="476"/>
      <c r="AD901" s="476"/>
      <c r="AE901" s="476"/>
      <c r="AF901" s="476"/>
      <c r="AG901" s="476"/>
      <c r="AH901" s="476"/>
      <c r="AI901" s="476"/>
      <c r="AJ901" s="476"/>
      <c r="AK901" s="476"/>
      <c r="AL901" s="476"/>
      <c r="AM901" s="476"/>
      <c r="AN901" s="476"/>
      <c r="AO901" s="476"/>
      <c r="AP901" s="476"/>
      <c r="AQ901" s="476"/>
      <c r="AR901" s="476"/>
      <c r="AS901" s="476"/>
      <c r="AT901" s="476"/>
      <c r="AU901" s="476"/>
    </row>
    <row r="902" spans="1:47" s="398" customFormat="1" ht="13.15" customHeight="1" x14ac:dyDescent="0.2">
      <c r="A902" s="476"/>
      <c r="D902" s="467"/>
      <c r="F902" s="468"/>
      <c r="G902" s="468"/>
      <c r="H902" s="468"/>
      <c r="I902" s="468"/>
      <c r="J902" s="469"/>
      <c r="L902" s="476"/>
      <c r="M902" s="476"/>
      <c r="N902" s="476"/>
      <c r="O902" s="476"/>
      <c r="P902" s="476"/>
      <c r="Q902" s="476"/>
      <c r="R902" s="476"/>
      <c r="S902" s="476"/>
      <c r="T902" s="476"/>
      <c r="U902" s="476"/>
      <c r="V902" s="476"/>
      <c r="W902" s="476"/>
      <c r="X902" s="476"/>
      <c r="Y902" s="476"/>
      <c r="Z902" s="476"/>
      <c r="AA902" s="476"/>
      <c r="AB902" s="476"/>
      <c r="AC902" s="476"/>
      <c r="AD902" s="476"/>
      <c r="AE902" s="476"/>
      <c r="AF902" s="476"/>
      <c r="AG902" s="476"/>
      <c r="AH902" s="476"/>
      <c r="AI902" s="476"/>
      <c r="AJ902" s="476"/>
      <c r="AK902" s="476"/>
      <c r="AL902" s="476"/>
      <c r="AM902" s="476"/>
      <c r="AN902" s="476"/>
      <c r="AO902" s="476"/>
      <c r="AP902" s="476"/>
      <c r="AQ902" s="476"/>
      <c r="AR902" s="476"/>
      <c r="AS902" s="476"/>
      <c r="AT902" s="476"/>
      <c r="AU902" s="476"/>
    </row>
    <row r="903" spans="1:47" s="398" customFormat="1" ht="13.15" customHeight="1" x14ac:dyDescent="0.2">
      <c r="A903" s="476"/>
      <c r="D903" s="467"/>
      <c r="F903" s="468"/>
      <c r="G903" s="468"/>
      <c r="H903" s="468"/>
      <c r="I903" s="468"/>
      <c r="J903" s="469"/>
      <c r="L903" s="476"/>
      <c r="M903" s="476"/>
      <c r="N903" s="476"/>
      <c r="O903" s="476"/>
      <c r="P903" s="476"/>
      <c r="Q903" s="476"/>
      <c r="R903" s="476"/>
      <c r="S903" s="476"/>
      <c r="T903" s="476"/>
      <c r="U903" s="476"/>
      <c r="V903" s="476"/>
      <c r="W903" s="476"/>
      <c r="X903" s="476"/>
      <c r="Y903" s="476"/>
      <c r="Z903" s="476"/>
      <c r="AA903" s="476"/>
      <c r="AB903" s="476"/>
      <c r="AC903" s="476"/>
      <c r="AD903" s="476"/>
      <c r="AE903" s="476"/>
      <c r="AF903" s="476"/>
      <c r="AG903" s="476"/>
      <c r="AH903" s="476"/>
      <c r="AI903" s="476"/>
      <c r="AJ903" s="476"/>
      <c r="AK903" s="476"/>
      <c r="AL903" s="476"/>
      <c r="AM903" s="476"/>
      <c r="AN903" s="476"/>
      <c r="AO903" s="476"/>
      <c r="AP903" s="476"/>
      <c r="AQ903" s="476"/>
      <c r="AR903" s="476"/>
      <c r="AS903" s="476"/>
      <c r="AT903" s="476"/>
      <c r="AU903" s="476"/>
    </row>
    <row r="904" spans="1:47" s="398" customFormat="1" ht="13.15" customHeight="1" x14ac:dyDescent="0.2">
      <c r="A904" s="476"/>
      <c r="D904" s="467"/>
      <c r="F904" s="468"/>
      <c r="G904" s="468"/>
      <c r="H904" s="468"/>
      <c r="I904" s="468"/>
      <c r="J904" s="469"/>
      <c r="L904" s="476"/>
      <c r="M904" s="476"/>
      <c r="N904" s="476"/>
      <c r="O904" s="476"/>
      <c r="P904" s="476"/>
      <c r="Q904" s="476"/>
      <c r="R904" s="476"/>
      <c r="S904" s="476"/>
      <c r="T904" s="476"/>
      <c r="U904" s="476"/>
      <c r="V904" s="476"/>
      <c r="W904" s="476"/>
      <c r="X904" s="476"/>
      <c r="Y904" s="476"/>
      <c r="Z904" s="476"/>
      <c r="AA904" s="476"/>
      <c r="AB904" s="476"/>
      <c r="AC904" s="476"/>
      <c r="AD904" s="476"/>
      <c r="AE904" s="476"/>
      <c r="AF904" s="476"/>
      <c r="AG904" s="476"/>
      <c r="AH904" s="476"/>
      <c r="AI904" s="476"/>
      <c r="AJ904" s="476"/>
      <c r="AK904" s="476"/>
      <c r="AL904" s="476"/>
      <c r="AM904" s="476"/>
      <c r="AN904" s="476"/>
      <c r="AO904" s="476"/>
      <c r="AP904" s="476"/>
      <c r="AQ904" s="476"/>
      <c r="AR904" s="476"/>
      <c r="AS904" s="476"/>
      <c r="AT904" s="476"/>
      <c r="AU904" s="476"/>
    </row>
    <row r="905" spans="1:47" s="398" customFormat="1" ht="13.15" customHeight="1" x14ac:dyDescent="0.2">
      <c r="A905" s="476"/>
      <c r="D905" s="467"/>
      <c r="F905" s="468"/>
      <c r="G905" s="468"/>
      <c r="H905" s="468"/>
      <c r="I905" s="468"/>
      <c r="J905" s="469"/>
      <c r="L905" s="476"/>
      <c r="M905" s="476"/>
      <c r="N905" s="476"/>
      <c r="O905" s="476"/>
      <c r="P905" s="476"/>
      <c r="Q905" s="476"/>
      <c r="R905" s="476"/>
      <c r="S905" s="476"/>
      <c r="T905" s="476"/>
      <c r="U905" s="476"/>
      <c r="V905" s="476"/>
      <c r="W905" s="476"/>
      <c r="X905" s="476"/>
      <c r="Y905" s="476"/>
      <c r="Z905" s="476"/>
      <c r="AA905" s="476"/>
      <c r="AB905" s="476"/>
      <c r="AC905" s="476"/>
      <c r="AD905" s="476"/>
      <c r="AE905" s="476"/>
      <c r="AF905" s="476"/>
      <c r="AG905" s="476"/>
      <c r="AH905" s="476"/>
      <c r="AI905" s="476"/>
      <c r="AJ905" s="476"/>
      <c r="AK905" s="476"/>
      <c r="AL905" s="476"/>
      <c r="AM905" s="476"/>
      <c r="AN905" s="476"/>
      <c r="AO905" s="476"/>
      <c r="AP905" s="476"/>
      <c r="AQ905" s="476"/>
      <c r="AR905" s="476"/>
      <c r="AS905" s="476"/>
      <c r="AT905" s="476"/>
      <c r="AU905" s="476"/>
    </row>
    <row r="906" spans="1:47" s="398" customFormat="1" ht="13.15" customHeight="1" x14ac:dyDescent="0.2">
      <c r="A906" s="476"/>
      <c r="D906" s="467"/>
      <c r="F906" s="468"/>
      <c r="G906" s="468"/>
      <c r="H906" s="468"/>
      <c r="I906" s="468"/>
      <c r="J906" s="469"/>
      <c r="L906" s="476"/>
      <c r="M906" s="476"/>
      <c r="N906" s="476"/>
      <c r="O906" s="476"/>
      <c r="P906" s="476"/>
      <c r="Q906" s="476"/>
      <c r="R906" s="476"/>
      <c r="S906" s="476"/>
      <c r="T906" s="476"/>
      <c r="U906" s="476"/>
      <c r="V906" s="476"/>
      <c r="W906" s="476"/>
      <c r="X906" s="476"/>
      <c r="Y906" s="476"/>
      <c r="Z906" s="476"/>
      <c r="AA906" s="476"/>
      <c r="AB906" s="476"/>
      <c r="AC906" s="476"/>
      <c r="AD906" s="476"/>
      <c r="AE906" s="476"/>
      <c r="AF906" s="476"/>
      <c r="AG906" s="476"/>
      <c r="AH906" s="476"/>
      <c r="AI906" s="476"/>
      <c r="AJ906" s="476"/>
      <c r="AK906" s="476"/>
      <c r="AL906" s="476"/>
      <c r="AM906" s="476"/>
      <c r="AN906" s="476"/>
      <c r="AO906" s="476"/>
      <c r="AP906" s="476"/>
      <c r="AQ906" s="476"/>
      <c r="AR906" s="476"/>
      <c r="AS906" s="476"/>
      <c r="AT906" s="476"/>
      <c r="AU906" s="476"/>
    </row>
    <row r="907" spans="1:47" s="398" customFormat="1" ht="13.15" customHeight="1" x14ac:dyDescent="0.2">
      <c r="A907" s="476"/>
      <c r="D907" s="467"/>
      <c r="F907" s="468"/>
      <c r="G907" s="468"/>
      <c r="H907" s="468"/>
      <c r="I907" s="468"/>
      <c r="J907" s="469"/>
      <c r="L907" s="476"/>
      <c r="M907" s="476"/>
      <c r="N907" s="476"/>
      <c r="O907" s="476"/>
      <c r="P907" s="476"/>
      <c r="Q907" s="476"/>
      <c r="R907" s="476"/>
      <c r="S907" s="476"/>
      <c r="T907" s="476"/>
      <c r="U907" s="476"/>
      <c r="V907" s="476"/>
      <c r="W907" s="476"/>
      <c r="X907" s="476"/>
      <c r="Y907" s="476"/>
      <c r="Z907" s="476"/>
      <c r="AA907" s="476"/>
      <c r="AB907" s="476"/>
      <c r="AC907" s="476"/>
      <c r="AD907" s="476"/>
      <c r="AE907" s="476"/>
      <c r="AF907" s="476"/>
      <c r="AG907" s="476"/>
      <c r="AH907" s="476"/>
      <c r="AI907" s="476"/>
      <c r="AJ907" s="476"/>
      <c r="AK907" s="476"/>
      <c r="AL907" s="476"/>
      <c r="AM907" s="476"/>
      <c r="AN907" s="476"/>
      <c r="AO907" s="476"/>
      <c r="AP907" s="476"/>
      <c r="AQ907" s="476"/>
      <c r="AR907" s="476"/>
      <c r="AS907" s="476"/>
      <c r="AT907" s="476"/>
      <c r="AU907" s="476"/>
    </row>
    <row r="908" spans="1:47" s="398" customFormat="1" ht="13.15" customHeight="1" x14ac:dyDescent="0.2">
      <c r="A908" s="476"/>
      <c r="D908" s="467"/>
      <c r="F908" s="468"/>
      <c r="G908" s="468"/>
      <c r="H908" s="468"/>
      <c r="I908" s="468"/>
      <c r="J908" s="469"/>
      <c r="L908" s="476"/>
      <c r="M908" s="476"/>
      <c r="N908" s="476"/>
      <c r="O908" s="476"/>
      <c r="P908" s="476"/>
      <c r="Q908" s="476"/>
      <c r="R908" s="476"/>
      <c r="S908" s="476"/>
      <c r="T908" s="476"/>
      <c r="U908" s="476"/>
      <c r="V908" s="476"/>
      <c r="W908" s="476"/>
      <c r="X908" s="476"/>
      <c r="Y908" s="476"/>
      <c r="Z908" s="476"/>
      <c r="AA908" s="476"/>
      <c r="AB908" s="476"/>
      <c r="AC908" s="476"/>
      <c r="AD908" s="476"/>
      <c r="AE908" s="476"/>
      <c r="AF908" s="476"/>
      <c r="AG908" s="476"/>
      <c r="AH908" s="476"/>
      <c r="AI908" s="476"/>
      <c r="AJ908" s="476"/>
      <c r="AK908" s="476"/>
      <c r="AL908" s="476"/>
      <c r="AM908" s="476"/>
      <c r="AN908" s="476"/>
      <c r="AO908" s="476"/>
      <c r="AP908" s="476"/>
      <c r="AQ908" s="476"/>
      <c r="AR908" s="476"/>
      <c r="AS908" s="476"/>
      <c r="AT908" s="476"/>
      <c r="AU908" s="476"/>
    </row>
    <row r="909" spans="1:47" s="398" customFormat="1" ht="13.15" customHeight="1" x14ac:dyDescent="0.2">
      <c r="A909" s="476"/>
      <c r="D909" s="467"/>
      <c r="F909" s="468"/>
      <c r="G909" s="468"/>
      <c r="H909" s="468"/>
      <c r="I909" s="468"/>
      <c r="J909" s="469"/>
      <c r="L909" s="476"/>
      <c r="M909" s="476"/>
      <c r="N909" s="476"/>
      <c r="O909" s="476"/>
      <c r="P909" s="476"/>
      <c r="Q909" s="476"/>
      <c r="R909" s="476"/>
      <c r="S909" s="476"/>
      <c r="T909" s="476"/>
      <c r="U909" s="476"/>
      <c r="V909" s="476"/>
      <c r="W909" s="476"/>
      <c r="X909" s="476"/>
      <c r="Y909" s="476"/>
      <c r="Z909" s="476"/>
      <c r="AA909" s="476"/>
      <c r="AB909" s="476"/>
      <c r="AC909" s="476"/>
      <c r="AD909" s="476"/>
      <c r="AE909" s="476"/>
      <c r="AF909" s="476"/>
      <c r="AG909" s="476"/>
      <c r="AH909" s="476"/>
      <c r="AI909" s="476"/>
      <c r="AJ909" s="476"/>
      <c r="AK909" s="476"/>
      <c r="AL909" s="476"/>
      <c r="AM909" s="476"/>
      <c r="AN909" s="476"/>
      <c r="AO909" s="476"/>
      <c r="AP909" s="476"/>
      <c r="AQ909" s="476"/>
      <c r="AR909" s="476"/>
      <c r="AS909" s="476"/>
      <c r="AT909" s="476"/>
      <c r="AU909" s="476"/>
    </row>
    <row r="910" spans="1:47" s="398" customFormat="1" ht="13.15" customHeight="1" x14ac:dyDescent="0.2">
      <c r="A910" s="476"/>
      <c r="D910" s="467"/>
      <c r="F910" s="468"/>
      <c r="G910" s="468"/>
      <c r="H910" s="468"/>
      <c r="I910" s="468"/>
      <c r="J910" s="469"/>
      <c r="L910" s="476"/>
      <c r="M910" s="476"/>
      <c r="N910" s="476"/>
      <c r="O910" s="476"/>
      <c r="P910" s="476"/>
      <c r="Q910" s="476"/>
      <c r="R910" s="476"/>
      <c r="S910" s="476"/>
      <c r="T910" s="476"/>
      <c r="U910" s="476"/>
      <c r="V910" s="476"/>
      <c r="W910" s="476"/>
      <c r="X910" s="476"/>
      <c r="Y910" s="476"/>
      <c r="Z910" s="476"/>
      <c r="AA910" s="476"/>
      <c r="AB910" s="476"/>
      <c r="AC910" s="476"/>
      <c r="AD910" s="476"/>
      <c r="AE910" s="476"/>
      <c r="AF910" s="476"/>
      <c r="AG910" s="476"/>
      <c r="AH910" s="476"/>
      <c r="AI910" s="476"/>
      <c r="AJ910" s="476"/>
      <c r="AK910" s="476"/>
      <c r="AL910" s="476"/>
      <c r="AM910" s="476"/>
      <c r="AN910" s="476"/>
      <c r="AO910" s="476"/>
      <c r="AP910" s="476"/>
      <c r="AQ910" s="476"/>
      <c r="AR910" s="476"/>
      <c r="AS910" s="476"/>
      <c r="AT910" s="476"/>
      <c r="AU910" s="476"/>
    </row>
    <row r="911" spans="1:47" s="398" customFormat="1" ht="13.15" customHeight="1" x14ac:dyDescent="0.2">
      <c r="A911" s="476"/>
      <c r="D911" s="467"/>
      <c r="F911" s="468"/>
      <c r="G911" s="468"/>
      <c r="H911" s="468"/>
      <c r="I911" s="468"/>
      <c r="J911" s="469"/>
      <c r="L911" s="476"/>
      <c r="M911" s="476"/>
      <c r="N911" s="476"/>
      <c r="O911" s="476"/>
      <c r="P911" s="476"/>
      <c r="Q911" s="476"/>
      <c r="R911" s="476"/>
      <c r="S911" s="476"/>
      <c r="T911" s="476"/>
      <c r="U911" s="476"/>
      <c r="V911" s="476"/>
      <c r="W911" s="476"/>
      <c r="X911" s="476"/>
      <c r="Y911" s="476"/>
      <c r="Z911" s="476"/>
      <c r="AA911" s="476"/>
      <c r="AB911" s="476"/>
      <c r="AC911" s="476"/>
      <c r="AD911" s="476"/>
      <c r="AE911" s="476"/>
      <c r="AF911" s="476"/>
      <c r="AG911" s="476"/>
      <c r="AH911" s="476"/>
      <c r="AI911" s="476"/>
      <c r="AJ911" s="476"/>
      <c r="AK911" s="476"/>
      <c r="AL911" s="476"/>
      <c r="AM911" s="476"/>
      <c r="AN911" s="476"/>
      <c r="AO911" s="476"/>
      <c r="AP911" s="476"/>
      <c r="AQ911" s="476"/>
      <c r="AR911" s="476"/>
      <c r="AS911" s="476"/>
      <c r="AT911" s="476"/>
      <c r="AU911" s="476"/>
    </row>
    <row r="912" spans="1:47" s="398" customFormat="1" ht="13.15" customHeight="1" x14ac:dyDescent="0.2">
      <c r="A912" s="476"/>
      <c r="D912" s="467"/>
      <c r="F912" s="468"/>
      <c r="G912" s="468"/>
      <c r="H912" s="468"/>
      <c r="I912" s="468"/>
      <c r="J912" s="469"/>
      <c r="L912" s="476"/>
      <c r="M912" s="476"/>
      <c r="N912" s="476"/>
      <c r="O912" s="476"/>
      <c r="P912" s="476"/>
      <c r="Q912" s="476"/>
      <c r="R912" s="476"/>
      <c r="S912" s="476"/>
      <c r="T912" s="476"/>
      <c r="U912" s="476"/>
      <c r="V912" s="476"/>
      <c r="W912" s="476"/>
      <c r="X912" s="476"/>
      <c r="Y912" s="476"/>
      <c r="Z912" s="476"/>
      <c r="AA912" s="476"/>
      <c r="AB912" s="476"/>
      <c r="AC912" s="476"/>
      <c r="AD912" s="476"/>
      <c r="AE912" s="476"/>
      <c r="AF912" s="476"/>
      <c r="AG912" s="476"/>
      <c r="AH912" s="476"/>
      <c r="AI912" s="476"/>
      <c r="AJ912" s="476"/>
      <c r="AK912" s="476"/>
      <c r="AL912" s="476"/>
      <c r="AM912" s="476"/>
      <c r="AN912" s="476"/>
      <c r="AO912" s="476"/>
      <c r="AP912" s="476"/>
      <c r="AQ912" s="476"/>
      <c r="AR912" s="476"/>
      <c r="AS912" s="476"/>
      <c r="AT912" s="476"/>
      <c r="AU912" s="476"/>
    </row>
    <row r="913" spans="1:47" s="398" customFormat="1" ht="13.15" customHeight="1" x14ac:dyDescent="0.2">
      <c r="A913" s="476"/>
      <c r="D913" s="467"/>
      <c r="F913" s="468"/>
      <c r="G913" s="468"/>
      <c r="H913" s="468"/>
      <c r="I913" s="468"/>
      <c r="J913" s="469"/>
      <c r="L913" s="476"/>
      <c r="M913" s="476"/>
      <c r="N913" s="476"/>
      <c r="O913" s="476"/>
      <c r="P913" s="476"/>
      <c r="Q913" s="476"/>
      <c r="R913" s="476"/>
      <c r="S913" s="476"/>
      <c r="T913" s="476"/>
      <c r="U913" s="476"/>
      <c r="V913" s="476"/>
      <c r="W913" s="476"/>
      <c r="X913" s="476"/>
      <c r="Y913" s="476"/>
      <c r="Z913" s="476"/>
      <c r="AA913" s="476"/>
      <c r="AB913" s="476"/>
      <c r="AC913" s="476"/>
      <c r="AD913" s="476"/>
      <c r="AE913" s="476"/>
      <c r="AF913" s="476"/>
      <c r="AG913" s="476"/>
      <c r="AH913" s="476"/>
      <c r="AI913" s="476"/>
      <c r="AJ913" s="476"/>
      <c r="AK913" s="476"/>
      <c r="AL913" s="476"/>
      <c r="AM913" s="476"/>
      <c r="AN913" s="476"/>
      <c r="AO913" s="476"/>
      <c r="AP913" s="476"/>
      <c r="AQ913" s="476"/>
      <c r="AR913" s="476"/>
      <c r="AS913" s="476"/>
      <c r="AT913" s="476"/>
      <c r="AU913" s="476"/>
    </row>
    <row r="914" spans="1:47" s="398" customFormat="1" ht="13.15" customHeight="1" x14ac:dyDescent="0.2">
      <c r="A914" s="476"/>
      <c r="D914" s="467"/>
      <c r="F914" s="468"/>
      <c r="G914" s="468"/>
      <c r="H914" s="468"/>
      <c r="I914" s="468"/>
      <c r="J914" s="469"/>
      <c r="L914" s="476"/>
      <c r="M914" s="476"/>
      <c r="N914" s="476"/>
      <c r="O914" s="476"/>
      <c r="P914" s="476"/>
      <c r="Q914" s="476"/>
      <c r="R914" s="476"/>
      <c r="S914" s="476"/>
      <c r="T914" s="476"/>
      <c r="U914" s="476"/>
      <c r="V914" s="476"/>
      <c r="W914" s="476"/>
      <c r="X914" s="476"/>
      <c r="Y914" s="476"/>
      <c r="Z914" s="476"/>
      <c r="AA914" s="476"/>
      <c r="AB914" s="476"/>
      <c r="AC914" s="476"/>
      <c r="AD914" s="476"/>
      <c r="AE914" s="476"/>
      <c r="AF914" s="476"/>
      <c r="AG914" s="476"/>
      <c r="AH914" s="476"/>
      <c r="AI914" s="476"/>
      <c r="AJ914" s="476"/>
      <c r="AK914" s="476"/>
      <c r="AL914" s="476"/>
      <c r="AM914" s="476"/>
      <c r="AN914" s="476"/>
      <c r="AO914" s="476"/>
      <c r="AP914" s="476"/>
      <c r="AQ914" s="476"/>
      <c r="AR914" s="476"/>
      <c r="AS914" s="476"/>
      <c r="AT914" s="476"/>
      <c r="AU914" s="476"/>
    </row>
    <row r="915" spans="1:47" s="398" customFormat="1" ht="13.15" customHeight="1" x14ac:dyDescent="0.2">
      <c r="A915" s="476"/>
      <c r="D915" s="467"/>
      <c r="F915" s="468"/>
      <c r="G915" s="468"/>
      <c r="H915" s="468"/>
      <c r="I915" s="468"/>
      <c r="J915" s="469"/>
      <c r="L915" s="476"/>
      <c r="M915" s="476"/>
      <c r="N915" s="476"/>
      <c r="O915" s="476"/>
      <c r="P915" s="476"/>
      <c r="Q915" s="476"/>
      <c r="R915" s="476"/>
      <c r="S915" s="476"/>
      <c r="T915" s="476"/>
      <c r="U915" s="476"/>
      <c r="V915" s="476"/>
      <c r="W915" s="476"/>
      <c r="X915" s="476"/>
      <c r="Y915" s="476"/>
      <c r="Z915" s="476"/>
      <c r="AA915" s="476"/>
      <c r="AB915" s="476"/>
      <c r="AC915" s="476"/>
      <c r="AD915" s="476"/>
      <c r="AE915" s="476"/>
      <c r="AF915" s="476"/>
      <c r="AG915" s="476"/>
      <c r="AH915" s="476"/>
      <c r="AI915" s="476"/>
      <c r="AJ915" s="476"/>
      <c r="AK915" s="476"/>
      <c r="AL915" s="476"/>
      <c r="AM915" s="476"/>
      <c r="AN915" s="476"/>
      <c r="AO915" s="476"/>
      <c r="AP915" s="476"/>
      <c r="AQ915" s="476"/>
      <c r="AR915" s="476"/>
      <c r="AS915" s="476"/>
      <c r="AT915" s="476"/>
      <c r="AU915" s="476"/>
    </row>
    <row r="916" spans="1:47" s="398" customFormat="1" ht="13.15" customHeight="1" x14ac:dyDescent="0.2">
      <c r="A916" s="476"/>
      <c r="D916" s="467"/>
      <c r="F916" s="468"/>
      <c r="G916" s="468"/>
      <c r="H916" s="468"/>
      <c r="I916" s="468"/>
      <c r="J916" s="469"/>
      <c r="L916" s="476"/>
      <c r="M916" s="476"/>
      <c r="N916" s="476"/>
      <c r="O916" s="476"/>
      <c r="P916" s="476"/>
      <c r="Q916" s="476"/>
      <c r="R916" s="476"/>
      <c r="S916" s="476"/>
      <c r="T916" s="476"/>
      <c r="U916" s="476"/>
      <c r="V916" s="476"/>
      <c r="W916" s="476"/>
      <c r="X916" s="476"/>
      <c r="Y916" s="476"/>
      <c r="Z916" s="476"/>
      <c r="AA916" s="476"/>
      <c r="AB916" s="476"/>
      <c r="AC916" s="476"/>
      <c r="AD916" s="476"/>
      <c r="AE916" s="476"/>
      <c r="AF916" s="476"/>
      <c r="AG916" s="476"/>
      <c r="AH916" s="476"/>
      <c r="AI916" s="476"/>
      <c r="AJ916" s="476"/>
      <c r="AK916" s="476"/>
      <c r="AL916" s="476"/>
      <c r="AM916" s="476"/>
      <c r="AN916" s="476"/>
      <c r="AO916" s="476"/>
      <c r="AP916" s="476"/>
      <c r="AQ916" s="476"/>
      <c r="AR916" s="476"/>
      <c r="AS916" s="476"/>
      <c r="AT916" s="476"/>
      <c r="AU916" s="476"/>
    </row>
    <row r="917" spans="1:47" s="398" customFormat="1" ht="13.15" customHeight="1" x14ac:dyDescent="0.2">
      <c r="A917" s="476"/>
      <c r="D917" s="467"/>
      <c r="F917" s="468"/>
      <c r="G917" s="468"/>
      <c r="H917" s="468"/>
      <c r="I917" s="468"/>
      <c r="J917" s="469"/>
      <c r="L917" s="476"/>
      <c r="M917" s="476"/>
      <c r="N917" s="476"/>
      <c r="O917" s="476"/>
      <c r="P917" s="476"/>
      <c r="Q917" s="476"/>
      <c r="R917" s="476"/>
      <c r="S917" s="476"/>
      <c r="T917" s="476"/>
      <c r="U917" s="476"/>
      <c r="V917" s="476"/>
      <c r="W917" s="476"/>
      <c r="X917" s="476"/>
      <c r="Y917" s="476"/>
      <c r="Z917" s="476"/>
      <c r="AA917" s="476"/>
      <c r="AB917" s="476"/>
      <c r="AC917" s="476"/>
      <c r="AD917" s="476"/>
      <c r="AE917" s="476"/>
      <c r="AF917" s="476"/>
      <c r="AG917" s="476"/>
      <c r="AH917" s="476"/>
      <c r="AI917" s="476"/>
      <c r="AJ917" s="476"/>
      <c r="AK917" s="476"/>
      <c r="AL917" s="476"/>
      <c r="AM917" s="476"/>
      <c r="AN917" s="476"/>
      <c r="AO917" s="476"/>
      <c r="AP917" s="476"/>
      <c r="AQ917" s="476"/>
      <c r="AR917" s="476"/>
      <c r="AS917" s="476"/>
      <c r="AT917" s="476"/>
      <c r="AU917" s="476"/>
    </row>
    <row r="918" spans="1:47" s="398" customFormat="1" ht="13.15" customHeight="1" x14ac:dyDescent="0.2">
      <c r="A918" s="476"/>
      <c r="D918" s="467"/>
      <c r="F918" s="468"/>
      <c r="G918" s="468"/>
      <c r="H918" s="468"/>
      <c r="I918" s="468"/>
      <c r="J918" s="469"/>
      <c r="L918" s="476"/>
      <c r="M918" s="476"/>
      <c r="N918" s="476"/>
      <c r="O918" s="476"/>
      <c r="P918" s="476"/>
      <c r="Q918" s="476"/>
      <c r="R918" s="476"/>
      <c r="S918" s="476"/>
      <c r="T918" s="476"/>
      <c r="U918" s="476"/>
      <c r="V918" s="476"/>
      <c r="W918" s="476"/>
      <c r="X918" s="476"/>
      <c r="Y918" s="476"/>
      <c r="Z918" s="476"/>
      <c r="AA918" s="476"/>
      <c r="AB918" s="476"/>
      <c r="AC918" s="476"/>
      <c r="AD918" s="476"/>
      <c r="AE918" s="476"/>
      <c r="AF918" s="476"/>
      <c r="AG918" s="476"/>
      <c r="AH918" s="476"/>
      <c r="AI918" s="476"/>
      <c r="AJ918" s="476"/>
      <c r="AK918" s="476"/>
      <c r="AL918" s="476"/>
      <c r="AM918" s="476"/>
      <c r="AN918" s="476"/>
      <c r="AO918" s="476"/>
      <c r="AP918" s="476"/>
      <c r="AQ918" s="476"/>
      <c r="AR918" s="476"/>
      <c r="AS918" s="476"/>
      <c r="AT918" s="476"/>
      <c r="AU918" s="476"/>
    </row>
    <row r="919" spans="1:47" s="398" customFormat="1" ht="13.15" customHeight="1" x14ac:dyDescent="0.2">
      <c r="A919" s="476"/>
      <c r="D919" s="467"/>
      <c r="F919" s="468"/>
      <c r="G919" s="468"/>
      <c r="H919" s="468"/>
      <c r="I919" s="468"/>
      <c r="J919" s="469"/>
      <c r="L919" s="476"/>
      <c r="M919" s="476"/>
      <c r="N919" s="476"/>
      <c r="O919" s="476"/>
      <c r="P919" s="476"/>
      <c r="Q919" s="476"/>
      <c r="R919" s="476"/>
      <c r="S919" s="476"/>
      <c r="T919" s="476"/>
      <c r="U919" s="476"/>
      <c r="V919" s="476"/>
      <c r="W919" s="476"/>
      <c r="X919" s="476"/>
      <c r="Y919" s="476"/>
      <c r="Z919" s="476"/>
      <c r="AA919" s="476"/>
      <c r="AB919" s="476"/>
      <c r="AC919" s="476"/>
      <c r="AD919" s="476"/>
      <c r="AE919" s="476"/>
      <c r="AF919" s="476"/>
      <c r="AG919" s="476"/>
      <c r="AH919" s="476"/>
      <c r="AI919" s="476"/>
      <c r="AJ919" s="476"/>
      <c r="AK919" s="476"/>
      <c r="AL919" s="476"/>
      <c r="AM919" s="476"/>
      <c r="AN919" s="476"/>
      <c r="AO919" s="476"/>
      <c r="AP919" s="476"/>
      <c r="AQ919" s="476"/>
      <c r="AR919" s="476"/>
      <c r="AS919" s="476"/>
      <c r="AT919" s="476"/>
      <c r="AU919" s="476"/>
    </row>
    <row r="920" spans="1:47" s="398" customFormat="1" ht="13.15" customHeight="1" x14ac:dyDescent="0.2">
      <c r="A920" s="476"/>
      <c r="D920" s="467"/>
      <c r="F920" s="468"/>
      <c r="G920" s="468"/>
      <c r="H920" s="468"/>
      <c r="I920" s="468"/>
      <c r="J920" s="469"/>
      <c r="L920" s="476"/>
      <c r="M920" s="476"/>
      <c r="N920" s="476"/>
      <c r="O920" s="476"/>
      <c r="P920" s="476"/>
      <c r="Q920" s="476"/>
      <c r="R920" s="476"/>
      <c r="S920" s="476"/>
      <c r="T920" s="476"/>
      <c r="U920" s="476"/>
      <c r="V920" s="476"/>
      <c r="W920" s="476"/>
      <c r="X920" s="476"/>
      <c r="Y920" s="476"/>
      <c r="Z920" s="476"/>
      <c r="AA920" s="476"/>
      <c r="AB920" s="476"/>
      <c r="AC920" s="476"/>
      <c r="AD920" s="476"/>
      <c r="AE920" s="476"/>
      <c r="AF920" s="476"/>
      <c r="AG920" s="476"/>
      <c r="AH920" s="476"/>
      <c r="AI920" s="476"/>
      <c r="AJ920" s="476"/>
      <c r="AK920" s="476"/>
      <c r="AL920" s="476"/>
      <c r="AM920" s="476"/>
      <c r="AN920" s="476"/>
      <c r="AO920" s="476"/>
      <c r="AP920" s="476"/>
      <c r="AQ920" s="476"/>
      <c r="AR920" s="476"/>
      <c r="AS920" s="476"/>
      <c r="AT920" s="476"/>
      <c r="AU920" s="476"/>
    </row>
    <row r="921" spans="1:47" s="398" customFormat="1" ht="13.15" customHeight="1" x14ac:dyDescent="0.2">
      <c r="A921" s="476"/>
      <c r="D921" s="467"/>
      <c r="F921" s="468"/>
      <c r="G921" s="468"/>
      <c r="H921" s="468"/>
      <c r="I921" s="468"/>
      <c r="J921" s="469"/>
      <c r="L921" s="476"/>
      <c r="M921" s="476"/>
      <c r="N921" s="476"/>
      <c r="O921" s="476"/>
      <c r="P921" s="476"/>
      <c r="Q921" s="476"/>
      <c r="R921" s="476"/>
      <c r="S921" s="476"/>
      <c r="T921" s="476"/>
      <c r="U921" s="476"/>
      <c r="V921" s="476"/>
      <c r="W921" s="476"/>
      <c r="X921" s="476"/>
      <c r="Y921" s="476"/>
      <c r="Z921" s="476"/>
      <c r="AA921" s="476"/>
      <c r="AB921" s="476"/>
      <c r="AC921" s="476"/>
      <c r="AD921" s="476"/>
      <c r="AE921" s="476"/>
      <c r="AF921" s="476"/>
      <c r="AG921" s="476"/>
      <c r="AH921" s="476"/>
      <c r="AI921" s="476"/>
      <c r="AJ921" s="476"/>
      <c r="AK921" s="476"/>
      <c r="AL921" s="476"/>
      <c r="AM921" s="476"/>
      <c r="AN921" s="476"/>
      <c r="AO921" s="476"/>
      <c r="AP921" s="476"/>
      <c r="AQ921" s="476"/>
      <c r="AR921" s="476"/>
      <c r="AS921" s="476"/>
      <c r="AT921" s="476"/>
      <c r="AU921" s="476"/>
    </row>
    <row r="922" spans="1:47" s="398" customFormat="1" ht="13.15" customHeight="1" x14ac:dyDescent="0.2">
      <c r="A922" s="476"/>
      <c r="D922" s="467"/>
      <c r="F922" s="468"/>
      <c r="G922" s="468"/>
      <c r="H922" s="468"/>
      <c r="I922" s="468"/>
      <c r="J922" s="469"/>
      <c r="L922" s="476"/>
      <c r="M922" s="476"/>
      <c r="N922" s="476"/>
      <c r="O922" s="476"/>
      <c r="P922" s="476"/>
      <c r="Q922" s="476"/>
      <c r="R922" s="476"/>
      <c r="S922" s="476"/>
      <c r="T922" s="476"/>
      <c r="U922" s="476"/>
      <c r="V922" s="476"/>
      <c r="W922" s="476"/>
      <c r="X922" s="476"/>
      <c r="Y922" s="476"/>
      <c r="Z922" s="476"/>
      <c r="AA922" s="476"/>
      <c r="AB922" s="476"/>
      <c r="AC922" s="476"/>
      <c r="AD922" s="476"/>
      <c r="AE922" s="476"/>
      <c r="AF922" s="476"/>
      <c r="AG922" s="476"/>
      <c r="AH922" s="476"/>
      <c r="AI922" s="476"/>
      <c r="AJ922" s="476"/>
      <c r="AK922" s="476"/>
      <c r="AL922" s="476"/>
      <c r="AM922" s="476"/>
      <c r="AN922" s="476"/>
      <c r="AO922" s="476"/>
      <c r="AP922" s="476"/>
      <c r="AQ922" s="476"/>
      <c r="AR922" s="476"/>
      <c r="AS922" s="476"/>
      <c r="AT922" s="476"/>
      <c r="AU922" s="476"/>
    </row>
    <row r="923" spans="1:47" s="398" customFormat="1" ht="13.15" customHeight="1" x14ac:dyDescent="0.2">
      <c r="A923" s="476"/>
      <c r="D923" s="467"/>
      <c r="F923" s="468"/>
      <c r="G923" s="468"/>
      <c r="H923" s="468"/>
      <c r="I923" s="468"/>
      <c r="J923" s="469"/>
      <c r="L923" s="476"/>
      <c r="M923" s="476"/>
      <c r="N923" s="476"/>
      <c r="O923" s="476"/>
      <c r="P923" s="476"/>
      <c r="Q923" s="476"/>
      <c r="R923" s="476"/>
      <c r="S923" s="476"/>
      <c r="T923" s="476"/>
      <c r="U923" s="476"/>
      <c r="V923" s="476"/>
      <c r="W923" s="476"/>
      <c r="X923" s="476"/>
      <c r="Y923" s="476"/>
      <c r="Z923" s="476"/>
      <c r="AA923" s="476"/>
      <c r="AB923" s="476"/>
      <c r="AC923" s="476"/>
      <c r="AD923" s="476"/>
      <c r="AE923" s="476"/>
      <c r="AF923" s="476"/>
      <c r="AG923" s="476"/>
      <c r="AH923" s="476"/>
      <c r="AI923" s="476"/>
      <c r="AJ923" s="476"/>
      <c r="AK923" s="476"/>
      <c r="AL923" s="476"/>
      <c r="AM923" s="476"/>
      <c r="AN923" s="476"/>
      <c r="AO923" s="476"/>
      <c r="AP923" s="476"/>
      <c r="AQ923" s="476"/>
      <c r="AR923" s="476"/>
      <c r="AS923" s="476"/>
      <c r="AT923" s="476"/>
      <c r="AU923" s="476"/>
    </row>
    <row r="924" spans="1:47" s="398" customFormat="1" ht="13.15" customHeight="1" x14ac:dyDescent="0.2">
      <c r="A924" s="476"/>
      <c r="D924" s="467"/>
      <c r="F924" s="468"/>
      <c r="G924" s="468"/>
      <c r="H924" s="468"/>
      <c r="I924" s="468"/>
      <c r="J924" s="469"/>
      <c r="L924" s="476"/>
      <c r="M924" s="476"/>
      <c r="N924" s="476"/>
      <c r="O924" s="476"/>
      <c r="P924" s="476"/>
      <c r="Q924" s="476"/>
      <c r="R924" s="476"/>
      <c r="S924" s="476"/>
      <c r="T924" s="476"/>
      <c r="U924" s="476"/>
      <c r="V924" s="476"/>
      <c r="W924" s="476"/>
      <c r="X924" s="476"/>
      <c r="Y924" s="476"/>
      <c r="Z924" s="476"/>
      <c r="AA924" s="476"/>
      <c r="AB924" s="476"/>
      <c r="AC924" s="476"/>
      <c r="AD924" s="476"/>
      <c r="AE924" s="476"/>
      <c r="AF924" s="476"/>
      <c r="AG924" s="476"/>
      <c r="AH924" s="476"/>
      <c r="AI924" s="476"/>
      <c r="AJ924" s="476"/>
      <c r="AK924" s="476"/>
      <c r="AL924" s="476"/>
      <c r="AM924" s="476"/>
      <c r="AN924" s="476"/>
      <c r="AO924" s="476"/>
      <c r="AP924" s="476"/>
      <c r="AQ924" s="476"/>
      <c r="AR924" s="476"/>
      <c r="AS924" s="476"/>
      <c r="AT924" s="476"/>
      <c r="AU924" s="476"/>
    </row>
    <row r="925" spans="1:47" s="398" customFormat="1" ht="13.15" customHeight="1" x14ac:dyDescent="0.2">
      <c r="A925" s="476"/>
      <c r="D925" s="467"/>
      <c r="F925" s="468"/>
      <c r="G925" s="468"/>
      <c r="H925" s="468"/>
      <c r="I925" s="468"/>
      <c r="J925" s="469"/>
      <c r="L925" s="476"/>
      <c r="M925" s="476"/>
      <c r="N925" s="476"/>
      <c r="O925" s="476"/>
      <c r="P925" s="476"/>
      <c r="Q925" s="476"/>
      <c r="R925" s="476"/>
      <c r="S925" s="476"/>
      <c r="T925" s="476"/>
      <c r="U925" s="476"/>
      <c r="V925" s="476"/>
      <c r="W925" s="476"/>
      <c r="X925" s="476"/>
      <c r="Y925" s="476"/>
      <c r="Z925" s="476"/>
      <c r="AA925" s="476"/>
      <c r="AB925" s="476"/>
      <c r="AC925" s="476"/>
      <c r="AD925" s="476"/>
      <c r="AE925" s="476"/>
      <c r="AF925" s="476"/>
      <c r="AG925" s="476"/>
      <c r="AH925" s="476"/>
      <c r="AI925" s="476"/>
      <c r="AJ925" s="476"/>
      <c r="AK925" s="476"/>
      <c r="AL925" s="476"/>
      <c r="AM925" s="476"/>
      <c r="AN925" s="476"/>
      <c r="AO925" s="476"/>
      <c r="AP925" s="476"/>
      <c r="AQ925" s="476"/>
      <c r="AR925" s="476"/>
      <c r="AS925" s="476"/>
      <c r="AT925" s="476"/>
      <c r="AU925" s="476"/>
    </row>
    <row r="926" spans="1:47" s="398" customFormat="1" ht="13.15" customHeight="1" x14ac:dyDescent="0.2">
      <c r="A926" s="476"/>
      <c r="D926" s="467"/>
      <c r="F926" s="468"/>
      <c r="G926" s="468"/>
      <c r="H926" s="468"/>
      <c r="I926" s="468"/>
      <c r="J926" s="469"/>
      <c r="L926" s="476"/>
      <c r="M926" s="476"/>
      <c r="N926" s="476"/>
      <c r="O926" s="476"/>
      <c r="P926" s="476"/>
      <c r="Q926" s="476"/>
      <c r="R926" s="476"/>
      <c r="S926" s="476"/>
      <c r="T926" s="476"/>
      <c r="U926" s="476"/>
      <c r="V926" s="476"/>
      <c r="W926" s="476"/>
      <c r="X926" s="476"/>
      <c r="Y926" s="476"/>
      <c r="Z926" s="476"/>
      <c r="AA926" s="476"/>
      <c r="AB926" s="476"/>
      <c r="AC926" s="476"/>
      <c r="AD926" s="476"/>
      <c r="AE926" s="476"/>
      <c r="AF926" s="476"/>
      <c r="AG926" s="476"/>
      <c r="AH926" s="476"/>
      <c r="AI926" s="476"/>
      <c r="AJ926" s="476"/>
      <c r="AK926" s="476"/>
      <c r="AL926" s="476"/>
      <c r="AM926" s="476"/>
      <c r="AN926" s="476"/>
      <c r="AO926" s="476"/>
      <c r="AP926" s="476"/>
      <c r="AQ926" s="476"/>
      <c r="AR926" s="476"/>
      <c r="AS926" s="476"/>
      <c r="AT926" s="476"/>
      <c r="AU926" s="476"/>
    </row>
    <row r="927" spans="1:47" s="398" customFormat="1" ht="13.15" customHeight="1" x14ac:dyDescent="0.2">
      <c r="A927" s="476"/>
      <c r="D927" s="467"/>
      <c r="F927" s="468"/>
      <c r="G927" s="468"/>
      <c r="H927" s="468"/>
      <c r="I927" s="468"/>
      <c r="J927" s="469"/>
      <c r="L927" s="476"/>
      <c r="M927" s="476"/>
      <c r="N927" s="476"/>
      <c r="O927" s="476"/>
      <c r="P927" s="476"/>
      <c r="Q927" s="476"/>
      <c r="R927" s="476"/>
      <c r="S927" s="476"/>
      <c r="T927" s="476"/>
      <c r="U927" s="476"/>
      <c r="V927" s="476"/>
      <c r="W927" s="476"/>
      <c r="X927" s="476"/>
      <c r="Y927" s="476"/>
      <c r="Z927" s="476"/>
      <c r="AA927" s="476"/>
      <c r="AB927" s="476"/>
      <c r="AC927" s="476"/>
      <c r="AD927" s="476"/>
      <c r="AE927" s="476"/>
      <c r="AF927" s="476"/>
      <c r="AG927" s="476"/>
      <c r="AH927" s="476"/>
      <c r="AI927" s="476"/>
      <c r="AJ927" s="476"/>
      <c r="AK927" s="476"/>
      <c r="AL927" s="476"/>
      <c r="AM927" s="476"/>
      <c r="AN927" s="476"/>
      <c r="AO927" s="476"/>
      <c r="AP927" s="476"/>
      <c r="AQ927" s="476"/>
      <c r="AR927" s="476"/>
      <c r="AS927" s="476"/>
      <c r="AT927" s="476"/>
      <c r="AU927" s="476"/>
    </row>
    <row r="928" spans="1:47" s="398" customFormat="1" ht="13.15" customHeight="1" x14ac:dyDescent="0.2">
      <c r="A928" s="476"/>
      <c r="D928" s="467"/>
      <c r="F928" s="468"/>
      <c r="G928" s="468"/>
      <c r="H928" s="468"/>
      <c r="I928" s="468"/>
      <c r="J928" s="469"/>
      <c r="L928" s="476"/>
      <c r="M928" s="476"/>
      <c r="N928" s="476"/>
      <c r="O928" s="476"/>
      <c r="P928" s="476"/>
      <c r="Q928" s="476"/>
      <c r="R928" s="476"/>
      <c r="S928" s="476"/>
      <c r="T928" s="476"/>
      <c r="U928" s="476"/>
      <c r="V928" s="476"/>
      <c r="W928" s="476"/>
      <c r="X928" s="476"/>
      <c r="Y928" s="476"/>
      <c r="Z928" s="476"/>
      <c r="AA928" s="476"/>
      <c r="AB928" s="476"/>
      <c r="AC928" s="476"/>
      <c r="AD928" s="476"/>
      <c r="AE928" s="476"/>
      <c r="AF928" s="476"/>
      <c r="AG928" s="476"/>
      <c r="AH928" s="476"/>
      <c r="AI928" s="476"/>
      <c r="AJ928" s="476"/>
      <c r="AK928" s="476"/>
      <c r="AL928" s="476"/>
      <c r="AM928" s="476"/>
      <c r="AN928" s="476"/>
      <c r="AO928" s="476"/>
      <c r="AP928" s="476"/>
      <c r="AQ928" s="476"/>
      <c r="AR928" s="476"/>
      <c r="AS928" s="476"/>
      <c r="AT928" s="476"/>
      <c r="AU928" s="476"/>
    </row>
    <row r="929" spans="1:47" s="398" customFormat="1" ht="13.15" customHeight="1" x14ac:dyDescent="0.2">
      <c r="A929" s="476"/>
      <c r="D929" s="467"/>
      <c r="F929" s="468"/>
      <c r="G929" s="468"/>
      <c r="H929" s="468"/>
      <c r="I929" s="468"/>
      <c r="J929" s="469"/>
      <c r="L929" s="476"/>
      <c r="M929" s="476"/>
      <c r="N929" s="476"/>
      <c r="O929" s="476"/>
      <c r="P929" s="476"/>
      <c r="Q929" s="476"/>
      <c r="R929" s="476"/>
      <c r="S929" s="476"/>
      <c r="T929" s="476"/>
      <c r="U929" s="476"/>
      <c r="V929" s="476"/>
      <c r="W929" s="476"/>
      <c r="X929" s="476"/>
      <c r="Y929" s="476"/>
      <c r="Z929" s="476"/>
      <c r="AA929" s="476"/>
      <c r="AB929" s="476"/>
      <c r="AC929" s="476"/>
      <c r="AD929" s="476"/>
      <c r="AE929" s="476"/>
      <c r="AF929" s="476"/>
      <c r="AG929" s="476"/>
      <c r="AH929" s="476"/>
      <c r="AI929" s="476"/>
      <c r="AJ929" s="476"/>
      <c r="AK929" s="476"/>
      <c r="AL929" s="476"/>
      <c r="AM929" s="476"/>
      <c r="AN929" s="476"/>
      <c r="AO929" s="476"/>
      <c r="AP929" s="476"/>
      <c r="AQ929" s="476"/>
      <c r="AR929" s="476"/>
      <c r="AS929" s="476"/>
      <c r="AT929" s="476"/>
      <c r="AU929" s="476"/>
    </row>
    <row r="930" spans="1:47" s="398" customFormat="1" ht="13.15" customHeight="1" x14ac:dyDescent="0.2">
      <c r="A930" s="476"/>
      <c r="D930" s="467"/>
      <c r="F930" s="468"/>
      <c r="G930" s="468"/>
      <c r="H930" s="468"/>
      <c r="I930" s="468"/>
      <c r="J930" s="469"/>
      <c r="L930" s="476"/>
      <c r="M930" s="476"/>
      <c r="N930" s="476"/>
      <c r="O930" s="476"/>
      <c r="P930" s="476"/>
      <c r="Q930" s="476"/>
      <c r="R930" s="476"/>
      <c r="S930" s="476"/>
      <c r="T930" s="476"/>
      <c r="U930" s="476"/>
      <c r="V930" s="476"/>
      <c r="W930" s="476"/>
      <c r="X930" s="476"/>
      <c r="Y930" s="476"/>
      <c r="Z930" s="476"/>
      <c r="AA930" s="476"/>
      <c r="AB930" s="476"/>
      <c r="AC930" s="476"/>
      <c r="AD930" s="476"/>
      <c r="AE930" s="476"/>
      <c r="AF930" s="476"/>
      <c r="AG930" s="476"/>
      <c r="AH930" s="476"/>
      <c r="AI930" s="476"/>
      <c r="AJ930" s="476"/>
      <c r="AK930" s="476"/>
      <c r="AL930" s="476"/>
      <c r="AM930" s="476"/>
      <c r="AN930" s="476"/>
      <c r="AO930" s="476"/>
      <c r="AP930" s="476"/>
      <c r="AQ930" s="476"/>
      <c r="AR930" s="476"/>
      <c r="AS930" s="476"/>
      <c r="AT930" s="476"/>
      <c r="AU930" s="476"/>
    </row>
    <row r="931" spans="1:47" s="398" customFormat="1" ht="13.15" customHeight="1" x14ac:dyDescent="0.2">
      <c r="A931" s="476"/>
      <c r="D931" s="467"/>
      <c r="F931" s="468"/>
      <c r="G931" s="468"/>
      <c r="H931" s="468"/>
      <c r="I931" s="468"/>
      <c r="J931" s="469"/>
      <c r="L931" s="476"/>
      <c r="M931" s="476"/>
      <c r="N931" s="476"/>
      <c r="O931" s="476"/>
      <c r="P931" s="476"/>
      <c r="Q931" s="476"/>
      <c r="R931" s="476"/>
      <c r="S931" s="476"/>
      <c r="T931" s="476"/>
      <c r="U931" s="476"/>
      <c r="V931" s="476"/>
      <c r="W931" s="476"/>
      <c r="X931" s="476"/>
      <c r="Y931" s="476"/>
      <c r="Z931" s="476"/>
      <c r="AA931" s="476"/>
      <c r="AB931" s="476"/>
      <c r="AC931" s="476"/>
      <c r="AD931" s="476"/>
      <c r="AE931" s="476"/>
      <c r="AF931" s="476"/>
      <c r="AG931" s="476"/>
      <c r="AH931" s="476"/>
      <c r="AI931" s="476"/>
      <c r="AJ931" s="476"/>
      <c r="AK931" s="476"/>
      <c r="AL931" s="476"/>
      <c r="AM931" s="476"/>
      <c r="AN931" s="476"/>
      <c r="AO931" s="476"/>
      <c r="AP931" s="476"/>
      <c r="AQ931" s="476"/>
      <c r="AR931" s="476"/>
      <c r="AS931" s="476"/>
      <c r="AT931" s="476"/>
      <c r="AU931" s="476"/>
    </row>
    <row r="932" spans="1:47" s="398" customFormat="1" ht="13.15" customHeight="1" x14ac:dyDescent="0.2">
      <c r="A932" s="476"/>
      <c r="D932" s="467"/>
      <c r="F932" s="468"/>
      <c r="G932" s="468"/>
      <c r="H932" s="468"/>
      <c r="I932" s="468"/>
      <c r="J932" s="469"/>
      <c r="L932" s="476"/>
      <c r="M932" s="476"/>
      <c r="N932" s="476"/>
      <c r="O932" s="476"/>
      <c r="P932" s="476"/>
      <c r="Q932" s="476"/>
      <c r="R932" s="476"/>
      <c r="S932" s="476"/>
      <c r="T932" s="476"/>
      <c r="U932" s="476"/>
      <c r="V932" s="476"/>
      <c r="W932" s="476"/>
      <c r="X932" s="476"/>
      <c r="Y932" s="476"/>
      <c r="Z932" s="476"/>
      <c r="AA932" s="476"/>
      <c r="AB932" s="476"/>
      <c r="AC932" s="476"/>
      <c r="AD932" s="476"/>
      <c r="AE932" s="476"/>
      <c r="AF932" s="476"/>
      <c r="AG932" s="476"/>
      <c r="AH932" s="476"/>
      <c r="AI932" s="476"/>
      <c r="AJ932" s="476"/>
      <c r="AK932" s="476"/>
      <c r="AL932" s="476"/>
      <c r="AM932" s="476"/>
      <c r="AN932" s="476"/>
      <c r="AO932" s="476"/>
      <c r="AP932" s="476"/>
      <c r="AQ932" s="476"/>
      <c r="AR932" s="476"/>
      <c r="AS932" s="476"/>
      <c r="AT932" s="476"/>
      <c r="AU932" s="476"/>
    </row>
    <row r="933" spans="1:47" s="398" customFormat="1" ht="13.15" customHeight="1" x14ac:dyDescent="0.2">
      <c r="A933" s="476"/>
      <c r="D933" s="467"/>
      <c r="F933" s="468"/>
      <c r="G933" s="468"/>
      <c r="H933" s="468"/>
      <c r="I933" s="468"/>
      <c r="J933" s="469"/>
      <c r="L933" s="476"/>
      <c r="M933" s="476"/>
      <c r="N933" s="476"/>
      <c r="O933" s="476"/>
      <c r="P933" s="476"/>
      <c r="Q933" s="476"/>
      <c r="R933" s="476"/>
      <c r="S933" s="476"/>
      <c r="T933" s="476"/>
      <c r="U933" s="476"/>
      <c r="V933" s="476"/>
      <c r="W933" s="476"/>
      <c r="X933" s="476"/>
      <c r="Y933" s="476"/>
      <c r="Z933" s="476"/>
      <c r="AA933" s="476"/>
      <c r="AB933" s="476"/>
      <c r="AC933" s="476"/>
      <c r="AD933" s="476"/>
      <c r="AE933" s="476"/>
      <c r="AF933" s="476"/>
      <c r="AG933" s="476"/>
      <c r="AH933" s="476"/>
      <c r="AI933" s="476"/>
      <c r="AJ933" s="476"/>
      <c r="AK933" s="476"/>
      <c r="AL933" s="476"/>
      <c r="AM933" s="476"/>
      <c r="AN933" s="476"/>
      <c r="AO933" s="476"/>
      <c r="AP933" s="476"/>
      <c r="AQ933" s="476"/>
      <c r="AR933" s="476"/>
      <c r="AS933" s="476"/>
      <c r="AT933" s="476"/>
      <c r="AU933" s="476"/>
    </row>
    <row r="934" spans="1:47" s="398" customFormat="1" ht="13.15" customHeight="1" x14ac:dyDescent="0.2">
      <c r="A934" s="476"/>
      <c r="D934" s="467"/>
      <c r="F934" s="468"/>
      <c r="G934" s="468"/>
      <c r="H934" s="468"/>
      <c r="I934" s="468"/>
      <c r="J934" s="469"/>
      <c r="L934" s="476"/>
      <c r="M934" s="476"/>
      <c r="N934" s="476"/>
      <c r="O934" s="476"/>
      <c r="P934" s="476"/>
      <c r="Q934" s="476"/>
      <c r="R934" s="476"/>
      <c r="S934" s="476"/>
      <c r="T934" s="476"/>
      <c r="U934" s="476"/>
      <c r="V934" s="476"/>
      <c r="W934" s="476"/>
      <c r="X934" s="476"/>
      <c r="Y934" s="476"/>
      <c r="Z934" s="476"/>
      <c r="AA934" s="476"/>
      <c r="AB934" s="476"/>
      <c r="AC934" s="476"/>
      <c r="AD934" s="476"/>
      <c r="AE934" s="476"/>
      <c r="AF934" s="476"/>
      <c r="AG934" s="476"/>
      <c r="AH934" s="476"/>
      <c r="AI934" s="476"/>
      <c r="AJ934" s="476"/>
      <c r="AK934" s="476"/>
      <c r="AL934" s="476"/>
      <c r="AM934" s="476"/>
      <c r="AN934" s="476"/>
      <c r="AO934" s="476"/>
      <c r="AP934" s="476"/>
      <c r="AQ934" s="476"/>
      <c r="AR934" s="476"/>
      <c r="AS934" s="476"/>
      <c r="AT934" s="476"/>
      <c r="AU934" s="476"/>
    </row>
    <row r="935" spans="1:47" s="398" customFormat="1" ht="13.15" customHeight="1" x14ac:dyDescent="0.2">
      <c r="A935" s="476"/>
      <c r="D935" s="467"/>
      <c r="F935" s="468"/>
      <c r="G935" s="468"/>
      <c r="H935" s="468"/>
      <c r="I935" s="468"/>
      <c r="J935" s="469"/>
      <c r="L935" s="476"/>
      <c r="M935" s="476"/>
      <c r="N935" s="476"/>
      <c r="O935" s="476"/>
      <c r="P935" s="476"/>
      <c r="Q935" s="476"/>
      <c r="R935" s="476"/>
      <c r="S935" s="476"/>
      <c r="T935" s="476"/>
      <c r="U935" s="476"/>
      <c r="V935" s="476"/>
      <c r="W935" s="476"/>
      <c r="X935" s="476"/>
      <c r="Y935" s="476"/>
      <c r="Z935" s="476"/>
      <c r="AA935" s="476"/>
      <c r="AB935" s="476"/>
      <c r="AC935" s="476"/>
      <c r="AD935" s="476"/>
      <c r="AE935" s="476"/>
      <c r="AF935" s="476"/>
      <c r="AG935" s="476"/>
      <c r="AH935" s="476"/>
      <c r="AI935" s="476"/>
      <c r="AJ935" s="476"/>
      <c r="AK935" s="476"/>
      <c r="AL935" s="476"/>
      <c r="AM935" s="476"/>
      <c r="AN935" s="476"/>
      <c r="AO935" s="476"/>
      <c r="AP935" s="476"/>
      <c r="AQ935" s="476"/>
      <c r="AR935" s="476"/>
      <c r="AS935" s="476"/>
      <c r="AT935" s="476"/>
      <c r="AU935" s="476"/>
    </row>
    <row r="936" spans="1:47" s="398" customFormat="1" ht="13.15" customHeight="1" x14ac:dyDescent="0.2">
      <c r="A936" s="476"/>
      <c r="D936" s="467"/>
      <c r="F936" s="468"/>
      <c r="G936" s="468"/>
      <c r="H936" s="468"/>
      <c r="I936" s="468"/>
      <c r="J936" s="469"/>
      <c r="L936" s="476"/>
      <c r="M936" s="476"/>
      <c r="N936" s="476"/>
      <c r="O936" s="476"/>
      <c r="P936" s="476"/>
      <c r="Q936" s="476"/>
      <c r="R936" s="476"/>
      <c r="S936" s="476"/>
      <c r="T936" s="476"/>
      <c r="U936" s="476"/>
      <c r="V936" s="476"/>
      <c r="W936" s="476"/>
      <c r="X936" s="476"/>
      <c r="Y936" s="476"/>
      <c r="Z936" s="476"/>
      <c r="AA936" s="476"/>
      <c r="AB936" s="476"/>
      <c r="AC936" s="476"/>
      <c r="AD936" s="476"/>
      <c r="AE936" s="476"/>
      <c r="AF936" s="476"/>
      <c r="AG936" s="476"/>
      <c r="AH936" s="476"/>
      <c r="AI936" s="476"/>
      <c r="AJ936" s="476"/>
      <c r="AK936" s="476"/>
      <c r="AL936" s="476"/>
      <c r="AM936" s="476"/>
      <c r="AN936" s="476"/>
      <c r="AO936" s="476"/>
      <c r="AP936" s="476"/>
      <c r="AQ936" s="476"/>
      <c r="AR936" s="476"/>
      <c r="AS936" s="476"/>
      <c r="AT936" s="476"/>
      <c r="AU936" s="476"/>
    </row>
    <row r="937" spans="1:47" s="398" customFormat="1" ht="13.15" customHeight="1" x14ac:dyDescent="0.2">
      <c r="A937" s="476"/>
      <c r="D937" s="467"/>
      <c r="F937" s="468"/>
      <c r="G937" s="468"/>
      <c r="H937" s="468"/>
      <c r="I937" s="468"/>
      <c r="J937" s="469"/>
      <c r="L937" s="476"/>
      <c r="M937" s="476"/>
      <c r="N937" s="476"/>
      <c r="O937" s="476"/>
      <c r="P937" s="476"/>
      <c r="Q937" s="476"/>
      <c r="R937" s="476"/>
      <c r="S937" s="476"/>
      <c r="T937" s="476"/>
      <c r="U937" s="476"/>
      <c r="V937" s="476"/>
      <c r="W937" s="476"/>
      <c r="X937" s="476"/>
      <c r="Y937" s="476"/>
      <c r="Z937" s="476"/>
      <c r="AA937" s="476"/>
      <c r="AB937" s="476"/>
      <c r="AC937" s="476"/>
      <c r="AD937" s="476"/>
      <c r="AE937" s="476"/>
      <c r="AF937" s="476"/>
      <c r="AG937" s="476"/>
      <c r="AH937" s="476"/>
      <c r="AI937" s="476"/>
      <c r="AJ937" s="476"/>
      <c r="AK937" s="476"/>
      <c r="AL937" s="476"/>
      <c r="AM937" s="476"/>
      <c r="AN937" s="476"/>
      <c r="AO937" s="476"/>
      <c r="AP937" s="476"/>
      <c r="AQ937" s="476"/>
      <c r="AR937" s="476"/>
      <c r="AS937" s="476"/>
      <c r="AT937" s="476"/>
      <c r="AU937" s="476"/>
    </row>
    <row r="938" spans="1:47" s="398" customFormat="1" ht="13.15" customHeight="1" x14ac:dyDescent="0.2">
      <c r="A938" s="476"/>
      <c r="D938" s="467"/>
      <c r="F938" s="468"/>
      <c r="G938" s="468"/>
      <c r="H938" s="468"/>
      <c r="I938" s="468"/>
      <c r="J938" s="469"/>
      <c r="L938" s="476"/>
      <c r="M938" s="476"/>
      <c r="N938" s="476"/>
      <c r="O938" s="476"/>
      <c r="P938" s="476"/>
      <c r="Q938" s="476"/>
      <c r="R938" s="476"/>
      <c r="S938" s="476"/>
      <c r="T938" s="476"/>
      <c r="U938" s="476"/>
      <c r="V938" s="476"/>
      <c r="W938" s="476"/>
      <c r="X938" s="476"/>
      <c r="Y938" s="476"/>
      <c r="Z938" s="476"/>
      <c r="AA938" s="476"/>
      <c r="AB938" s="476"/>
      <c r="AC938" s="476"/>
      <c r="AD938" s="476"/>
      <c r="AE938" s="476"/>
      <c r="AF938" s="476"/>
      <c r="AG938" s="476"/>
      <c r="AH938" s="476"/>
      <c r="AI938" s="476"/>
      <c r="AJ938" s="476"/>
      <c r="AK938" s="476"/>
      <c r="AL938" s="476"/>
      <c r="AM938" s="476"/>
      <c r="AN938" s="476"/>
      <c r="AO938" s="476"/>
      <c r="AP938" s="476"/>
      <c r="AQ938" s="476"/>
      <c r="AR938" s="476"/>
      <c r="AS938" s="476"/>
      <c r="AT938" s="476"/>
      <c r="AU938" s="476"/>
    </row>
    <row r="939" spans="1:47" s="398" customFormat="1" ht="13.15" customHeight="1" x14ac:dyDescent="0.2">
      <c r="A939" s="476"/>
      <c r="D939" s="467"/>
      <c r="F939" s="468"/>
      <c r="G939" s="468"/>
      <c r="H939" s="468"/>
      <c r="I939" s="468"/>
      <c r="J939" s="469"/>
      <c r="L939" s="476"/>
      <c r="M939" s="476"/>
      <c r="N939" s="476"/>
      <c r="O939" s="476"/>
      <c r="P939" s="476"/>
      <c r="Q939" s="476"/>
      <c r="R939" s="476"/>
      <c r="S939" s="476"/>
      <c r="T939" s="476"/>
      <c r="U939" s="476"/>
      <c r="V939" s="476"/>
      <c r="W939" s="476"/>
      <c r="X939" s="476"/>
      <c r="Y939" s="476"/>
      <c r="Z939" s="476"/>
      <c r="AA939" s="476"/>
      <c r="AB939" s="476"/>
      <c r="AC939" s="476"/>
      <c r="AD939" s="476"/>
      <c r="AE939" s="476"/>
      <c r="AF939" s="476"/>
      <c r="AG939" s="476"/>
      <c r="AH939" s="476"/>
      <c r="AI939" s="476"/>
      <c r="AJ939" s="476"/>
      <c r="AK939" s="476"/>
      <c r="AL939" s="476"/>
      <c r="AM939" s="476"/>
      <c r="AN939" s="476"/>
      <c r="AO939" s="476"/>
      <c r="AP939" s="476"/>
      <c r="AQ939" s="476"/>
      <c r="AR939" s="476"/>
      <c r="AS939" s="476"/>
      <c r="AT939" s="476"/>
      <c r="AU939" s="476"/>
    </row>
    <row r="940" spans="1:47" s="398" customFormat="1" ht="13.15" customHeight="1" x14ac:dyDescent="0.2">
      <c r="A940" s="476"/>
      <c r="D940" s="467"/>
      <c r="F940" s="468"/>
      <c r="G940" s="468"/>
      <c r="H940" s="468"/>
      <c r="I940" s="468"/>
      <c r="J940" s="469"/>
      <c r="L940" s="476"/>
      <c r="M940" s="476"/>
      <c r="N940" s="476"/>
      <c r="O940" s="476"/>
      <c r="P940" s="476"/>
      <c r="Q940" s="476"/>
      <c r="R940" s="476"/>
      <c r="S940" s="476"/>
      <c r="T940" s="476"/>
      <c r="U940" s="476"/>
      <c r="V940" s="476"/>
      <c r="W940" s="476"/>
      <c r="X940" s="476"/>
      <c r="Y940" s="476"/>
      <c r="Z940" s="476"/>
      <c r="AA940" s="476"/>
      <c r="AB940" s="476"/>
      <c r="AC940" s="476"/>
      <c r="AD940" s="476"/>
      <c r="AE940" s="476"/>
      <c r="AF940" s="476"/>
      <c r="AG940" s="476"/>
      <c r="AH940" s="476"/>
      <c r="AI940" s="476"/>
      <c r="AJ940" s="476"/>
      <c r="AK940" s="476"/>
      <c r="AL940" s="476"/>
      <c r="AM940" s="476"/>
      <c r="AN940" s="476"/>
      <c r="AO940" s="476"/>
      <c r="AP940" s="476"/>
      <c r="AQ940" s="476"/>
      <c r="AR940" s="476"/>
      <c r="AS940" s="476"/>
      <c r="AT940" s="476"/>
      <c r="AU940" s="476"/>
    </row>
    <row r="941" spans="1:47" s="398" customFormat="1" ht="13.15" customHeight="1" x14ac:dyDescent="0.2">
      <c r="A941" s="476"/>
      <c r="D941" s="467"/>
      <c r="F941" s="468"/>
      <c r="G941" s="468"/>
      <c r="H941" s="468"/>
      <c r="I941" s="468"/>
      <c r="J941" s="469"/>
      <c r="L941" s="476"/>
      <c r="M941" s="476"/>
      <c r="N941" s="476"/>
      <c r="O941" s="476"/>
      <c r="P941" s="476"/>
      <c r="Q941" s="476"/>
      <c r="R941" s="476"/>
      <c r="S941" s="476"/>
      <c r="T941" s="476"/>
      <c r="U941" s="476"/>
      <c r="V941" s="476"/>
      <c r="W941" s="476"/>
      <c r="X941" s="476"/>
      <c r="Y941" s="476"/>
      <c r="Z941" s="476"/>
      <c r="AA941" s="476"/>
      <c r="AB941" s="476"/>
      <c r="AC941" s="476"/>
      <c r="AD941" s="476"/>
      <c r="AE941" s="476"/>
      <c r="AF941" s="476"/>
      <c r="AG941" s="476"/>
      <c r="AH941" s="476"/>
      <c r="AI941" s="476"/>
      <c r="AJ941" s="476"/>
      <c r="AK941" s="476"/>
      <c r="AL941" s="476"/>
      <c r="AM941" s="476"/>
      <c r="AN941" s="476"/>
      <c r="AO941" s="476"/>
      <c r="AP941" s="476"/>
      <c r="AQ941" s="476"/>
      <c r="AR941" s="476"/>
      <c r="AS941" s="476"/>
      <c r="AT941" s="476"/>
      <c r="AU941" s="476"/>
    </row>
    <row r="942" spans="1:47" s="398" customFormat="1" ht="13.15" customHeight="1" x14ac:dyDescent="0.2">
      <c r="A942" s="476"/>
      <c r="D942" s="467"/>
      <c r="F942" s="468"/>
      <c r="G942" s="468"/>
      <c r="H942" s="468"/>
      <c r="I942" s="468"/>
      <c r="J942" s="469"/>
      <c r="L942" s="476"/>
      <c r="M942" s="476"/>
      <c r="N942" s="476"/>
      <c r="O942" s="476"/>
      <c r="P942" s="476"/>
      <c r="Q942" s="476"/>
      <c r="R942" s="476"/>
      <c r="S942" s="476"/>
      <c r="T942" s="476"/>
      <c r="U942" s="476"/>
      <c r="V942" s="476"/>
      <c r="W942" s="476"/>
      <c r="X942" s="476"/>
      <c r="Y942" s="476"/>
      <c r="Z942" s="476"/>
      <c r="AA942" s="476"/>
      <c r="AB942" s="476"/>
      <c r="AC942" s="476"/>
      <c r="AD942" s="476"/>
      <c r="AE942" s="476"/>
      <c r="AF942" s="476"/>
      <c r="AG942" s="476"/>
      <c r="AH942" s="476"/>
      <c r="AI942" s="476"/>
      <c r="AJ942" s="476"/>
      <c r="AK942" s="476"/>
      <c r="AL942" s="476"/>
      <c r="AM942" s="476"/>
      <c r="AN942" s="476"/>
      <c r="AO942" s="476"/>
      <c r="AP942" s="476"/>
      <c r="AQ942" s="476"/>
      <c r="AR942" s="476"/>
      <c r="AS942" s="476"/>
      <c r="AT942" s="476"/>
      <c r="AU942" s="476"/>
    </row>
    <row r="943" spans="1:47" s="398" customFormat="1" ht="13.15" customHeight="1" x14ac:dyDescent="0.2">
      <c r="A943" s="476"/>
      <c r="D943" s="467"/>
      <c r="F943" s="468"/>
      <c r="G943" s="468"/>
      <c r="H943" s="468"/>
      <c r="I943" s="468"/>
      <c r="J943" s="469"/>
      <c r="L943" s="476"/>
      <c r="M943" s="476"/>
      <c r="N943" s="476"/>
      <c r="O943" s="476"/>
      <c r="P943" s="476"/>
      <c r="Q943" s="476"/>
      <c r="R943" s="476"/>
      <c r="S943" s="476"/>
      <c r="T943" s="476"/>
      <c r="U943" s="476"/>
      <c r="V943" s="476"/>
      <c r="W943" s="476"/>
      <c r="X943" s="476"/>
      <c r="Y943" s="476"/>
      <c r="Z943" s="476"/>
      <c r="AA943" s="476"/>
      <c r="AB943" s="476"/>
      <c r="AC943" s="476"/>
      <c r="AD943" s="476"/>
      <c r="AE943" s="476"/>
      <c r="AF943" s="476"/>
      <c r="AG943" s="476"/>
      <c r="AH943" s="476"/>
      <c r="AI943" s="476"/>
      <c r="AJ943" s="476"/>
      <c r="AK943" s="476"/>
      <c r="AL943" s="476"/>
      <c r="AM943" s="476"/>
      <c r="AN943" s="476"/>
      <c r="AO943" s="476"/>
      <c r="AP943" s="476"/>
      <c r="AQ943" s="476"/>
      <c r="AR943" s="476"/>
      <c r="AS943" s="476"/>
      <c r="AT943" s="476"/>
      <c r="AU943" s="476"/>
    </row>
    <row r="944" spans="1:47" s="398" customFormat="1" ht="13.15" customHeight="1" x14ac:dyDescent="0.2">
      <c r="A944" s="476"/>
      <c r="D944" s="467"/>
      <c r="F944" s="468"/>
      <c r="G944" s="468"/>
      <c r="H944" s="468"/>
      <c r="I944" s="468"/>
      <c r="J944" s="469"/>
      <c r="L944" s="476"/>
      <c r="M944" s="476"/>
      <c r="N944" s="476"/>
      <c r="O944" s="476"/>
      <c r="P944" s="476"/>
      <c r="Q944" s="476"/>
      <c r="R944" s="476"/>
      <c r="S944" s="476"/>
      <c r="T944" s="476"/>
      <c r="U944" s="476"/>
      <c r="V944" s="476"/>
      <c r="W944" s="476"/>
      <c r="X944" s="476"/>
      <c r="Y944" s="476"/>
      <c r="Z944" s="476"/>
      <c r="AA944" s="476"/>
      <c r="AB944" s="476"/>
      <c r="AC944" s="476"/>
      <c r="AD944" s="476"/>
      <c r="AE944" s="476"/>
      <c r="AF944" s="476"/>
      <c r="AG944" s="476"/>
      <c r="AH944" s="476"/>
      <c r="AI944" s="476"/>
      <c r="AJ944" s="476"/>
      <c r="AK944" s="476"/>
      <c r="AL944" s="476"/>
      <c r="AM944" s="476"/>
      <c r="AN944" s="476"/>
      <c r="AO944" s="476"/>
      <c r="AP944" s="476"/>
      <c r="AQ944" s="476"/>
      <c r="AR944" s="476"/>
      <c r="AS944" s="476"/>
      <c r="AT944" s="476"/>
      <c r="AU944" s="476"/>
    </row>
    <row r="945" spans="1:47" s="398" customFormat="1" ht="13.15" customHeight="1" x14ac:dyDescent="0.2">
      <c r="A945" s="476"/>
      <c r="D945" s="467"/>
      <c r="F945" s="468"/>
      <c r="G945" s="468"/>
      <c r="H945" s="468"/>
      <c r="I945" s="468"/>
      <c r="J945" s="469"/>
      <c r="L945" s="476"/>
      <c r="M945" s="476"/>
      <c r="N945" s="476"/>
      <c r="O945" s="476"/>
      <c r="P945" s="476"/>
      <c r="Q945" s="476"/>
      <c r="R945" s="476"/>
      <c r="S945" s="476"/>
      <c r="T945" s="476"/>
      <c r="U945" s="476"/>
      <c r="V945" s="476"/>
      <c r="W945" s="476"/>
      <c r="X945" s="476"/>
      <c r="Y945" s="476"/>
      <c r="Z945" s="476"/>
      <c r="AA945" s="476"/>
      <c r="AB945" s="476"/>
      <c r="AC945" s="476"/>
      <c r="AD945" s="476"/>
      <c r="AE945" s="476"/>
      <c r="AF945" s="476"/>
      <c r="AG945" s="476"/>
      <c r="AH945" s="476"/>
      <c r="AI945" s="476"/>
      <c r="AJ945" s="476"/>
      <c r="AK945" s="476"/>
      <c r="AL945" s="476"/>
      <c r="AM945" s="476"/>
      <c r="AN945" s="476"/>
      <c r="AO945" s="476"/>
      <c r="AP945" s="476"/>
      <c r="AQ945" s="476"/>
      <c r="AR945" s="476"/>
      <c r="AS945" s="476"/>
      <c r="AT945" s="476"/>
      <c r="AU945" s="476"/>
    </row>
    <row r="946" spans="1:47" s="398" customFormat="1" ht="13.15" customHeight="1" x14ac:dyDescent="0.2">
      <c r="A946" s="476"/>
      <c r="D946" s="467"/>
      <c r="F946" s="468"/>
      <c r="G946" s="468"/>
      <c r="H946" s="468"/>
      <c r="I946" s="468"/>
      <c r="J946" s="469"/>
      <c r="L946" s="476"/>
      <c r="M946" s="476"/>
      <c r="N946" s="476"/>
      <c r="O946" s="476"/>
      <c r="P946" s="476"/>
      <c r="Q946" s="476"/>
      <c r="R946" s="476"/>
      <c r="S946" s="476"/>
      <c r="T946" s="476"/>
      <c r="U946" s="476"/>
      <c r="V946" s="476"/>
      <c r="W946" s="476"/>
      <c r="X946" s="476"/>
      <c r="Y946" s="476"/>
      <c r="Z946" s="476"/>
      <c r="AA946" s="476"/>
      <c r="AB946" s="476"/>
      <c r="AC946" s="476"/>
      <c r="AD946" s="476"/>
      <c r="AE946" s="476"/>
      <c r="AF946" s="476"/>
      <c r="AG946" s="476"/>
      <c r="AH946" s="476"/>
      <c r="AI946" s="476"/>
      <c r="AJ946" s="476"/>
      <c r="AK946" s="476"/>
      <c r="AL946" s="476"/>
      <c r="AM946" s="476"/>
      <c r="AN946" s="476"/>
      <c r="AO946" s="476"/>
      <c r="AP946" s="476"/>
      <c r="AQ946" s="476"/>
      <c r="AR946" s="476"/>
      <c r="AS946" s="476"/>
      <c r="AT946" s="476"/>
      <c r="AU946" s="476"/>
    </row>
    <row r="947" spans="1:47" s="398" customFormat="1" ht="13.15" customHeight="1" x14ac:dyDescent="0.2">
      <c r="A947" s="476"/>
      <c r="D947" s="467"/>
      <c r="F947" s="468"/>
      <c r="G947" s="468"/>
      <c r="H947" s="468"/>
      <c r="I947" s="468"/>
      <c r="J947" s="469"/>
      <c r="L947" s="476"/>
      <c r="M947" s="476"/>
      <c r="N947" s="476"/>
      <c r="O947" s="476"/>
      <c r="P947" s="476"/>
      <c r="Q947" s="476"/>
      <c r="R947" s="476"/>
      <c r="S947" s="476"/>
      <c r="T947" s="476"/>
      <c r="U947" s="476"/>
      <c r="V947" s="476"/>
      <c r="W947" s="476"/>
      <c r="X947" s="476"/>
      <c r="Y947" s="476"/>
      <c r="Z947" s="476"/>
      <c r="AA947" s="476"/>
      <c r="AB947" s="476"/>
      <c r="AC947" s="476"/>
      <c r="AD947" s="476"/>
      <c r="AE947" s="476"/>
      <c r="AF947" s="476"/>
      <c r="AG947" s="476"/>
      <c r="AH947" s="476"/>
      <c r="AI947" s="476"/>
      <c r="AJ947" s="476"/>
      <c r="AK947" s="476"/>
      <c r="AL947" s="476"/>
      <c r="AM947" s="476"/>
      <c r="AN947" s="476"/>
      <c r="AO947" s="476"/>
      <c r="AP947" s="476"/>
      <c r="AQ947" s="476"/>
      <c r="AR947" s="476"/>
      <c r="AS947" s="476"/>
      <c r="AT947" s="476"/>
      <c r="AU947" s="476"/>
    </row>
    <row r="948" spans="1:47" s="398" customFormat="1" ht="13.15" customHeight="1" x14ac:dyDescent="0.2">
      <c r="A948" s="476"/>
      <c r="D948" s="467"/>
      <c r="F948" s="468"/>
      <c r="G948" s="468"/>
      <c r="H948" s="468"/>
      <c r="I948" s="468"/>
      <c r="J948" s="469"/>
      <c r="L948" s="476"/>
      <c r="M948" s="476"/>
      <c r="N948" s="476"/>
      <c r="O948" s="476"/>
      <c r="P948" s="476"/>
      <c r="Q948" s="476"/>
      <c r="R948" s="476"/>
      <c r="S948" s="476"/>
      <c r="T948" s="476"/>
      <c r="U948" s="476"/>
      <c r="V948" s="476"/>
      <c r="W948" s="476"/>
      <c r="X948" s="476"/>
      <c r="Y948" s="476"/>
      <c r="Z948" s="476"/>
      <c r="AA948" s="476"/>
      <c r="AB948" s="476"/>
      <c r="AC948" s="476"/>
      <c r="AD948" s="476"/>
      <c r="AE948" s="476"/>
      <c r="AF948" s="476"/>
      <c r="AG948" s="476"/>
      <c r="AH948" s="476"/>
      <c r="AI948" s="476"/>
      <c r="AJ948" s="476"/>
      <c r="AK948" s="476"/>
      <c r="AL948" s="476"/>
      <c r="AM948" s="476"/>
      <c r="AN948" s="476"/>
      <c r="AO948" s="476"/>
      <c r="AP948" s="476"/>
      <c r="AQ948" s="476"/>
      <c r="AR948" s="476"/>
      <c r="AS948" s="476"/>
      <c r="AT948" s="476"/>
      <c r="AU948" s="476"/>
    </row>
    <row r="949" spans="1:47" s="398" customFormat="1" ht="13.15" customHeight="1" x14ac:dyDescent="0.2">
      <c r="A949" s="476"/>
      <c r="D949" s="467"/>
      <c r="F949" s="468"/>
      <c r="G949" s="468"/>
      <c r="H949" s="468"/>
      <c r="I949" s="468"/>
      <c r="J949" s="469"/>
      <c r="L949" s="476"/>
      <c r="M949" s="476"/>
      <c r="N949" s="476"/>
      <c r="O949" s="476"/>
      <c r="P949" s="476"/>
      <c r="Q949" s="476"/>
      <c r="R949" s="476"/>
      <c r="S949" s="476"/>
      <c r="T949" s="476"/>
      <c r="U949" s="476"/>
      <c r="V949" s="476"/>
      <c r="W949" s="476"/>
      <c r="X949" s="476"/>
      <c r="Y949" s="476"/>
      <c r="Z949" s="476"/>
      <c r="AA949" s="476"/>
      <c r="AB949" s="476"/>
      <c r="AC949" s="476"/>
      <c r="AD949" s="476"/>
      <c r="AE949" s="476"/>
      <c r="AF949" s="476"/>
      <c r="AG949" s="476"/>
      <c r="AH949" s="476"/>
      <c r="AI949" s="476"/>
      <c r="AJ949" s="476"/>
      <c r="AK949" s="476"/>
      <c r="AL949" s="476"/>
      <c r="AM949" s="476"/>
      <c r="AN949" s="476"/>
      <c r="AO949" s="476"/>
      <c r="AP949" s="476"/>
      <c r="AQ949" s="476"/>
      <c r="AR949" s="476"/>
      <c r="AS949" s="476"/>
      <c r="AT949" s="476"/>
      <c r="AU949" s="476"/>
    </row>
    <row r="950" spans="1:47" s="398" customFormat="1" ht="13.15" customHeight="1" x14ac:dyDescent="0.2">
      <c r="A950" s="476"/>
      <c r="D950" s="467"/>
      <c r="F950" s="468"/>
      <c r="G950" s="468"/>
      <c r="H950" s="468"/>
      <c r="I950" s="468"/>
      <c r="J950" s="469"/>
      <c r="L950" s="476"/>
      <c r="M950" s="476"/>
      <c r="N950" s="476"/>
      <c r="O950" s="476"/>
      <c r="P950" s="476"/>
      <c r="Q950" s="476"/>
      <c r="R950" s="476"/>
      <c r="S950" s="476"/>
      <c r="T950" s="476"/>
      <c r="U950" s="476"/>
      <c r="V950" s="476"/>
      <c r="W950" s="476"/>
      <c r="X950" s="476"/>
      <c r="Y950" s="476"/>
      <c r="Z950" s="476"/>
      <c r="AA950" s="476"/>
      <c r="AB950" s="476"/>
      <c r="AC950" s="476"/>
      <c r="AD950" s="476"/>
      <c r="AE950" s="476"/>
      <c r="AF950" s="476"/>
      <c r="AG950" s="476"/>
      <c r="AH950" s="476"/>
      <c r="AI950" s="476"/>
      <c r="AJ950" s="476"/>
      <c r="AK950" s="476"/>
      <c r="AL950" s="476"/>
      <c r="AM950" s="476"/>
      <c r="AN950" s="476"/>
      <c r="AO950" s="476"/>
      <c r="AP950" s="476"/>
      <c r="AQ950" s="476"/>
      <c r="AR950" s="476"/>
      <c r="AS950" s="476"/>
      <c r="AT950" s="476"/>
      <c r="AU950" s="476"/>
    </row>
    <row r="951" spans="1:47" s="398" customFormat="1" ht="13.15" customHeight="1" x14ac:dyDescent="0.2">
      <c r="A951" s="476"/>
      <c r="D951" s="467"/>
      <c r="F951" s="468"/>
      <c r="G951" s="468"/>
      <c r="H951" s="468"/>
      <c r="I951" s="468"/>
      <c r="J951" s="469"/>
      <c r="L951" s="476"/>
      <c r="M951" s="476"/>
      <c r="N951" s="476"/>
      <c r="O951" s="476"/>
      <c r="P951" s="476"/>
      <c r="Q951" s="476"/>
      <c r="R951" s="476"/>
      <c r="S951" s="476"/>
      <c r="T951" s="476"/>
      <c r="U951" s="476"/>
      <c r="V951" s="476"/>
      <c r="W951" s="476"/>
      <c r="X951" s="476"/>
      <c r="Y951" s="476"/>
      <c r="Z951" s="476"/>
      <c r="AA951" s="476"/>
      <c r="AB951" s="476"/>
      <c r="AC951" s="476"/>
      <c r="AD951" s="476"/>
      <c r="AE951" s="476"/>
      <c r="AF951" s="476"/>
      <c r="AG951" s="476"/>
      <c r="AH951" s="476"/>
      <c r="AI951" s="476"/>
      <c r="AJ951" s="476"/>
      <c r="AK951" s="476"/>
      <c r="AL951" s="476"/>
      <c r="AM951" s="476"/>
      <c r="AN951" s="476"/>
      <c r="AO951" s="476"/>
      <c r="AP951" s="476"/>
      <c r="AQ951" s="476"/>
      <c r="AR951" s="476"/>
      <c r="AS951" s="476"/>
      <c r="AT951" s="476"/>
      <c r="AU951" s="476"/>
    </row>
    <row r="952" spans="1:47" s="398" customFormat="1" ht="13.15" customHeight="1" x14ac:dyDescent="0.2">
      <c r="A952" s="476"/>
      <c r="D952" s="467"/>
      <c r="F952" s="468"/>
      <c r="G952" s="468"/>
      <c r="H952" s="468"/>
      <c r="I952" s="468"/>
      <c r="J952" s="469"/>
      <c r="L952" s="476"/>
      <c r="M952" s="476"/>
      <c r="N952" s="476"/>
      <c r="O952" s="476"/>
      <c r="P952" s="476"/>
      <c r="Q952" s="476"/>
      <c r="R952" s="476"/>
      <c r="S952" s="476"/>
      <c r="T952" s="476"/>
      <c r="U952" s="476"/>
      <c r="V952" s="476"/>
      <c r="W952" s="476"/>
      <c r="X952" s="476"/>
      <c r="Y952" s="476"/>
      <c r="Z952" s="476"/>
      <c r="AA952" s="476"/>
      <c r="AB952" s="476"/>
      <c r="AC952" s="476"/>
      <c r="AD952" s="476"/>
      <c r="AE952" s="476"/>
      <c r="AF952" s="476"/>
      <c r="AG952" s="476"/>
      <c r="AH952" s="476"/>
      <c r="AI952" s="476"/>
      <c r="AJ952" s="476"/>
      <c r="AK952" s="476"/>
      <c r="AL952" s="476"/>
      <c r="AM952" s="476"/>
      <c r="AN952" s="476"/>
      <c r="AO952" s="476"/>
      <c r="AP952" s="476"/>
      <c r="AQ952" s="476"/>
      <c r="AR952" s="476"/>
      <c r="AS952" s="476"/>
      <c r="AT952" s="476"/>
      <c r="AU952" s="476"/>
    </row>
    <row r="953" spans="1:47" s="398" customFormat="1" ht="13.15" customHeight="1" x14ac:dyDescent="0.2">
      <c r="A953" s="476"/>
      <c r="D953" s="467"/>
      <c r="F953" s="468"/>
      <c r="G953" s="468"/>
      <c r="H953" s="468"/>
      <c r="I953" s="468"/>
      <c r="J953" s="469"/>
      <c r="L953" s="476"/>
      <c r="M953" s="476"/>
      <c r="N953" s="476"/>
      <c r="O953" s="476"/>
      <c r="P953" s="476"/>
      <c r="Q953" s="476"/>
      <c r="R953" s="476"/>
      <c r="S953" s="476"/>
      <c r="T953" s="476"/>
      <c r="U953" s="476"/>
      <c r="V953" s="476"/>
      <c r="W953" s="476"/>
      <c r="X953" s="476"/>
      <c r="Y953" s="476"/>
      <c r="Z953" s="476"/>
      <c r="AA953" s="476"/>
      <c r="AB953" s="476"/>
      <c r="AC953" s="476"/>
      <c r="AD953" s="476"/>
      <c r="AE953" s="476"/>
      <c r="AF953" s="476"/>
      <c r="AG953" s="476"/>
      <c r="AH953" s="476"/>
      <c r="AI953" s="476"/>
      <c r="AJ953" s="476"/>
      <c r="AK953" s="476"/>
      <c r="AL953" s="476"/>
      <c r="AM953" s="476"/>
      <c r="AN953" s="476"/>
      <c r="AO953" s="476"/>
      <c r="AP953" s="476"/>
      <c r="AQ953" s="476"/>
      <c r="AR953" s="476"/>
      <c r="AS953" s="476"/>
      <c r="AT953" s="476"/>
      <c r="AU953" s="476"/>
    </row>
    <row r="954" spans="1:47" s="398" customFormat="1" ht="13.15" customHeight="1" x14ac:dyDescent="0.2">
      <c r="A954" s="476"/>
      <c r="D954" s="467"/>
      <c r="F954" s="468"/>
      <c r="G954" s="468"/>
      <c r="H954" s="468"/>
      <c r="I954" s="468"/>
      <c r="J954" s="469"/>
      <c r="L954" s="476"/>
      <c r="M954" s="476"/>
      <c r="N954" s="476"/>
      <c r="O954" s="476"/>
      <c r="P954" s="476"/>
      <c r="Q954" s="476"/>
      <c r="R954" s="476"/>
      <c r="S954" s="476"/>
      <c r="T954" s="476"/>
      <c r="U954" s="476"/>
      <c r="V954" s="476"/>
      <c r="W954" s="476"/>
      <c r="X954" s="476"/>
      <c r="Y954" s="476"/>
      <c r="Z954" s="476"/>
      <c r="AA954" s="476"/>
      <c r="AB954" s="476"/>
      <c r="AC954" s="476"/>
      <c r="AD954" s="476"/>
      <c r="AE954" s="476"/>
      <c r="AF954" s="476"/>
      <c r="AG954" s="476"/>
      <c r="AH954" s="476"/>
      <c r="AI954" s="476"/>
      <c r="AJ954" s="476"/>
      <c r="AK954" s="476"/>
      <c r="AL954" s="476"/>
      <c r="AM954" s="476"/>
      <c r="AN954" s="476"/>
      <c r="AO954" s="476"/>
      <c r="AP954" s="476"/>
      <c r="AQ954" s="476"/>
      <c r="AR954" s="476"/>
      <c r="AS954" s="476"/>
      <c r="AT954" s="476"/>
      <c r="AU954" s="476"/>
    </row>
    <row r="955" spans="1:47" s="398" customFormat="1" ht="13.15" customHeight="1" x14ac:dyDescent="0.2">
      <c r="A955" s="476"/>
      <c r="D955" s="467"/>
      <c r="F955" s="468"/>
      <c r="G955" s="468"/>
      <c r="H955" s="468"/>
      <c r="I955" s="468"/>
      <c r="J955" s="469"/>
      <c r="L955" s="476"/>
      <c r="M955" s="476"/>
      <c r="N955" s="476"/>
      <c r="O955" s="476"/>
      <c r="P955" s="476"/>
      <c r="Q955" s="476"/>
      <c r="R955" s="476"/>
      <c r="S955" s="476"/>
      <c r="T955" s="476"/>
      <c r="U955" s="476"/>
      <c r="V955" s="476"/>
      <c r="W955" s="476"/>
      <c r="X955" s="476"/>
      <c r="Y955" s="476"/>
      <c r="Z955" s="476"/>
      <c r="AA955" s="476"/>
      <c r="AB955" s="476"/>
      <c r="AC955" s="476"/>
      <c r="AD955" s="476"/>
      <c r="AE955" s="476"/>
      <c r="AF955" s="476"/>
      <c r="AG955" s="476"/>
      <c r="AH955" s="476"/>
      <c r="AI955" s="476"/>
      <c r="AJ955" s="476"/>
      <c r="AK955" s="476"/>
      <c r="AL955" s="476"/>
      <c r="AM955" s="476"/>
      <c r="AN955" s="476"/>
      <c r="AO955" s="476"/>
      <c r="AP955" s="476"/>
      <c r="AQ955" s="476"/>
      <c r="AR955" s="476"/>
      <c r="AS955" s="476"/>
      <c r="AT955" s="476"/>
      <c r="AU955" s="476"/>
    </row>
    <row r="956" spans="1:47" s="398" customFormat="1" ht="13.15" customHeight="1" x14ac:dyDescent="0.2">
      <c r="A956" s="476"/>
      <c r="D956" s="467"/>
      <c r="F956" s="468"/>
      <c r="G956" s="468"/>
      <c r="H956" s="468"/>
      <c r="I956" s="468"/>
      <c r="J956" s="469"/>
      <c r="L956" s="476"/>
      <c r="M956" s="476"/>
      <c r="N956" s="476"/>
      <c r="O956" s="476"/>
      <c r="P956" s="476"/>
      <c r="Q956" s="476"/>
      <c r="R956" s="476"/>
      <c r="S956" s="476"/>
      <c r="T956" s="476"/>
      <c r="U956" s="476"/>
      <c r="V956" s="476"/>
      <c r="W956" s="476"/>
      <c r="X956" s="476"/>
      <c r="Y956" s="476"/>
      <c r="Z956" s="476"/>
      <c r="AA956" s="476"/>
      <c r="AB956" s="476"/>
      <c r="AC956" s="476"/>
      <c r="AD956" s="476"/>
      <c r="AE956" s="476"/>
      <c r="AF956" s="476"/>
      <c r="AG956" s="476"/>
      <c r="AH956" s="476"/>
      <c r="AI956" s="476"/>
      <c r="AJ956" s="476"/>
      <c r="AK956" s="476"/>
      <c r="AL956" s="476"/>
      <c r="AM956" s="476"/>
      <c r="AN956" s="476"/>
      <c r="AO956" s="476"/>
      <c r="AP956" s="476"/>
      <c r="AQ956" s="476"/>
      <c r="AR956" s="476"/>
      <c r="AS956" s="476"/>
      <c r="AT956" s="476"/>
      <c r="AU956" s="476"/>
    </row>
    <row r="957" spans="1:47" s="398" customFormat="1" ht="13.15" customHeight="1" x14ac:dyDescent="0.2">
      <c r="A957" s="476"/>
      <c r="D957" s="467"/>
      <c r="F957" s="468"/>
      <c r="G957" s="468"/>
      <c r="H957" s="468"/>
      <c r="I957" s="468"/>
      <c r="J957" s="469"/>
      <c r="L957" s="476"/>
      <c r="M957" s="476"/>
      <c r="N957" s="476"/>
      <c r="O957" s="476"/>
      <c r="P957" s="476"/>
      <c r="Q957" s="476"/>
      <c r="R957" s="476"/>
      <c r="S957" s="476"/>
      <c r="T957" s="476"/>
      <c r="U957" s="476"/>
      <c r="V957" s="476"/>
      <c r="W957" s="476"/>
      <c r="X957" s="476"/>
      <c r="Y957" s="476"/>
      <c r="Z957" s="476"/>
      <c r="AA957" s="476"/>
      <c r="AB957" s="476"/>
      <c r="AC957" s="476"/>
      <c r="AD957" s="476"/>
      <c r="AE957" s="476"/>
      <c r="AF957" s="476"/>
      <c r="AG957" s="476"/>
      <c r="AH957" s="476"/>
      <c r="AI957" s="476"/>
      <c r="AJ957" s="476"/>
      <c r="AK957" s="476"/>
      <c r="AL957" s="476"/>
      <c r="AM957" s="476"/>
      <c r="AN957" s="476"/>
      <c r="AO957" s="476"/>
      <c r="AP957" s="476"/>
      <c r="AQ957" s="476"/>
      <c r="AR957" s="476"/>
      <c r="AS957" s="476"/>
      <c r="AT957" s="476"/>
      <c r="AU957" s="476"/>
    </row>
    <row r="958" spans="1:47" s="398" customFormat="1" ht="13.15" customHeight="1" x14ac:dyDescent="0.2">
      <c r="A958" s="476"/>
      <c r="D958" s="467"/>
      <c r="F958" s="468"/>
      <c r="G958" s="468"/>
      <c r="H958" s="468"/>
      <c r="I958" s="468"/>
      <c r="J958" s="469"/>
      <c r="L958" s="476"/>
      <c r="M958" s="476"/>
      <c r="N958" s="476"/>
      <c r="O958" s="476"/>
      <c r="P958" s="476"/>
      <c r="Q958" s="476"/>
      <c r="R958" s="476"/>
      <c r="S958" s="476"/>
      <c r="T958" s="476"/>
      <c r="U958" s="476"/>
      <c r="V958" s="476"/>
      <c r="W958" s="476"/>
      <c r="X958" s="476"/>
      <c r="Y958" s="476"/>
      <c r="Z958" s="476"/>
      <c r="AA958" s="476"/>
      <c r="AB958" s="476"/>
      <c r="AC958" s="476"/>
      <c r="AD958" s="476"/>
      <c r="AE958" s="476"/>
      <c r="AF958" s="476"/>
      <c r="AG958" s="476"/>
      <c r="AH958" s="476"/>
      <c r="AI958" s="476"/>
      <c r="AJ958" s="476"/>
      <c r="AK958" s="476"/>
      <c r="AL958" s="476"/>
      <c r="AM958" s="476"/>
      <c r="AN958" s="476"/>
      <c r="AO958" s="476"/>
      <c r="AP958" s="476"/>
      <c r="AQ958" s="476"/>
      <c r="AR958" s="476"/>
      <c r="AS958" s="476"/>
      <c r="AT958" s="476"/>
      <c r="AU958" s="476"/>
    </row>
    <row r="959" spans="1:47" s="398" customFormat="1" ht="13.15" customHeight="1" x14ac:dyDescent="0.2">
      <c r="A959" s="476"/>
      <c r="D959" s="467"/>
      <c r="F959" s="468"/>
      <c r="G959" s="468"/>
      <c r="H959" s="468"/>
      <c r="I959" s="468"/>
      <c r="J959" s="469"/>
      <c r="L959" s="476"/>
      <c r="M959" s="476"/>
      <c r="N959" s="476"/>
      <c r="O959" s="476"/>
      <c r="P959" s="476"/>
      <c r="Q959" s="476"/>
      <c r="R959" s="476"/>
      <c r="S959" s="476"/>
      <c r="T959" s="476"/>
      <c r="U959" s="476"/>
      <c r="V959" s="476"/>
      <c r="W959" s="476"/>
      <c r="X959" s="476"/>
      <c r="Y959" s="476"/>
      <c r="Z959" s="476"/>
      <c r="AA959" s="476"/>
      <c r="AB959" s="476"/>
      <c r="AC959" s="476"/>
      <c r="AD959" s="476"/>
      <c r="AE959" s="476"/>
      <c r="AF959" s="476"/>
      <c r="AG959" s="476"/>
      <c r="AH959" s="476"/>
      <c r="AI959" s="476"/>
      <c r="AJ959" s="476"/>
      <c r="AK959" s="476"/>
      <c r="AL959" s="476"/>
      <c r="AM959" s="476"/>
      <c r="AN959" s="476"/>
      <c r="AO959" s="476"/>
      <c r="AP959" s="476"/>
      <c r="AQ959" s="476"/>
      <c r="AR959" s="476"/>
      <c r="AS959" s="476"/>
      <c r="AT959" s="476"/>
      <c r="AU959" s="476"/>
    </row>
    <row r="960" spans="1:47" s="398" customFormat="1" ht="13.15" customHeight="1" x14ac:dyDescent="0.2">
      <c r="A960" s="476"/>
      <c r="D960" s="467"/>
      <c r="F960" s="468"/>
      <c r="G960" s="468"/>
      <c r="H960" s="468"/>
      <c r="I960" s="468"/>
      <c r="J960" s="469"/>
      <c r="L960" s="476"/>
      <c r="M960" s="476"/>
      <c r="N960" s="476"/>
      <c r="O960" s="476"/>
      <c r="P960" s="476"/>
      <c r="Q960" s="476"/>
      <c r="R960" s="476"/>
      <c r="S960" s="476"/>
      <c r="T960" s="476"/>
      <c r="U960" s="476"/>
      <c r="V960" s="476"/>
      <c r="W960" s="476"/>
      <c r="X960" s="476"/>
      <c r="Y960" s="476"/>
      <c r="Z960" s="476"/>
      <c r="AA960" s="476"/>
      <c r="AB960" s="476"/>
      <c r="AC960" s="476"/>
      <c r="AD960" s="476"/>
      <c r="AE960" s="476"/>
      <c r="AF960" s="476"/>
      <c r="AG960" s="476"/>
      <c r="AH960" s="476"/>
      <c r="AI960" s="476"/>
      <c r="AJ960" s="476"/>
      <c r="AK960" s="476"/>
      <c r="AL960" s="476"/>
      <c r="AM960" s="476"/>
      <c r="AN960" s="476"/>
      <c r="AO960" s="476"/>
      <c r="AP960" s="476"/>
      <c r="AQ960" s="476"/>
      <c r="AR960" s="476"/>
      <c r="AS960" s="476"/>
      <c r="AT960" s="476"/>
      <c r="AU960" s="476"/>
    </row>
    <row r="961" spans="1:47" s="398" customFormat="1" ht="13.15" customHeight="1" x14ac:dyDescent="0.2">
      <c r="A961" s="476"/>
      <c r="D961" s="467"/>
      <c r="F961" s="468"/>
      <c r="G961" s="468"/>
      <c r="H961" s="468"/>
      <c r="I961" s="468"/>
      <c r="J961" s="469"/>
      <c r="L961" s="476"/>
      <c r="M961" s="476"/>
      <c r="N961" s="476"/>
      <c r="O961" s="476"/>
      <c r="P961" s="476"/>
      <c r="Q961" s="476"/>
      <c r="R961" s="476"/>
      <c r="S961" s="476"/>
      <c r="T961" s="476"/>
      <c r="U961" s="476"/>
      <c r="V961" s="476"/>
      <c r="W961" s="476"/>
      <c r="X961" s="476"/>
      <c r="Y961" s="476"/>
      <c r="Z961" s="476"/>
      <c r="AA961" s="476"/>
      <c r="AB961" s="476"/>
      <c r="AC961" s="476"/>
      <c r="AD961" s="476"/>
      <c r="AE961" s="476"/>
      <c r="AF961" s="476"/>
      <c r="AG961" s="476"/>
      <c r="AH961" s="476"/>
      <c r="AI961" s="476"/>
      <c r="AJ961" s="476"/>
      <c r="AK961" s="476"/>
      <c r="AL961" s="476"/>
      <c r="AM961" s="476"/>
      <c r="AN961" s="476"/>
      <c r="AO961" s="476"/>
      <c r="AP961" s="476"/>
      <c r="AQ961" s="476"/>
      <c r="AR961" s="476"/>
      <c r="AS961" s="476"/>
      <c r="AT961" s="476"/>
      <c r="AU961" s="476"/>
    </row>
    <row r="962" spans="1:47" s="398" customFormat="1" ht="13.15" customHeight="1" x14ac:dyDescent="0.2">
      <c r="A962" s="476"/>
      <c r="D962" s="467"/>
      <c r="F962" s="468"/>
      <c r="G962" s="468"/>
      <c r="H962" s="468"/>
      <c r="I962" s="468"/>
      <c r="J962" s="469"/>
      <c r="L962" s="476"/>
      <c r="M962" s="476"/>
      <c r="N962" s="476"/>
      <c r="O962" s="476"/>
      <c r="P962" s="476"/>
      <c r="Q962" s="476"/>
      <c r="R962" s="476"/>
      <c r="S962" s="476"/>
      <c r="T962" s="476"/>
      <c r="U962" s="476"/>
      <c r="V962" s="476"/>
      <c r="W962" s="476"/>
      <c r="X962" s="476"/>
      <c r="Y962" s="476"/>
      <c r="Z962" s="476"/>
      <c r="AA962" s="476"/>
      <c r="AB962" s="476"/>
      <c r="AC962" s="476"/>
      <c r="AD962" s="476"/>
      <c r="AE962" s="476"/>
      <c r="AF962" s="476"/>
      <c r="AG962" s="476"/>
      <c r="AH962" s="476"/>
      <c r="AI962" s="476"/>
      <c r="AJ962" s="476"/>
      <c r="AK962" s="476"/>
      <c r="AL962" s="476"/>
      <c r="AM962" s="476"/>
      <c r="AN962" s="476"/>
      <c r="AO962" s="476"/>
      <c r="AP962" s="476"/>
      <c r="AQ962" s="476"/>
      <c r="AR962" s="476"/>
      <c r="AS962" s="476"/>
      <c r="AT962" s="476"/>
      <c r="AU962" s="476"/>
    </row>
    <row r="963" spans="1:47" s="398" customFormat="1" ht="13.15" customHeight="1" x14ac:dyDescent="0.2">
      <c r="A963" s="476"/>
      <c r="D963" s="467"/>
      <c r="F963" s="468"/>
      <c r="G963" s="468"/>
      <c r="H963" s="468"/>
      <c r="I963" s="468"/>
      <c r="J963" s="469"/>
      <c r="L963" s="476"/>
      <c r="M963" s="476"/>
      <c r="N963" s="476"/>
      <c r="O963" s="476"/>
      <c r="P963" s="476"/>
      <c r="Q963" s="476"/>
      <c r="R963" s="476"/>
      <c r="S963" s="476"/>
      <c r="T963" s="476"/>
      <c r="U963" s="476"/>
      <c r="V963" s="476"/>
      <c r="W963" s="476"/>
      <c r="X963" s="476"/>
      <c r="Y963" s="476"/>
      <c r="Z963" s="476"/>
      <c r="AA963" s="476"/>
      <c r="AB963" s="476"/>
      <c r="AC963" s="476"/>
      <c r="AD963" s="476"/>
      <c r="AE963" s="476"/>
      <c r="AF963" s="476"/>
      <c r="AG963" s="476"/>
      <c r="AH963" s="476"/>
      <c r="AI963" s="476"/>
      <c r="AJ963" s="476"/>
      <c r="AK963" s="476"/>
      <c r="AL963" s="476"/>
      <c r="AM963" s="476"/>
      <c r="AN963" s="476"/>
      <c r="AO963" s="476"/>
      <c r="AP963" s="476"/>
      <c r="AQ963" s="476"/>
      <c r="AR963" s="476"/>
      <c r="AS963" s="476"/>
      <c r="AT963" s="476"/>
      <c r="AU963" s="476"/>
    </row>
    <row r="964" spans="1:47" s="398" customFormat="1" ht="13.15" customHeight="1" x14ac:dyDescent="0.2">
      <c r="A964" s="476"/>
      <c r="D964" s="467"/>
      <c r="F964" s="468"/>
      <c r="G964" s="468"/>
      <c r="H964" s="468"/>
      <c r="I964" s="468"/>
      <c r="J964" s="469"/>
      <c r="L964" s="476"/>
      <c r="M964" s="476"/>
      <c r="N964" s="476"/>
      <c r="O964" s="476"/>
      <c r="P964" s="476"/>
      <c r="Q964" s="476"/>
      <c r="R964" s="476"/>
      <c r="S964" s="476"/>
      <c r="T964" s="476"/>
      <c r="U964" s="476"/>
      <c r="V964" s="476"/>
      <c r="W964" s="476"/>
      <c r="X964" s="476"/>
      <c r="Y964" s="476"/>
      <c r="Z964" s="476"/>
      <c r="AA964" s="476"/>
      <c r="AB964" s="476"/>
      <c r="AC964" s="476"/>
      <c r="AD964" s="476"/>
      <c r="AE964" s="476"/>
      <c r="AF964" s="476"/>
      <c r="AG964" s="476"/>
      <c r="AH964" s="476"/>
      <c r="AI964" s="476"/>
      <c r="AJ964" s="476"/>
      <c r="AK964" s="476"/>
      <c r="AL964" s="476"/>
      <c r="AM964" s="476"/>
      <c r="AN964" s="476"/>
      <c r="AO964" s="476"/>
      <c r="AP964" s="476"/>
      <c r="AQ964" s="476"/>
      <c r="AR964" s="476"/>
      <c r="AS964" s="476"/>
      <c r="AT964" s="476"/>
      <c r="AU964" s="476"/>
    </row>
    <row r="965" spans="1:47" s="398" customFormat="1" ht="13.15" customHeight="1" x14ac:dyDescent="0.2">
      <c r="A965" s="476"/>
      <c r="D965" s="467"/>
      <c r="F965" s="468"/>
      <c r="G965" s="468"/>
      <c r="H965" s="468"/>
      <c r="I965" s="468"/>
      <c r="J965" s="469"/>
      <c r="L965" s="476"/>
      <c r="M965" s="476"/>
      <c r="N965" s="476"/>
      <c r="O965" s="476"/>
      <c r="P965" s="476"/>
      <c r="Q965" s="476"/>
      <c r="R965" s="476"/>
      <c r="S965" s="476"/>
      <c r="T965" s="476"/>
      <c r="U965" s="476"/>
      <c r="V965" s="476"/>
      <c r="W965" s="476"/>
      <c r="X965" s="476"/>
      <c r="Y965" s="476"/>
      <c r="Z965" s="476"/>
      <c r="AA965" s="476"/>
      <c r="AB965" s="476"/>
      <c r="AC965" s="476"/>
      <c r="AD965" s="476"/>
      <c r="AE965" s="476"/>
      <c r="AF965" s="476"/>
      <c r="AG965" s="476"/>
      <c r="AH965" s="476"/>
      <c r="AI965" s="476"/>
      <c r="AJ965" s="476"/>
      <c r="AK965" s="476"/>
      <c r="AL965" s="476"/>
      <c r="AM965" s="476"/>
      <c r="AN965" s="476"/>
      <c r="AO965" s="476"/>
      <c r="AP965" s="476"/>
      <c r="AQ965" s="476"/>
      <c r="AR965" s="476"/>
      <c r="AS965" s="476"/>
      <c r="AT965" s="476"/>
      <c r="AU965" s="476"/>
    </row>
    <row r="966" spans="1:47" s="398" customFormat="1" ht="13.15" customHeight="1" x14ac:dyDescent="0.2">
      <c r="A966" s="476"/>
      <c r="D966" s="467"/>
      <c r="F966" s="468"/>
      <c r="G966" s="468"/>
      <c r="H966" s="468"/>
      <c r="I966" s="468"/>
      <c r="J966" s="469"/>
      <c r="L966" s="476"/>
      <c r="M966" s="476"/>
      <c r="N966" s="476"/>
      <c r="O966" s="476"/>
      <c r="P966" s="476"/>
      <c r="Q966" s="476"/>
      <c r="R966" s="476"/>
      <c r="S966" s="476"/>
      <c r="T966" s="476"/>
      <c r="U966" s="476"/>
      <c r="V966" s="476"/>
      <c r="W966" s="476"/>
      <c r="X966" s="476"/>
      <c r="Y966" s="476"/>
      <c r="Z966" s="476"/>
      <c r="AA966" s="476"/>
      <c r="AB966" s="476"/>
      <c r="AC966" s="476"/>
      <c r="AD966" s="476"/>
      <c r="AE966" s="476"/>
      <c r="AF966" s="476"/>
      <c r="AG966" s="476"/>
      <c r="AH966" s="476"/>
      <c r="AI966" s="476"/>
      <c r="AJ966" s="476"/>
      <c r="AK966" s="476"/>
      <c r="AL966" s="476"/>
      <c r="AM966" s="476"/>
      <c r="AN966" s="476"/>
      <c r="AO966" s="476"/>
      <c r="AP966" s="476"/>
      <c r="AQ966" s="476"/>
      <c r="AR966" s="476"/>
      <c r="AS966" s="476"/>
      <c r="AT966" s="476"/>
      <c r="AU966" s="476"/>
    </row>
    <row r="967" spans="1:47" s="398" customFormat="1" ht="13.15" customHeight="1" x14ac:dyDescent="0.2">
      <c r="A967" s="476"/>
      <c r="D967" s="467"/>
      <c r="F967" s="468"/>
      <c r="G967" s="468"/>
      <c r="H967" s="468"/>
      <c r="I967" s="468"/>
      <c r="J967" s="469"/>
      <c r="L967" s="476"/>
      <c r="M967" s="476"/>
      <c r="N967" s="476"/>
      <c r="O967" s="476"/>
      <c r="P967" s="476"/>
      <c r="Q967" s="476"/>
      <c r="R967" s="476"/>
      <c r="S967" s="476"/>
      <c r="T967" s="476"/>
      <c r="U967" s="476"/>
      <c r="V967" s="476"/>
      <c r="W967" s="476"/>
      <c r="X967" s="476"/>
      <c r="Y967" s="476"/>
      <c r="Z967" s="476"/>
      <c r="AA967" s="476"/>
      <c r="AB967" s="476"/>
      <c r="AC967" s="476"/>
      <c r="AD967" s="476"/>
      <c r="AE967" s="476"/>
      <c r="AF967" s="476"/>
      <c r="AG967" s="476"/>
      <c r="AH967" s="476"/>
      <c r="AI967" s="476"/>
      <c r="AJ967" s="476"/>
      <c r="AK967" s="476"/>
      <c r="AL967" s="476"/>
      <c r="AM967" s="476"/>
      <c r="AN967" s="476"/>
      <c r="AO967" s="476"/>
      <c r="AP967" s="476"/>
      <c r="AQ967" s="476"/>
      <c r="AR967" s="476"/>
      <c r="AS967" s="476"/>
      <c r="AT967" s="476"/>
      <c r="AU967" s="476"/>
    </row>
    <row r="968" spans="1:47" s="398" customFormat="1" ht="13.15" customHeight="1" x14ac:dyDescent="0.2">
      <c r="A968" s="476"/>
      <c r="D968" s="467"/>
      <c r="F968" s="468"/>
      <c r="G968" s="468"/>
      <c r="H968" s="468"/>
      <c r="I968" s="468"/>
      <c r="J968" s="469"/>
      <c r="L968" s="476"/>
      <c r="M968" s="476"/>
      <c r="N968" s="476"/>
      <c r="O968" s="476"/>
      <c r="P968" s="476"/>
      <c r="Q968" s="476"/>
      <c r="R968" s="476"/>
      <c r="S968" s="476"/>
      <c r="T968" s="476"/>
      <c r="U968" s="476"/>
      <c r="V968" s="476"/>
      <c r="W968" s="476"/>
      <c r="X968" s="476"/>
      <c r="Y968" s="476"/>
      <c r="Z968" s="476"/>
      <c r="AA968" s="476"/>
      <c r="AB968" s="476"/>
      <c r="AC968" s="476"/>
      <c r="AD968" s="476"/>
      <c r="AE968" s="476"/>
      <c r="AF968" s="476"/>
      <c r="AG968" s="476"/>
      <c r="AH968" s="476"/>
      <c r="AI968" s="476"/>
      <c r="AJ968" s="476"/>
      <c r="AK968" s="476"/>
      <c r="AL968" s="476"/>
      <c r="AM968" s="476"/>
      <c r="AN968" s="476"/>
      <c r="AO968" s="476"/>
      <c r="AP968" s="476"/>
      <c r="AQ968" s="476"/>
      <c r="AR968" s="476"/>
      <c r="AS968" s="476"/>
      <c r="AT968" s="476"/>
      <c r="AU968" s="476"/>
    </row>
    <row r="969" spans="1:47" s="398" customFormat="1" ht="13.15" customHeight="1" x14ac:dyDescent="0.2">
      <c r="A969" s="476"/>
      <c r="D969" s="467"/>
      <c r="F969" s="468"/>
      <c r="G969" s="468"/>
      <c r="H969" s="468"/>
      <c r="I969" s="468"/>
      <c r="J969" s="469"/>
      <c r="L969" s="476"/>
      <c r="M969" s="476"/>
      <c r="N969" s="476"/>
      <c r="O969" s="476"/>
      <c r="P969" s="476"/>
      <c r="Q969" s="476"/>
      <c r="R969" s="476"/>
      <c r="S969" s="476"/>
      <c r="T969" s="476"/>
      <c r="U969" s="476"/>
      <c r="V969" s="476"/>
      <c r="W969" s="476"/>
      <c r="X969" s="476"/>
      <c r="Y969" s="476"/>
      <c r="Z969" s="476"/>
      <c r="AA969" s="476"/>
      <c r="AB969" s="476"/>
      <c r="AC969" s="476"/>
      <c r="AD969" s="476"/>
      <c r="AE969" s="476"/>
      <c r="AF969" s="476"/>
      <c r="AG969" s="476"/>
      <c r="AH969" s="476"/>
      <c r="AI969" s="476"/>
      <c r="AJ969" s="476"/>
      <c r="AK969" s="476"/>
      <c r="AL969" s="476"/>
      <c r="AM969" s="476"/>
      <c r="AN969" s="476"/>
      <c r="AO969" s="476"/>
      <c r="AP969" s="476"/>
      <c r="AQ969" s="476"/>
      <c r="AR969" s="476"/>
      <c r="AS969" s="476"/>
      <c r="AT969" s="476"/>
      <c r="AU969" s="476"/>
    </row>
    <row r="970" spans="1:47" s="398" customFormat="1" ht="13.15" customHeight="1" x14ac:dyDescent="0.2">
      <c r="A970" s="476"/>
      <c r="D970" s="467"/>
      <c r="F970" s="468"/>
      <c r="G970" s="468"/>
      <c r="H970" s="468"/>
      <c r="I970" s="468"/>
      <c r="J970" s="469"/>
      <c r="L970" s="476"/>
      <c r="M970" s="476"/>
      <c r="N970" s="476"/>
      <c r="O970" s="476"/>
      <c r="P970" s="476"/>
      <c r="Q970" s="476"/>
      <c r="R970" s="476"/>
      <c r="S970" s="476"/>
      <c r="T970" s="476"/>
      <c r="U970" s="476"/>
      <c r="V970" s="476"/>
      <c r="W970" s="476"/>
      <c r="X970" s="476"/>
      <c r="Y970" s="476"/>
      <c r="Z970" s="476"/>
      <c r="AA970" s="476"/>
      <c r="AB970" s="476"/>
      <c r="AC970" s="476"/>
      <c r="AD970" s="476"/>
      <c r="AE970" s="476"/>
      <c r="AF970" s="476"/>
      <c r="AG970" s="476"/>
      <c r="AH970" s="476"/>
      <c r="AI970" s="476"/>
      <c r="AJ970" s="476"/>
      <c r="AK970" s="476"/>
      <c r="AL970" s="476"/>
      <c r="AM970" s="476"/>
      <c r="AN970" s="476"/>
      <c r="AO970" s="476"/>
      <c r="AP970" s="476"/>
      <c r="AQ970" s="476"/>
      <c r="AR970" s="476"/>
      <c r="AS970" s="476"/>
      <c r="AT970" s="476"/>
      <c r="AU970" s="476"/>
    </row>
    <row r="971" spans="1:47" s="398" customFormat="1" ht="13.15" customHeight="1" x14ac:dyDescent="0.2">
      <c r="A971" s="476"/>
      <c r="D971" s="467"/>
      <c r="F971" s="468"/>
      <c r="G971" s="468"/>
      <c r="H971" s="468"/>
      <c r="I971" s="468"/>
      <c r="J971" s="469"/>
      <c r="L971" s="476"/>
      <c r="M971" s="476"/>
      <c r="N971" s="476"/>
      <c r="O971" s="476"/>
      <c r="P971" s="476"/>
      <c r="Q971" s="476"/>
      <c r="R971" s="476"/>
      <c r="S971" s="476"/>
      <c r="T971" s="476"/>
      <c r="U971" s="476"/>
      <c r="V971" s="476"/>
      <c r="W971" s="476"/>
      <c r="X971" s="476"/>
      <c r="Y971" s="476"/>
      <c r="Z971" s="476"/>
      <c r="AA971" s="476"/>
      <c r="AB971" s="476"/>
      <c r="AC971" s="476"/>
      <c r="AD971" s="476"/>
      <c r="AE971" s="476"/>
      <c r="AF971" s="476"/>
      <c r="AG971" s="476"/>
      <c r="AH971" s="476"/>
      <c r="AI971" s="476"/>
      <c r="AJ971" s="476"/>
      <c r="AK971" s="476"/>
      <c r="AL971" s="476"/>
      <c r="AM971" s="476"/>
      <c r="AN971" s="476"/>
      <c r="AO971" s="476"/>
      <c r="AP971" s="476"/>
      <c r="AQ971" s="476"/>
      <c r="AR971" s="476"/>
      <c r="AS971" s="476"/>
      <c r="AT971" s="476"/>
      <c r="AU971" s="476"/>
    </row>
    <row r="972" spans="1:47" s="398" customFormat="1" ht="13.15" customHeight="1" x14ac:dyDescent="0.2">
      <c r="A972" s="476"/>
      <c r="D972" s="467"/>
      <c r="F972" s="468"/>
      <c r="G972" s="468"/>
      <c r="H972" s="468"/>
      <c r="I972" s="468"/>
      <c r="J972" s="469"/>
      <c r="L972" s="476"/>
      <c r="M972" s="476"/>
      <c r="N972" s="476"/>
      <c r="O972" s="476"/>
      <c r="P972" s="476"/>
      <c r="Q972" s="476"/>
      <c r="R972" s="476"/>
      <c r="S972" s="476"/>
      <c r="T972" s="476"/>
      <c r="U972" s="476"/>
      <c r="V972" s="476"/>
      <c r="W972" s="476"/>
      <c r="X972" s="476"/>
      <c r="Y972" s="476"/>
      <c r="Z972" s="476"/>
      <c r="AA972" s="476"/>
      <c r="AB972" s="476"/>
      <c r="AC972" s="476"/>
      <c r="AD972" s="476"/>
      <c r="AE972" s="476"/>
      <c r="AF972" s="476"/>
      <c r="AG972" s="476"/>
      <c r="AH972" s="476"/>
      <c r="AI972" s="476"/>
      <c r="AJ972" s="476"/>
      <c r="AK972" s="476"/>
      <c r="AL972" s="476"/>
      <c r="AM972" s="476"/>
      <c r="AN972" s="476"/>
      <c r="AO972" s="476"/>
      <c r="AP972" s="476"/>
      <c r="AQ972" s="476"/>
      <c r="AR972" s="476"/>
      <c r="AS972" s="476"/>
      <c r="AT972" s="476"/>
      <c r="AU972" s="476"/>
    </row>
    <row r="973" spans="1:47" s="398" customFormat="1" ht="13.15" customHeight="1" x14ac:dyDescent="0.2">
      <c r="A973" s="476"/>
      <c r="D973" s="467"/>
      <c r="F973" s="468"/>
      <c r="G973" s="468"/>
      <c r="H973" s="468"/>
      <c r="I973" s="468"/>
      <c r="J973" s="469"/>
      <c r="L973" s="476"/>
      <c r="M973" s="476"/>
      <c r="N973" s="476"/>
      <c r="O973" s="476"/>
      <c r="P973" s="476"/>
      <c r="Q973" s="476"/>
      <c r="R973" s="476"/>
      <c r="S973" s="476"/>
      <c r="T973" s="476"/>
      <c r="U973" s="476"/>
      <c r="V973" s="476"/>
      <c r="W973" s="476"/>
      <c r="X973" s="476"/>
      <c r="Y973" s="476"/>
      <c r="Z973" s="476"/>
      <c r="AA973" s="476"/>
      <c r="AB973" s="476"/>
      <c r="AC973" s="476"/>
      <c r="AD973" s="476"/>
      <c r="AE973" s="476"/>
      <c r="AF973" s="476"/>
      <c r="AG973" s="476"/>
      <c r="AH973" s="476"/>
      <c r="AI973" s="476"/>
      <c r="AJ973" s="476"/>
      <c r="AK973" s="476"/>
      <c r="AL973" s="476"/>
      <c r="AM973" s="476"/>
      <c r="AN973" s="476"/>
      <c r="AO973" s="476"/>
      <c r="AP973" s="476"/>
      <c r="AQ973" s="476"/>
      <c r="AR973" s="476"/>
      <c r="AS973" s="476"/>
      <c r="AT973" s="476"/>
      <c r="AU973" s="476"/>
    </row>
    <row r="974" spans="1:47" s="398" customFormat="1" ht="13.15" customHeight="1" x14ac:dyDescent="0.2">
      <c r="A974" s="476"/>
      <c r="D974" s="467"/>
      <c r="F974" s="468"/>
      <c r="G974" s="468"/>
      <c r="H974" s="468"/>
      <c r="I974" s="468"/>
      <c r="J974" s="469"/>
      <c r="L974" s="476"/>
      <c r="M974" s="476"/>
      <c r="N974" s="476"/>
      <c r="O974" s="476"/>
      <c r="P974" s="476"/>
      <c r="Q974" s="476"/>
      <c r="R974" s="476"/>
      <c r="S974" s="476"/>
      <c r="T974" s="476"/>
      <c r="U974" s="476"/>
      <c r="V974" s="476"/>
      <c r="W974" s="476"/>
      <c r="X974" s="476"/>
      <c r="Y974" s="476"/>
      <c r="Z974" s="476"/>
      <c r="AA974" s="476"/>
      <c r="AB974" s="476"/>
      <c r="AC974" s="476"/>
      <c r="AD974" s="476"/>
      <c r="AE974" s="476"/>
      <c r="AF974" s="476"/>
      <c r="AG974" s="476"/>
      <c r="AH974" s="476"/>
      <c r="AI974" s="476"/>
      <c r="AJ974" s="476"/>
      <c r="AK974" s="476"/>
      <c r="AL974" s="476"/>
      <c r="AM974" s="476"/>
      <c r="AN974" s="476"/>
      <c r="AO974" s="476"/>
      <c r="AP974" s="476"/>
      <c r="AQ974" s="476"/>
      <c r="AR974" s="476"/>
      <c r="AS974" s="476"/>
      <c r="AT974" s="476"/>
      <c r="AU974" s="476"/>
    </row>
    <row r="975" spans="1:47" s="398" customFormat="1" ht="13.15" customHeight="1" x14ac:dyDescent="0.2">
      <c r="A975" s="476"/>
      <c r="D975" s="467"/>
      <c r="F975" s="468"/>
      <c r="G975" s="468"/>
      <c r="H975" s="468"/>
      <c r="I975" s="468"/>
      <c r="J975" s="469"/>
      <c r="L975" s="476"/>
      <c r="M975" s="476"/>
      <c r="N975" s="476"/>
      <c r="O975" s="476"/>
      <c r="P975" s="476"/>
      <c r="Q975" s="476"/>
      <c r="R975" s="476"/>
      <c r="S975" s="476"/>
      <c r="T975" s="476"/>
      <c r="U975" s="476"/>
      <c r="V975" s="476"/>
      <c r="W975" s="476"/>
      <c r="X975" s="476"/>
      <c r="Y975" s="476"/>
      <c r="Z975" s="476"/>
      <c r="AA975" s="476"/>
      <c r="AB975" s="476"/>
      <c r="AC975" s="476"/>
      <c r="AD975" s="476"/>
      <c r="AE975" s="476"/>
      <c r="AF975" s="476"/>
      <c r="AG975" s="476"/>
      <c r="AH975" s="476"/>
      <c r="AI975" s="476"/>
      <c r="AJ975" s="476"/>
      <c r="AK975" s="476"/>
      <c r="AL975" s="476"/>
      <c r="AM975" s="476"/>
      <c r="AN975" s="476"/>
      <c r="AO975" s="476"/>
      <c r="AP975" s="476"/>
      <c r="AQ975" s="476"/>
      <c r="AR975" s="476"/>
      <c r="AS975" s="476"/>
      <c r="AT975" s="476"/>
      <c r="AU975" s="476"/>
    </row>
    <row r="976" spans="1:47" s="398" customFormat="1" ht="13.15" customHeight="1" x14ac:dyDescent="0.2">
      <c r="A976" s="476"/>
      <c r="D976" s="467"/>
      <c r="F976" s="468"/>
      <c r="G976" s="468"/>
      <c r="H976" s="468"/>
      <c r="I976" s="468"/>
      <c r="J976" s="469"/>
      <c r="L976" s="476"/>
      <c r="M976" s="476"/>
      <c r="N976" s="476"/>
      <c r="O976" s="476"/>
      <c r="P976" s="476"/>
      <c r="Q976" s="476"/>
      <c r="R976" s="476"/>
      <c r="S976" s="476"/>
      <c r="T976" s="476"/>
      <c r="U976" s="476"/>
      <c r="V976" s="476"/>
      <c r="W976" s="476"/>
      <c r="X976" s="476"/>
      <c r="Y976" s="476"/>
      <c r="Z976" s="476"/>
      <c r="AA976" s="476"/>
      <c r="AB976" s="476"/>
      <c r="AC976" s="476"/>
      <c r="AD976" s="476"/>
      <c r="AE976" s="476"/>
      <c r="AF976" s="476"/>
      <c r="AG976" s="476"/>
      <c r="AH976" s="476"/>
      <c r="AI976" s="476"/>
      <c r="AJ976" s="476"/>
      <c r="AK976" s="476"/>
      <c r="AL976" s="476"/>
      <c r="AM976" s="476"/>
      <c r="AN976" s="476"/>
      <c r="AO976" s="476"/>
      <c r="AP976" s="476"/>
      <c r="AQ976" s="476"/>
      <c r="AR976" s="476"/>
      <c r="AS976" s="476"/>
      <c r="AT976" s="476"/>
      <c r="AU976" s="476"/>
    </row>
    <row r="977" spans="1:47" s="398" customFormat="1" ht="13.15" customHeight="1" x14ac:dyDescent="0.2">
      <c r="A977" s="476"/>
      <c r="D977" s="467"/>
      <c r="F977" s="468"/>
      <c r="G977" s="468"/>
      <c r="H977" s="468"/>
      <c r="I977" s="468"/>
      <c r="J977" s="469"/>
      <c r="L977" s="476"/>
      <c r="M977" s="476"/>
      <c r="N977" s="476"/>
      <c r="O977" s="476"/>
      <c r="P977" s="476"/>
      <c r="Q977" s="476"/>
      <c r="R977" s="476"/>
      <c r="S977" s="476"/>
      <c r="T977" s="476"/>
      <c r="U977" s="476"/>
      <c r="V977" s="476"/>
      <c r="W977" s="476"/>
      <c r="X977" s="476"/>
      <c r="Y977" s="476"/>
      <c r="Z977" s="476"/>
      <c r="AA977" s="476"/>
      <c r="AB977" s="476"/>
      <c r="AC977" s="476"/>
      <c r="AD977" s="476"/>
      <c r="AE977" s="476"/>
      <c r="AF977" s="476"/>
      <c r="AG977" s="476"/>
      <c r="AH977" s="476"/>
      <c r="AI977" s="476"/>
      <c r="AJ977" s="476"/>
      <c r="AK977" s="476"/>
      <c r="AL977" s="476"/>
      <c r="AM977" s="476"/>
      <c r="AN977" s="476"/>
      <c r="AO977" s="476"/>
      <c r="AP977" s="476"/>
      <c r="AQ977" s="476"/>
      <c r="AR977" s="476"/>
      <c r="AS977" s="476"/>
      <c r="AT977" s="476"/>
      <c r="AU977" s="476"/>
    </row>
    <row r="978" spans="1:47" s="398" customFormat="1" ht="13.15" customHeight="1" x14ac:dyDescent="0.2">
      <c r="A978" s="476"/>
      <c r="D978" s="467"/>
      <c r="F978" s="468"/>
      <c r="G978" s="468"/>
      <c r="H978" s="468"/>
      <c r="I978" s="468"/>
      <c r="J978" s="469"/>
      <c r="L978" s="476"/>
      <c r="M978" s="476"/>
      <c r="N978" s="476"/>
      <c r="O978" s="476"/>
      <c r="P978" s="476"/>
      <c r="Q978" s="476"/>
      <c r="R978" s="476"/>
      <c r="S978" s="476"/>
      <c r="T978" s="476"/>
      <c r="U978" s="476"/>
      <c r="V978" s="476"/>
      <c r="W978" s="476"/>
      <c r="X978" s="476"/>
      <c r="Y978" s="476"/>
      <c r="Z978" s="476"/>
      <c r="AA978" s="476"/>
      <c r="AB978" s="476"/>
      <c r="AC978" s="476"/>
      <c r="AD978" s="476"/>
      <c r="AE978" s="476"/>
      <c r="AF978" s="476"/>
      <c r="AG978" s="476"/>
      <c r="AH978" s="476"/>
      <c r="AI978" s="476"/>
      <c r="AJ978" s="476"/>
      <c r="AK978" s="476"/>
      <c r="AL978" s="476"/>
      <c r="AM978" s="476"/>
      <c r="AN978" s="476"/>
      <c r="AO978" s="476"/>
      <c r="AP978" s="476"/>
      <c r="AQ978" s="476"/>
      <c r="AR978" s="476"/>
      <c r="AS978" s="476"/>
      <c r="AT978" s="476"/>
      <c r="AU978" s="476"/>
    </row>
    <row r="979" spans="1:47" s="398" customFormat="1" ht="13.15" customHeight="1" x14ac:dyDescent="0.2">
      <c r="A979" s="476"/>
      <c r="D979" s="467"/>
      <c r="F979" s="468"/>
      <c r="G979" s="468"/>
      <c r="H979" s="468"/>
      <c r="I979" s="468"/>
      <c r="J979" s="469"/>
      <c r="L979" s="476"/>
      <c r="M979" s="476"/>
      <c r="N979" s="476"/>
      <c r="O979" s="476"/>
      <c r="P979" s="476"/>
      <c r="Q979" s="476"/>
      <c r="R979" s="476"/>
      <c r="S979" s="476"/>
      <c r="T979" s="476"/>
      <c r="U979" s="476"/>
      <c r="V979" s="476"/>
      <c r="W979" s="476"/>
      <c r="X979" s="476"/>
      <c r="Y979" s="476"/>
      <c r="Z979" s="476"/>
      <c r="AA979" s="476"/>
      <c r="AB979" s="476"/>
      <c r="AC979" s="476"/>
      <c r="AD979" s="476"/>
      <c r="AE979" s="476"/>
      <c r="AF979" s="476"/>
      <c r="AG979" s="476"/>
      <c r="AH979" s="476"/>
      <c r="AI979" s="476"/>
      <c r="AJ979" s="476"/>
      <c r="AK979" s="476"/>
      <c r="AL979" s="476"/>
      <c r="AM979" s="476"/>
      <c r="AN979" s="476"/>
      <c r="AO979" s="476"/>
      <c r="AP979" s="476"/>
      <c r="AQ979" s="476"/>
      <c r="AR979" s="476"/>
      <c r="AS979" s="476"/>
      <c r="AT979" s="476"/>
      <c r="AU979" s="476"/>
    </row>
    <row r="980" spans="1:47" s="398" customFormat="1" ht="13.15" customHeight="1" x14ac:dyDescent="0.2">
      <c r="A980" s="476"/>
      <c r="D980" s="467"/>
      <c r="F980" s="468"/>
      <c r="G980" s="468"/>
      <c r="H980" s="468"/>
      <c r="I980" s="468"/>
      <c r="J980" s="469"/>
      <c r="L980" s="476"/>
      <c r="M980" s="476"/>
      <c r="N980" s="476"/>
      <c r="O980" s="476"/>
      <c r="P980" s="476"/>
      <c r="Q980" s="476"/>
      <c r="R980" s="476"/>
      <c r="S980" s="476"/>
      <c r="T980" s="476"/>
      <c r="U980" s="476"/>
      <c r="V980" s="476"/>
      <c r="W980" s="476"/>
      <c r="X980" s="476"/>
      <c r="Y980" s="476"/>
      <c r="Z980" s="476"/>
      <c r="AA980" s="476"/>
      <c r="AB980" s="476"/>
      <c r="AC980" s="476"/>
      <c r="AD980" s="476"/>
      <c r="AE980" s="476"/>
      <c r="AF980" s="476"/>
      <c r="AG980" s="476"/>
      <c r="AH980" s="476"/>
      <c r="AI980" s="476"/>
      <c r="AJ980" s="476"/>
      <c r="AK980" s="476"/>
      <c r="AL980" s="476"/>
      <c r="AM980" s="476"/>
      <c r="AN980" s="476"/>
      <c r="AO980" s="476"/>
      <c r="AP980" s="476"/>
      <c r="AQ980" s="476"/>
      <c r="AR980" s="476"/>
      <c r="AS980" s="476"/>
      <c r="AT980" s="476"/>
      <c r="AU980" s="476"/>
    </row>
    <row r="981" spans="1:47" s="398" customFormat="1" ht="13.15" customHeight="1" x14ac:dyDescent="0.2">
      <c r="A981" s="476"/>
      <c r="D981" s="467"/>
      <c r="F981" s="468"/>
      <c r="G981" s="468"/>
      <c r="H981" s="468"/>
      <c r="I981" s="468"/>
      <c r="J981" s="469"/>
      <c r="L981" s="476"/>
      <c r="M981" s="476"/>
      <c r="N981" s="476"/>
      <c r="O981" s="476"/>
      <c r="P981" s="476"/>
      <c r="Q981" s="476"/>
      <c r="R981" s="476"/>
      <c r="S981" s="476"/>
      <c r="T981" s="476"/>
      <c r="U981" s="476"/>
      <c r="V981" s="476"/>
      <c r="W981" s="476"/>
      <c r="X981" s="476"/>
      <c r="Y981" s="476"/>
      <c r="Z981" s="476"/>
      <c r="AA981" s="476"/>
      <c r="AB981" s="476"/>
      <c r="AC981" s="476"/>
      <c r="AD981" s="476"/>
      <c r="AE981" s="476"/>
      <c r="AF981" s="476"/>
      <c r="AG981" s="476"/>
      <c r="AH981" s="476"/>
      <c r="AI981" s="476"/>
      <c r="AJ981" s="476"/>
      <c r="AK981" s="476"/>
      <c r="AL981" s="476"/>
      <c r="AM981" s="476"/>
      <c r="AN981" s="476"/>
      <c r="AO981" s="476"/>
      <c r="AP981" s="476"/>
      <c r="AQ981" s="476"/>
      <c r="AR981" s="476"/>
      <c r="AS981" s="476"/>
      <c r="AT981" s="476"/>
      <c r="AU981" s="476"/>
    </row>
    <row r="982" spans="1:47" s="398" customFormat="1" ht="13.15" customHeight="1" x14ac:dyDescent="0.2">
      <c r="A982" s="476"/>
      <c r="D982" s="467"/>
      <c r="F982" s="468"/>
      <c r="G982" s="468"/>
      <c r="H982" s="468"/>
      <c r="I982" s="468"/>
      <c r="J982" s="469"/>
      <c r="L982" s="476"/>
      <c r="M982" s="476"/>
      <c r="N982" s="476"/>
      <c r="O982" s="476"/>
      <c r="P982" s="476"/>
      <c r="Q982" s="476"/>
      <c r="R982" s="476"/>
      <c r="S982" s="476"/>
      <c r="T982" s="476"/>
      <c r="U982" s="476"/>
      <c r="V982" s="476"/>
      <c r="W982" s="476"/>
      <c r="X982" s="476"/>
      <c r="Y982" s="476"/>
      <c r="Z982" s="476"/>
      <c r="AA982" s="476"/>
      <c r="AB982" s="476"/>
      <c r="AC982" s="476"/>
      <c r="AD982" s="476"/>
      <c r="AE982" s="476"/>
      <c r="AF982" s="476"/>
      <c r="AG982" s="476"/>
      <c r="AH982" s="476"/>
      <c r="AI982" s="476"/>
      <c r="AJ982" s="476"/>
      <c r="AK982" s="476"/>
      <c r="AL982" s="476"/>
      <c r="AM982" s="476"/>
      <c r="AN982" s="476"/>
      <c r="AO982" s="476"/>
      <c r="AP982" s="476"/>
      <c r="AQ982" s="476"/>
      <c r="AR982" s="476"/>
      <c r="AS982" s="476"/>
      <c r="AT982" s="476"/>
      <c r="AU982" s="476"/>
    </row>
    <row r="983" spans="1:47" s="398" customFormat="1" ht="13.15" customHeight="1" x14ac:dyDescent="0.2">
      <c r="A983" s="476"/>
      <c r="D983" s="467"/>
      <c r="F983" s="468"/>
      <c r="G983" s="468"/>
      <c r="H983" s="468"/>
      <c r="I983" s="468"/>
      <c r="J983" s="469"/>
      <c r="L983" s="476"/>
      <c r="M983" s="476"/>
      <c r="N983" s="476"/>
      <c r="O983" s="476"/>
      <c r="P983" s="476"/>
      <c r="Q983" s="476"/>
      <c r="R983" s="476"/>
      <c r="S983" s="476"/>
      <c r="T983" s="476"/>
      <c r="U983" s="476"/>
      <c r="V983" s="476"/>
      <c r="W983" s="476"/>
      <c r="X983" s="476"/>
      <c r="Y983" s="476"/>
      <c r="Z983" s="476"/>
      <c r="AA983" s="476"/>
      <c r="AB983" s="476"/>
      <c r="AC983" s="476"/>
      <c r="AD983" s="476"/>
      <c r="AE983" s="476"/>
      <c r="AF983" s="476"/>
      <c r="AG983" s="476"/>
      <c r="AH983" s="476"/>
      <c r="AI983" s="476"/>
      <c r="AJ983" s="476"/>
      <c r="AK983" s="476"/>
      <c r="AL983" s="476"/>
      <c r="AM983" s="476"/>
      <c r="AN983" s="476"/>
      <c r="AO983" s="476"/>
      <c r="AP983" s="476"/>
      <c r="AQ983" s="476"/>
      <c r="AR983" s="476"/>
      <c r="AS983" s="476"/>
      <c r="AT983" s="476"/>
      <c r="AU983" s="476"/>
    </row>
    <row r="984" spans="1:47" s="398" customFormat="1" ht="13.15" customHeight="1" x14ac:dyDescent="0.2">
      <c r="A984" s="476"/>
      <c r="D984" s="467"/>
      <c r="F984" s="468"/>
      <c r="G984" s="468"/>
      <c r="H984" s="468"/>
      <c r="I984" s="468"/>
      <c r="J984" s="469"/>
      <c r="L984" s="476"/>
      <c r="M984" s="476"/>
      <c r="N984" s="476"/>
      <c r="O984" s="476"/>
      <c r="P984" s="476"/>
      <c r="Q984" s="476"/>
      <c r="R984" s="476"/>
      <c r="S984" s="476"/>
      <c r="T984" s="476"/>
      <c r="U984" s="476"/>
      <c r="V984" s="476"/>
      <c r="W984" s="476"/>
      <c r="X984" s="476"/>
      <c r="Y984" s="476"/>
      <c r="Z984" s="476"/>
      <c r="AA984" s="476"/>
      <c r="AB984" s="476"/>
      <c r="AC984" s="476"/>
      <c r="AD984" s="476"/>
      <c r="AE984" s="476"/>
      <c r="AF984" s="476"/>
      <c r="AG984" s="476"/>
      <c r="AH984" s="476"/>
      <c r="AI984" s="476"/>
      <c r="AJ984" s="476"/>
      <c r="AK984" s="476"/>
      <c r="AL984" s="476"/>
      <c r="AM984" s="476"/>
      <c r="AN984" s="476"/>
      <c r="AO984" s="476"/>
      <c r="AP984" s="476"/>
      <c r="AQ984" s="476"/>
      <c r="AR984" s="476"/>
      <c r="AS984" s="476"/>
      <c r="AT984" s="476"/>
      <c r="AU984" s="476"/>
    </row>
    <row r="985" spans="1:47" s="398" customFormat="1" ht="13.15" customHeight="1" x14ac:dyDescent="0.2">
      <c r="A985" s="476"/>
      <c r="D985" s="467"/>
      <c r="F985" s="468"/>
      <c r="G985" s="468"/>
      <c r="H985" s="468"/>
      <c r="I985" s="468"/>
      <c r="J985" s="469"/>
      <c r="L985" s="476"/>
      <c r="M985" s="476"/>
      <c r="N985" s="476"/>
      <c r="O985" s="476"/>
      <c r="P985" s="476"/>
      <c r="Q985" s="476"/>
      <c r="R985" s="476"/>
      <c r="S985" s="476"/>
      <c r="T985" s="476"/>
      <c r="U985" s="476"/>
      <c r="V985" s="476"/>
      <c r="W985" s="476"/>
      <c r="X985" s="476"/>
      <c r="Y985" s="476"/>
      <c r="Z985" s="476"/>
      <c r="AA985" s="476"/>
      <c r="AB985" s="476"/>
      <c r="AC985" s="476"/>
      <c r="AD985" s="476"/>
      <c r="AE985" s="476"/>
      <c r="AF985" s="476"/>
      <c r="AG985" s="476"/>
      <c r="AH985" s="476"/>
      <c r="AI985" s="476"/>
      <c r="AJ985" s="476"/>
      <c r="AK985" s="476"/>
      <c r="AL985" s="476"/>
      <c r="AM985" s="476"/>
      <c r="AN985" s="476"/>
      <c r="AO985" s="476"/>
      <c r="AP985" s="476"/>
      <c r="AQ985" s="476"/>
      <c r="AR985" s="476"/>
      <c r="AS985" s="476"/>
      <c r="AT985" s="476"/>
      <c r="AU985" s="476"/>
    </row>
    <row r="986" spans="1:47" s="398" customFormat="1" ht="13.15" customHeight="1" x14ac:dyDescent="0.2">
      <c r="A986" s="476"/>
      <c r="D986" s="467"/>
      <c r="F986" s="468"/>
      <c r="G986" s="468"/>
      <c r="H986" s="468"/>
      <c r="I986" s="468"/>
      <c r="J986" s="469"/>
      <c r="L986" s="476"/>
      <c r="M986" s="476"/>
      <c r="N986" s="476"/>
      <c r="O986" s="476"/>
      <c r="P986" s="476"/>
      <c r="Q986" s="476"/>
      <c r="R986" s="476"/>
      <c r="S986" s="476"/>
      <c r="T986" s="476"/>
      <c r="U986" s="476"/>
      <c r="V986" s="476"/>
      <c r="W986" s="476"/>
      <c r="X986" s="476"/>
      <c r="Y986" s="476"/>
      <c r="Z986" s="476"/>
      <c r="AA986" s="476"/>
      <c r="AB986" s="476"/>
      <c r="AC986" s="476"/>
      <c r="AD986" s="476"/>
      <c r="AE986" s="476"/>
      <c r="AF986" s="476"/>
      <c r="AG986" s="476"/>
      <c r="AH986" s="476"/>
      <c r="AI986" s="476"/>
      <c r="AJ986" s="476"/>
      <c r="AK986" s="476"/>
      <c r="AL986" s="476"/>
      <c r="AM986" s="476"/>
      <c r="AN986" s="476"/>
      <c r="AO986" s="476"/>
      <c r="AP986" s="476"/>
      <c r="AQ986" s="476"/>
      <c r="AR986" s="476"/>
      <c r="AS986" s="476"/>
      <c r="AT986" s="476"/>
      <c r="AU986" s="476"/>
    </row>
    <row r="987" spans="1:47" s="398" customFormat="1" ht="13.15" customHeight="1" x14ac:dyDescent="0.2">
      <c r="A987" s="476"/>
      <c r="D987" s="467"/>
      <c r="F987" s="468"/>
      <c r="G987" s="468"/>
      <c r="H987" s="468"/>
      <c r="I987" s="468"/>
      <c r="J987" s="469"/>
      <c r="L987" s="476"/>
      <c r="M987" s="476"/>
      <c r="N987" s="476"/>
      <c r="O987" s="476"/>
      <c r="P987" s="476"/>
      <c r="Q987" s="476"/>
      <c r="R987" s="476"/>
      <c r="S987" s="476"/>
      <c r="T987" s="476"/>
      <c r="U987" s="476"/>
      <c r="V987" s="476"/>
      <c r="W987" s="476"/>
      <c r="X987" s="476"/>
      <c r="Y987" s="476"/>
      <c r="Z987" s="476"/>
      <c r="AA987" s="476"/>
      <c r="AB987" s="476"/>
      <c r="AC987" s="476"/>
      <c r="AD987" s="476"/>
      <c r="AE987" s="476"/>
      <c r="AF987" s="476"/>
      <c r="AG987" s="476"/>
      <c r="AH987" s="476"/>
      <c r="AI987" s="476"/>
      <c r="AJ987" s="476"/>
      <c r="AK987" s="476"/>
      <c r="AL987" s="476"/>
      <c r="AM987" s="476"/>
      <c r="AN987" s="476"/>
      <c r="AO987" s="476"/>
      <c r="AP987" s="476"/>
      <c r="AQ987" s="476"/>
      <c r="AR987" s="476"/>
      <c r="AS987" s="476"/>
      <c r="AT987" s="476"/>
      <c r="AU987" s="476"/>
    </row>
    <row r="988" spans="1:47" s="398" customFormat="1" ht="13.15" customHeight="1" x14ac:dyDescent="0.2">
      <c r="A988" s="476"/>
      <c r="D988" s="467"/>
      <c r="F988" s="468"/>
      <c r="G988" s="468"/>
      <c r="H988" s="468"/>
      <c r="I988" s="468"/>
      <c r="J988" s="469"/>
      <c r="L988" s="476"/>
      <c r="M988" s="476"/>
      <c r="N988" s="476"/>
      <c r="O988" s="476"/>
      <c r="P988" s="476"/>
      <c r="Q988" s="476"/>
      <c r="R988" s="476"/>
      <c r="S988" s="476"/>
      <c r="T988" s="476"/>
      <c r="U988" s="476"/>
      <c r="V988" s="476"/>
      <c r="W988" s="476"/>
      <c r="X988" s="476"/>
      <c r="Y988" s="476"/>
      <c r="Z988" s="476"/>
      <c r="AA988" s="476"/>
      <c r="AB988" s="476"/>
      <c r="AC988" s="476"/>
      <c r="AD988" s="476"/>
      <c r="AE988" s="476"/>
      <c r="AF988" s="476"/>
      <c r="AG988" s="476"/>
      <c r="AH988" s="476"/>
      <c r="AI988" s="476"/>
      <c r="AJ988" s="476"/>
      <c r="AK988" s="476"/>
      <c r="AL988" s="476"/>
      <c r="AM988" s="476"/>
      <c r="AN988" s="476"/>
      <c r="AO988" s="476"/>
      <c r="AP988" s="476"/>
      <c r="AQ988" s="476"/>
      <c r="AR988" s="476"/>
      <c r="AS988" s="476"/>
      <c r="AT988" s="476"/>
      <c r="AU988" s="476"/>
    </row>
    <row r="989" spans="1:47" s="398" customFormat="1" ht="13.15" customHeight="1" x14ac:dyDescent="0.2">
      <c r="A989" s="476"/>
      <c r="D989" s="467"/>
      <c r="F989" s="468"/>
      <c r="G989" s="468"/>
      <c r="H989" s="468"/>
      <c r="I989" s="468"/>
      <c r="J989" s="469"/>
      <c r="L989" s="476"/>
      <c r="M989" s="476"/>
      <c r="N989" s="476"/>
      <c r="O989" s="476"/>
      <c r="P989" s="476"/>
      <c r="Q989" s="476"/>
      <c r="R989" s="476"/>
      <c r="S989" s="476"/>
      <c r="T989" s="476"/>
      <c r="U989" s="476"/>
      <c r="V989" s="476"/>
      <c r="W989" s="476"/>
      <c r="X989" s="476"/>
      <c r="Y989" s="476"/>
      <c r="Z989" s="476"/>
      <c r="AA989" s="476"/>
      <c r="AB989" s="476"/>
      <c r="AC989" s="476"/>
      <c r="AD989" s="476"/>
      <c r="AE989" s="476"/>
      <c r="AF989" s="476"/>
      <c r="AG989" s="476"/>
      <c r="AH989" s="476"/>
      <c r="AI989" s="476"/>
      <c r="AJ989" s="476"/>
      <c r="AK989" s="476"/>
      <c r="AL989" s="476"/>
      <c r="AM989" s="476"/>
      <c r="AN989" s="476"/>
      <c r="AO989" s="476"/>
      <c r="AP989" s="476"/>
      <c r="AQ989" s="476"/>
      <c r="AR989" s="476"/>
      <c r="AS989" s="476"/>
      <c r="AT989" s="476"/>
      <c r="AU989" s="476"/>
    </row>
    <row r="990" spans="1:47" s="398" customFormat="1" ht="13.15" customHeight="1" x14ac:dyDescent="0.2">
      <c r="A990" s="476"/>
      <c r="D990" s="467"/>
      <c r="F990" s="468"/>
      <c r="G990" s="468"/>
      <c r="H990" s="468"/>
      <c r="I990" s="468"/>
      <c r="J990" s="469"/>
      <c r="L990" s="476"/>
      <c r="M990" s="476"/>
      <c r="N990" s="476"/>
      <c r="O990" s="476"/>
      <c r="P990" s="476"/>
      <c r="Q990" s="476"/>
      <c r="R990" s="476"/>
      <c r="S990" s="476"/>
      <c r="T990" s="476"/>
      <c r="U990" s="476"/>
      <c r="V990" s="476"/>
      <c r="W990" s="476"/>
      <c r="X990" s="476"/>
      <c r="Y990" s="476"/>
      <c r="Z990" s="476"/>
      <c r="AA990" s="476"/>
      <c r="AB990" s="476"/>
      <c r="AC990" s="476"/>
      <c r="AD990" s="476"/>
      <c r="AE990" s="476"/>
      <c r="AF990" s="476"/>
      <c r="AG990" s="476"/>
      <c r="AH990" s="476"/>
      <c r="AI990" s="476"/>
      <c r="AJ990" s="476"/>
      <c r="AK990" s="476"/>
      <c r="AL990" s="476"/>
      <c r="AM990" s="476"/>
      <c r="AN990" s="476"/>
      <c r="AO990" s="476"/>
      <c r="AP990" s="476"/>
      <c r="AQ990" s="476"/>
      <c r="AR990" s="476"/>
      <c r="AS990" s="476"/>
      <c r="AT990" s="476"/>
      <c r="AU990" s="476"/>
    </row>
    <row r="991" spans="1:47" s="398" customFormat="1" ht="13.15" customHeight="1" x14ac:dyDescent="0.2">
      <c r="A991" s="476"/>
      <c r="D991" s="467"/>
      <c r="F991" s="468"/>
      <c r="G991" s="468"/>
      <c r="H991" s="468"/>
      <c r="I991" s="468"/>
      <c r="J991" s="469"/>
      <c r="L991" s="476"/>
      <c r="M991" s="476"/>
      <c r="N991" s="476"/>
      <c r="O991" s="476"/>
      <c r="P991" s="476"/>
      <c r="Q991" s="476"/>
      <c r="R991" s="476"/>
      <c r="S991" s="476"/>
      <c r="T991" s="476"/>
      <c r="U991" s="476"/>
      <c r="V991" s="476"/>
      <c r="W991" s="476"/>
      <c r="X991" s="476"/>
      <c r="Y991" s="476"/>
      <c r="Z991" s="476"/>
      <c r="AA991" s="476"/>
      <c r="AB991" s="476"/>
      <c r="AC991" s="476"/>
      <c r="AD991" s="476"/>
      <c r="AE991" s="476"/>
      <c r="AF991" s="476"/>
      <c r="AG991" s="476"/>
      <c r="AH991" s="476"/>
      <c r="AI991" s="476"/>
      <c r="AJ991" s="476"/>
      <c r="AK991" s="476"/>
      <c r="AL991" s="476"/>
      <c r="AM991" s="476"/>
      <c r="AN991" s="476"/>
      <c r="AO991" s="476"/>
      <c r="AP991" s="476"/>
      <c r="AQ991" s="476"/>
      <c r="AR991" s="476"/>
      <c r="AS991" s="476"/>
      <c r="AT991" s="476"/>
      <c r="AU991" s="476"/>
    </row>
    <row r="992" spans="1:47" s="398" customFormat="1" ht="13.15" customHeight="1" x14ac:dyDescent="0.2">
      <c r="A992" s="476"/>
      <c r="D992" s="467"/>
      <c r="F992" s="468"/>
      <c r="G992" s="468"/>
      <c r="H992" s="468"/>
      <c r="I992" s="468"/>
      <c r="J992" s="469"/>
      <c r="L992" s="476"/>
      <c r="M992" s="476"/>
      <c r="N992" s="476"/>
      <c r="O992" s="476"/>
      <c r="P992" s="476"/>
      <c r="Q992" s="476"/>
      <c r="R992" s="476"/>
      <c r="S992" s="476"/>
      <c r="T992" s="476"/>
      <c r="U992" s="476"/>
      <c r="V992" s="476"/>
      <c r="W992" s="476"/>
      <c r="X992" s="476"/>
      <c r="Y992" s="476"/>
      <c r="Z992" s="476"/>
      <c r="AA992" s="476"/>
      <c r="AB992" s="476"/>
      <c r="AC992" s="476"/>
      <c r="AD992" s="476"/>
      <c r="AE992" s="476"/>
      <c r="AF992" s="476"/>
      <c r="AG992" s="476"/>
      <c r="AH992" s="476"/>
      <c r="AI992" s="476"/>
      <c r="AJ992" s="476"/>
      <c r="AK992" s="476"/>
      <c r="AL992" s="476"/>
      <c r="AM992" s="476"/>
      <c r="AN992" s="476"/>
      <c r="AO992" s="476"/>
      <c r="AP992" s="476"/>
      <c r="AQ992" s="476"/>
      <c r="AR992" s="476"/>
      <c r="AS992" s="476"/>
      <c r="AT992" s="476"/>
      <c r="AU992" s="476"/>
    </row>
    <row r="993" spans="1:47" s="398" customFormat="1" ht="13.15" customHeight="1" x14ac:dyDescent="0.2">
      <c r="A993" s="476"/>
      <c r="D993" s="467"/>
      <c r="F993" s="468"/>
      <c r="G993" s="468"/>
      <c r="H993" s="468"/>
      <c r="I993" s="468"/>
      <c r="J993" s="469"/>
      <c r="L993" s="476"/>
      <c r="M993" s="476"/>
      <c r="N993" s="476"/>
      <c r="O993" s="476"/>
      <c r="P993" s="476"/>
      <c r="Q993" s="476"/>
      <c r="R993" s="476"/>
      <c r="S993" s="476"/>
      <c r="T993" s="476"/>
      <c r="U993" s="476"/>
      <c r="V993" s="476"/>
      <c r="W993" s="476"/>
      <c r="X993" s="476"/>
      <c r="Y993" s="476"/>
      <c r="Z993" s="476"/>
      <c r="AA993" s="476"/>
      <c r="AB993" s="476"/>
      <c r="AC993" s="476"/>
      <c r="AD993" s="476"/>
      <c r="AE993" s="476"/>
      <c r="AF993" s="476"/>
      <c r="AG993" s="476"/>
      <c r="AH993" s="476"/>
      <c r="AI993" s="476"/>
      <c r="AJ993" s="476"/>
      <c r="AK993" s="476"/>
      <c r="AL993" s="476"/>
      <c r="AM993" s="476"/>
      <c r="AN993" s="476"/>
      <c r="AO993" s="476"/>
      <c r="AP993" s="476"/>
      <c r="AQ993" s="476"/>
      <c r="AR993" s="476"/>
      <c r="AS993" s="476"/>
      <c r="AT993" s="476"/>
      <c r="AU993" s="476"/>
    </row>
    <row r="994" spans="1:47" s="398" customFormat="1" ht="13.15" customHeight="1" x14ac:dyDescent="0.2">
      <c r="A994" s="476"/>
      <c r="D994" s="467"/>
      <c r="F994" s="468"/>
      <c r="G994" s="468"/>
      <c r="H994" s="468"/>
      <c r="I994" s="468"/>
      <c r="J994" s="469"/>
      <c r="L994" s="476"/>
      <c r="M994" s="476"/>
      <c r="N994" s="476"/>
      <c r="O994" s="476"/>
      <c r="P994" s="476"/>
      <c r="Q994" s="476"/>
      <c r="R994" s="476"/>
      <c r="S994" s="476"/>
      <c r="T994" s="476"/>
      <c r="U994" s="476"/>
      <c r="V994" s="476"/>
      <c r="W994" s="476"/>
      <c r="X994" s="476"/>
      <c r="Y994" s="476"/>
      <c r="Z994" s="476"/>
      <c r="AA994" s="476"/>
      <c r="AB994" s="476"/>
      <c r="AC994" s="476"/>
      <c r="AD994" s="476"/>
      <c r="AE994" s="476"/>
      <c r="AF994" s="476"/>
      <c r="AG994" s="476"/>
      <c r="AH994" s="476"/>
      <c r="AI994" s="476"/>
      <c r="AJ994" s="476"/>
      <c r="AK994" s="476"/>
      <c r="AL994" s="476"/>
      <c r="AM994" s="476"/>
      <c r="AN994" s="476"/>
      <c r="AO994" s="476"/>
      <c r="AP994" s="476"/>
      <c r="AQ994" s="476"/>
      <c r="AR994" s="476"/>
      <c r="AS994" s="476"/>
      <c r="AT994" s="476"/>
      <c r="AU994" s="476"/>
    </row>
    <row r="995" spans="1:47" s="398" customFormat="1" ht="13.15" customHeight="1" x14ac:dyDescent="0.2">
      <c r="A995" s="476"/>
      <c r="D995" s="467"/>
      <c r="F995" s="468"/>
      <c r="G995" s="468"/>
      <c r="H995" s="468"/>
      <c r="I995" s="468"/>
      <c r="J995" s="469"/>
      <c r="L995" s="476"/>
      <c r="M995" s="476"/>
      <c r="N995" s="476"/>
      <c r="O995" s="476"/>
      <c r="P995" s="476"/>
      <c r="Q995" s="476"/>
      <c r="R995" s="476"/>
      <c r="S995" s="476"/>
      <c r="T995" s="476"/>
      <c r="U995" s="476"/>
      <c r="V995" s="476"/>
      <c r="W995" s="476"/>
      <c r="X995" s="476"/>
      <c r="Y995" s="476"/>
      <c r="Z995" s="476"/>
      <c r="AA995" s="476"/>
      <c r="AB995" s="476"/>
      <c r="AC995" s="476"/>
      <c r="AD995" s="476"/>
      <c r="AE995" s="476"/>
      <c r="AF995" s="476"/>
      <c r="AG995" s="476"/>
      <c r="AH995" s="476"/>
      <c r="AI995" s="476"/>
      <c r="AJ995" s="476"/>
      <c r="AK995" s="476"/>
      <c r="AL995" s="476"/>
      <c r="AM995" s="476"/>
      <c r="AN995" s="476"/>
      <c r="AO995" s="476"/>
      <c r="AP995" s="476"/>
      <c r="AQ995" s="476"/>
      <c r="AR995" s="476"/>
      <c r="AS995" s="476"/>
      <c r="AT995" s="476"/>
      <c r="AU995" s="476"/>
    </row>
    <row r="996" spans="1:47" s="398" customFormat="1" ht="13.15" customHeight="1" x14ac:dyDescent="0.2">
      <c r="A996" s="476"/>
      <c r="D996" s="467"/>
      <c r="F996" s="468"/>
      <c r="G996" s="468"/>
      <c r="H996" s="468"/>
      <c r="I996" s="468"/>
      <c r="J996" s="469"/>
      <c r="L996" s="476"/>
      <c r="M996" s="476"/>
      <c r="N996" s="476"/>
      <c r="O996" s="476"/>
      <c r="P996" s="476"/>
      <c r="Q996" s="476"/>
      <c r="R996" s="476"/>
      <c r="S996" s="476"/>
      <c r="T996" s="476"/>
      <c r="U996" s="476"/>
      <c r="V996" s="476"/>
      <c r="W996" s="476"/>
      <c r="X996" s="476"/>
      <c r="Y996" s="476"/>
      <c r="Z996" s="476"/>
      <c r="AA996" s="476"/>
      <c r="AB996" s="476"/>
      <c r="AC996" s="476"/>
      <c r="AD996" s="476"/>
      <c r="AE996" s="476"/>
      <c r="AF996" s="476"/>
      <c r="AG996" s="476"/>
      <c r="AH996" s="476"/>
      <c r="AI996" s="476"/>
      <c r="AJ996" s="476"/>
      <c r="AK996" s="476"/>
      <c r="AL996" s="476"/>
      <c r="AM996" s="476"/>
      <c r="AN996" s="476"/>
      <c r="AO996" s="476"/>
      <c r="AP996" s="476"/>
      <c r="AQ996" s="476"/>
      <c r="AR996" s="476"/>
      <c r="AS996" s="476"/>
      <c r="AT996" s="476"/>
      <c r="AU996" s="476"/>
    </row>
    <row r="997" spans="1:47" s="398" customFormat="1" ht="13.15" customHeight="1" x14ac:dyDescent="0.2">
      <c r="A997" s="476"/>
      <c r="D997" s="467"/>
      <c r="F997" s="468"/>
      <c r="G997" s="468"/>
      <c r="H997" s="468"/>
      <c r="I997" s="468"/>
      <c r="J997" s="469"/>
      <c r="L997" s="476"/>
      <c r="M997" s="476"/>
      <c r="N997" s="476"/>
      <c r="O997" s="476"/>
      <c r="P997" s="476"/>
      <c r="Q997" s="476"/>
      <c r="R997" s="476"/>
      <c r="S997" s="476"/>
      <c r="T997" s="476"/>
      <c r="U997" s="476"/>
      <c r="V997" s="476"/>
      <c r="W997" s="476"/>
      <c r="X997" s="476"/>
      <c r="Y997" s="476"/>
      <c r="Z997" s="476"/>
      <c r="AA997" s="476"/>
      <c r="AB997" s="476"/>
      <c r="AC997" s="476"/>
      <c r="AD997" s="476"/>
      <c r="AE997" s="476"/>
      <c r="AF997" s="476"/>
      <c r="AG997" s="476"/>
      <c r="AH997" s="476"/>
      <c r="AI997" s="476"/>
      <c r="AJ997" s="476"/>
      <c r="AK997" s="476"/>
      <c r="AL997" s="476"/>
      <c r="AM997" s="476"/>
      <c r="AN997" s="476"/>
      <c r="AO997" s="476"/>
      <c r="AP997" s="476"/>
      <c r="AQ997" s="476"/>
      <c r="AR997" s="476"/>
      <c r="AS997" s="476"/>
      <c r="AT997" s="476"/>
      <c r="AU997" s="476"/>
    </row>
    <row r="998" spans="1:47" s="398" customFormat="1" ht="13.15" customHeight="1" x14ac:dyDescent="0.2">
      <c r="A998" s="476"/>
      <c r="D998" s="467"/>
      <c r="F998" s="468"/>
      <c r="G998" s="468"/>
      <c r="H998" s="468"/>
      <c r="I998" s="468"/>
      <c r="J998" s="469"/>
      <c r="L998" s="476"/>
      <c r="M998" s="476"/>
      <c r="N998" s="476"/>
      <c r="O998" s="476"/>
      <c r="P998" s="476"/>
      <c r="Q998" s="476"/>
      <c r="R998" s="476"/>
      <c r="S998" s="476"/>
      <c r="T998" s="476"/>
      <c r="U998" s="476"/>
      <c r="V998" s="476"/>
      <c r="W998" s="476"/>
      <c r="X998" s="476"/>
      <c r="Y998" s="476"/>
      <c r="Z998" s="476"/>
      <c r="AA998" s="476"/>
      <c r="AB998" s="476"/>
      <c r="AC998" s="476"/>
      <c r="AD998" s="476"/>
      <c r="AE998" s="476"/>
      <c r="AF998" s="476"/>
      <c r="AG998" s="476"/>
      <c r="AH998" s="476"/>
      <c r="AI998" s="476"/>
      <c r="AJ998" s="476"/>
      <c r="AK998" s="476"/>
      <c r="AL998" s="476"/>
      <c r="AM998" s="476"/>
      <c r="AN998" s="476"/>
      <c r="AO998" s="476"/>
      <c r="AP998" s="476"/>
      <c r="AQ998" s="476"/>
      <c r="AR998" s="476"/>
      <c r="AS998" s="476"/>
      <c r="AT998" s="476"/>
      <c r="AU998" s="476"/>
    </row>
    <row r="999" spans="1:47" s="398" customFormat="1" ht="13.15" customHeight="1" x14ac:dyDescent="0.2">
      <c r="A999" s="476"/>
      <c r="D999" s="467"/>
      <c r="F999" s="468"/>
      <c r="G999" s="468"/>
      <c r="H999" s="468"/>
      <c r="I999" s="468"/>
      <c r="J999" s="469"/>
      <c r="L999" s="476"/>
      <c r="M999" s="476"/>
      <c r="N999" s="476"/>
      <c r="O999" s="476"/>
      <c r="P999" s="476"/>
      <c r="Q999" s="476"/>
      <c r="R999" s="476"/>
      <c r="S999" s="476"/>
      <c r="T999" s="476"/>
      <c r="U999" s="476"/>
      <c r="V999" s="476"/>
      <c r="W999" s="476"/>
      <c r="X999" s="476"/>
      <c r="Y999" s="476"/>
      <c r="Z999" s="476"/>
      <c r="AA999" s="476"/>
      <c r="AB999" s="476"/>
      <c r="AC999" s="476"/>
      <c r="AD999" s="476"/>
      <c r="AE999" s="476"/>
      <c r="AF999" s="476"/>
      <c r="AG999" s="476"/>
      <c r="AH999" s="476"/>
      <c r="AI999" s="476"/>
      <c r="AJ999" s="476"/>
      <c r="AK999" s="476"/>
      <c r="AL999" s="476"/>
      <c r="AM999" s="476"/>
      <c r="AN999" s="476"/>
      <c r="AO999" s="476"/>
      <c r="AP999" s="476"/>
      <c r="AQ999" s="476"/>
      <c r="AR999" s="476"/>
      <c r="AS999" s="476"/>
      <c r="AT999" s="476"/>
      <c r="AU999" s="476"/>
    </row>
    <row r="1000" spans="1:47" s="398" customFormat="1" ht="13.15" customHeight="1" x14ac:dyDescent="0.2">
      <c r="A1000" s="476"/>
      <c r="D1000" s="467"/>
      <c r="F1000" s="468"/>
      <c r="G1000" s="468"/>
      <c r="H1000" s="468"/>
      <c r="I1000" s="468"/>
      <c r="J1000" s="469"/>
      <c r="L1000" s="476"/>
      <c r="M1000" s="476"/>
      <c r="N1000" s="476"/>
      <c r="O1000" s="476"/>
      <c r="P1000" s="476"/>
      <c r="Q1000" s="476"/>
      <c r="R1000" s="476"/>
      <c r="S1000" s="476"/>
      <c r="T1000" s="476"/>
      <c r="U1000" s="476"/>
      <c r="V1000" s="476"/>
      <c r="W1000" s="476"/>
      <c r="X1000" s="476"/>
      <c r="Y1000" s="476"/>
      <c r="Z1000" s="476"/>
      <c r="AA1000" s="476"/>
      <c r="AB1000" s="476"/>
      <c r="AC1000" s="476"/>
      <c r="AD1000" s="476"/>
      <c r="AE1000" s="476"/>
      <c r="AF1000" s="476"/>
      <c r="AG1000" s="476"/>
      <c r="AH1000" s="476"/>
      <c r="AI1000" s="476"/>
      <c r="AJ1000" s="476"/>
      <c r="AK1000" s="476"/>
      <c r="AL1000" s="476"/>
      <c r="AM1000" s="476"/>
      <c r="AN1000" s="476"/>
      <c r="AO1000" s="476"/>
      <c r="AP1000" s="476"/>
      <c r="AQ1000" s="476"/>
      <c r="AR1000" s="476"/>
      <c r="AS1000" s="476"/>
      <c r="AT1000" s="476"/>
      <c r="AU1000" s="476"/>
    </row>
    <row r="1001" spans="1:47" s="398" customFormat="1" ht="13.15" customHeight="1" x14ac:dyDescent="0.2">
      <c r="A1001" s="476"/>
      <c r="D1001" s="467"/>
      <c r="F1001" s="468"/>
      <c r="G1001" s="468"/>
      <c r="H1001" s="468"/>
      <c r="I1001" s="468"/>
      <c r="J1001" s="469"/>
      <c r="L1001" s="476"/>
      <c r="M1001" s="476"/>
      <c r="N1001" s="476"/>
      <c r="O1001" s="476"/>
      <c r="P1001" s="476"/>
      <c r="Q1001" s="476"/>
      <c r="R1001" s="476"/>
      <c r="S1001" s="476"/>
      <c r="T1001" s="476"/>
      <c r="U1001" s="476"/>
      <c r="V1001" s="476"/>
      <c r="W1001" s="476"/>
      <c r="X1001" s="476"/>
      <c r="Y1001" s="476"/>
      <c r="Z1001" s="476"/>
      <c r="AA1001" s="476"/>
      <c r="AB1001" s="476"/>
      <c r="AC1001" s="476"/>
      <c r="AD1001" s="476"/>
      <c r="AE1001" s="476"/>
      <c r="AF1001" s="476"/>
      <c r="AG1001" s="476"/>
      <c r="AH1001" s="476"/>
      <c r="AI1001" s="476"/>
      <c r="AJ1001" s="476"/>
      <c r="AK1001" s="476"/>
      <c r="AL1001" s="476"/>
      <c r="AM1001" s="476"/>
      <c r="AN1001" s="476"/>
      <c r="AO1001" s="476"/>
      <c r="AP1001" s="476"/>
      <c r="AQ1001" s="476"/>
      <c r="AR1001" s="476"/>
      <c r="AS1001" s="476"/>
      <c r="AT1001" s="476"/>
      <c r="AU1001" s="476"/>
    </row>
    <row r="1002" spans="1:47" s="398" customFormat="1" ht="13.15" customHeight="1" x14ac:dyDescent="0.2">
      <c r="A1002" s="476"/>
      <c r="D1002" s="467"/>
      <c r="F1002" s="468"/>
      <c r="G1002" s="468"/>
      <c r="H1002" s="468"/>
      <c r="I1002" s="468"/>
      <c r="J1002" s="469"/>
      <c r="L1002" s="476"/>
      <c r="M1002" s="476"/>
      <c r="N1002" s="476"/>
      <c r="O1002" s="476"/>
      <c r="P1002" s="476"/>
      <c r="Q1002" s="476"/>
      <c r="R1002" s="476"/>
      <c r="S1002" s="476"/>
      <c r="T1002" s="476"/>
      <c r="U1002" s="476"/>
      <c r="V1002" s="476"/>
      <c r="W1002" s="476"/>
      <c r="X1002" s="476"/>
      <c r="Y1002" s="476"/>
      <c r="Z1002" s="476"/>
      <c r="AA1002" s="476"/>
      <c r="AB1002" s="476"/>
      <c r="AC1002" s="476"/>
      <c r="AD1002" s="476"/>
      <c r="AE1002" s="476"/>
      <c r="AF1002" s="476"/>
      <c r="AG1002" s="476"/>
      <c r="AH1002" s="476"/>
      <c r="AI1002" s="476"/>
      <c r="AJ1002" s="476"/>
      <c r="AK1002" s="476"/>
      <c r="AL1002" s="476"/>
      <c r="AM1002" s="476"/>
      <c r="AN1002" s="476"/>
      <c r="AO1002" s="476"/>
      <c r="AP1002" s="476"/>
      <c r="AQ1002" s="476"/>
      <c r="AR1002" s="476"/>
      <c r="AS1002" s="476"/>
      <c r="AT1002" s="476"/>
      <c r="AU1002" s="476"/>
    </row>
    <row r="1003" spans="1:47" s="398" customFormat="1" ht="13.15" customHeight="1" x14ac:dyDescent="0.2">
      <c r="A1003" s="476"/>
      <c r="D1003" s="467"/>
      <c r="F1003" s="468"/>
      <c r="G1003" s="468"/>
      <c r="H1003" s="468"/>
      <c r="I1003" s="468"/>
      <c r="J1003" s="469"/>
      <c r="L1003" s="476"/>
      <c r="M1003" s="476"/>
      <c r="N1003" s="476"/>
      <c r="O1003" s="476"/>
      <c r="P1003" s="476"/>
      <c r="Q1003" s="476"/>
      <c r="R1003" s="476"/>
      <c r="S1003" s="476"/>
      <c r="T1003" s="476"/>
      <c r="U1003" s="476"/>
      <c r="V1003" s="476"/>
      <c r="W1003" s="476"/>
      <c r="X1003" s="476"/>
      <c r="Y1003" s="476"/>
      <c r="Z1003" s="476"/>
      <c r="AA1003" s="476"/>
      <c r="AB1003" s="476"/>
      <c r="AC1003" s="476"/>
      <c r="AD1003" s="476"/>
      <c r="AE1003" s="476"/>
      <c r="AF1003" s="476"/>
      <c r="AG1003" s="476"/>
      <c r="AH1003" s="476"/>
      <c r="AI1003" s="476"/>
      <c r="AJ1003" s="476"/>
      <c r="AK1003" s="476"/>
      <c r="AL1003" s="476"/>
      <c r="AM1003" s="476"/>
      <c r="AN1003" s="476"/>
      <c r="AO1003" s="476"/>
      <c r="AP1003" s="476"/>
      <c r="AQ1003" s="476"/>
      <c r="AR1003" s="476"/>
      <c r="AS1003" s="476"/>
      <c r="AT1003" s="476"/>
      <c r="AU1003" s="476"/>
    </row>
    <row r="1004" spans="1:47" s="398" customFormat="1" ht="13.15" customHeight="1" x14ac:dyDescent="0.2">
      <c r="A1004" s="476"/>
      <c r="D1004" s="467"/>
      <c r="F1004" s="468"/>
      <c r="G1004" s="468"/>
      <c r="H1004" s="468"/>
      <c r="I1004" s="468"/>
      <c r="J1004" s="469"/>
      <c r="L1004" s="476"/>
      <c r="M1004" s="476"/>
      <c r="N1004" s="476"/>
      <c r="O1004" s="476"/>
      <c r="P1004" s="476"/>
      <c r="Q1004" s="476"/>
      <c r="R1004" s="476"/>
      <c r="S1004" s="476"/>
      <c r="T1004" s="476"/>
      <c r="U1004" s="476"/>
      <c r="V1004" s="476"/>
      <c r="W1004" s="476"/>
      <c r="X1004" s="476"/>
      <c r="Y1004" s="476"/>
      <c r="Z1004" s="476"/>
      <c r="AA1004" s="476"/>
      <c r="AB1004" s="476"/>
      <c r="AC1004" s="476"/>
      <c r="AD1004" s="476"/>
      <c r="AE1004" s="476"/>
      <c r="AF1004" s="476"/>
      <c r="AG1004" s="476"/>
      <c r="AH1004" s="476"/>
      <c r="AI1004" s="476"/>
      <c r="AJ1004" s="476"/>
      <c r="AK1004" s="476"/>
      <c r="AL1004" s="476"/>
      <c r="AM1004" s="476"/>
      <c r="AN1004" s="476"/>
      <c r="AO1004" s="476"/>
      <c r="AP1004" s="476"/>
      <c r="AQ1004" s="476"/>
      <c r="AR1004" s="476"/>
      <c r="AS1004" s="476"/>
      <c r="AT1004" s="476"/>
      <c r="AU1004" s="476"/>
    </row>
    <row r="1005" spans="1:47" s="398" customFormat="1" ht="13.15" customHeight="1" x14ac:dyDescent="0.2">
      <c r="A1005" s="476"/>
      <c r="D1005" s="467"/>
      <c r="F1005" s="468"/>
      <c r="G1005" s="468"/>
      <c r="H1005" s="468"/>
      <c r="I1005" s="468"/>
      <c r="J1005" s="469"/>
      <c r="L1005" s="476"/>
      <c r="M1005" s="476"/>
      <c r="N1005" s="476"/>
      <c r="O1005" s="476"/>
      <c r="P1005" s="476"/>
      <c r="Q1005" s="476"/>
      <c r="R1005" s="476"/>
      <c r="S1005" s="476"/>
      <c r="T1005" s="476"/>
      <c r="U1005" s="476"/>
      <c r="V1005" s="476"/>
      <c r="W1005" s="476"/>
      <c r="X1005" s="476"/>
      <c r="Y1005" s="476"/>
      <c r="Z1005" s="476"/>
      <c r="AA1005" s="476"/>
      <c r="AB1005" s="476"/>
      <c r="AC1005" s="476"/>
      <c r="AD1005" s="476"/>
      <c r="AE1005" s="476"/>
      <c r="AF1005" s="476"/>
      <c r="AG1005" s="476"/>
      <c r="AH1005" s="476"/>
      <c r="AI1005" s="476"/>
      <c r="AJ1005" s="476"/>
      <c r="AK1005" s="476"/>
      <c r="AL1005" s="476"/>
      <c r="AM1005" s="476"/>
      <c r="AN1005" s="476"/>
      <c r="AO1005" s="476"/>
      <c r="AP1005" s="476"/>
      <c r="AQ1005" s="476"/>
      <c r="AR1005" s="476"/>
      <c r="AS1005" s="476"/>
      <c r="AT1005" s="476"/>
      <c r="AU1005" s="476"/>
    </row>
    <row r="1006" spans="1:47" s="398" customFormat="1" ht="13.15" customHeight="1" x14ac:dyDescent="0.2">
      <c r="A1006" s="476"/>
      <c r="D1006" s="467"/>
      <c r="F1006" s="468"/>
      <c r="G1006" s="468"/>
      <c r="H1006" s="468"/>
      <c r="I1006" s="468"/>
      <c r="J1006" s="469"/>
      <c r="L1006" s="476"/>
      <c r="M1006" s="476"/>
      <c r="N1006" s="476"/>
      <c r="O1006" s="476"/>
      <c r="P1006" s="476"/>
      <c r="Q1006" s="476"/>
      <c r="R1006" s="476"/>
      <c r="S1006" s="476"/>
      <c r="T1006" s="476"/>
      <c r="U1006" s="476"/>
      <c r="V1006" s="476"/>
      <c r="W1006" s="476"/>
      <c r="X1006" s="476"/>
      <c r="Y1006" s="476"/>
      <c r="Z1006" s="476"/>
      <c r="AA1006" s="476"/>
      <c r="AB1006" s="476"/>
      <c r="AC1006" s="476"/>
      <c r="AD1006" s="476"/>
      <c r="AE1006" s="476"/>
      <c r="AF1006" s="476"/>
      <c r="AG1006" s="476"/>
      <c r="AH1006" s="476"/>
      <c r="AI1006" s="476"/>
      <c r="AJ1006" s="476"/>
      <c r="AK1006" s="476"/>
      <c r="AL1006" s="476"/>
      <c r="AM1006" s="476"/>
      <c r="AN1006" s="476"/>
      <c r="AO1006" s="476"/>
      <c r="AP1006" s="476"/>
      <c r="AQ1006" s="476"/>
      <c r="AR1006" s="476"/>
      <c r="AS1006" s="476"/>
      <c r="AT1006" s="476"/>
      <c r="AU1006" s="476"/>
    </row>
    <row r="1007" spans="1:47" s="398" customFormat="1" ht="13.15" customHeight="1" x14ac:dyDescent="0.2">
      <c r="A1007" s="476"/>
      <c r="D1007" s="467"/>
      <c r="F1007" s="468"/>
      <c r="G1007" s="468"/>
      <c r="H1007" s="468"/>
      <c r="I1007" s="468"/>
      <c r="J1007" s="469"/>
      <c r="L1007" s="476"/>
      <c r="M1007" s="476"/>
      <c r="N1007" s="476"/>
      <c r="O1007" s="476"/>
      <c r="P1007" s="476"/>
      <c r="Q1007" s="476"/>
      <c r="R1007" s="476"/>
      <c r="S1007" s="476"/>
      <c r="T1007" s="476"/>
      <c r="U1007" s="476"/>
      <c r="V1007" s="476"/>
      <c r="W1007" s="476"/>
      <c r="X1007" s="476"/>
      <c r="Y1007" s="476"/>
      <c r="Z1007" s="476"/>
      <c r="AA1007" s="476"/>
      <c r="AB1007" s="476"/>
      <c r="AC1007" s="476"/>
      <c r="AD1007" s="476"/>
      <c r="AE1007" s="476"/>
      <c r="AF1007" s="476"/>
      <c r="AG1007" s="476"/>
      <c r="AH1007" s="476"/>
      <c r="AI1007" s="476"/>
      <c r="AJ1007" s="476"/>
      <c r="AK1007" s="476"/>
      <c r="AL1007" s="476"/>
      <c r="AM1007" s="476"/>
      <c r="AN1007" s="476"/>
      <c r="AO1007" s="476"/>
      <c r="AP1007" s="476"/>
      <c r="AQ1007" s="476"/>
      <c r="AR1007" s="476"/>
      <c r="AS1007" s="476"/>
      <c r="AT1007" s="476"/>
      <c r="AU1007" s="476"/>
    </row>
    <row r="1008" spans="1:47" s="398" customFormat="1" ht="13.15" customHeight="1" x14ac:dyDescent="0.2">
      <c r="A1008" s="476"/>
      <c r="D1008" s="467"/>
      <c r="F1008" s="468"/>
      <c r="G1008" s="468"/>
      <c r="H1008" s="468"/>
      <c r="I1008" s="468"/>
      <c r="J1008" s="469"/>
      <c r="L1008" s="476"/>
      <c r="M1008" s="476"/>
      <c r="N1008" s="476"/>
      <c r="O1008" s="476"/>
      <c r="P1008" s="476"/>
      <c r="Q1008" s="476"/>
      <c r="R1008" s="476"/>
      <c r="S1008" s="476"/>
      <c r="T1008" s="476"/>
      <c r="U1008" s="476"/>
      <c r="V1008" s="476"/>
      <c r="W1008" s="476"/>
      <c r="X1008" s="476"/>
      <c r="Y1008" s="476"/>
      <c r="Z1008" s="476"/>
      <c r="AA1008" s="476"/>
      <c r="AB1008" s="476"/>
      <c r="AC1008" s="476"/>
      <c r="AD1008" s="476"/>
      <c r="AE1008" s="476"/>
      <c r="AF1008" s="476"/>
      <c r="AG1008" s="476"/>
      <c r="AH1008" s="476"/>
      <c r="AI1008" s="476"/>
      <c r="AJ1008" s="476"/>
      <c r="AK1008" s="476"/>
      <c r="AL1008" s="476"/>
      <c r="AM1008" s="476"/>
      <c r="AN1008" s="476"/>
      <c r="AO1008" s="476"/>
      <c r="AP1008" s="476"/>
      <c r="AQ1008" s="476"/>
      <c r="AR1008" s="476"/>
      <c r="AS1008" s="476"/>
      <c r="AT1008" s="476"/>
      <c r="AU1008" s="476"/>
    </row>
    <row r="1009" spans="1:47" s="398" customFormat="1" ht="13.15" customHeight="1" x14ac:dyDescent="0.2">
      <c r="A1009" s="476"/>
      <c r="D1009" s="467"/>
      <c r="F1009" s="468"/>
      <c r="G1009" s="468"/>
      <c r="H1009" s="468"/>
      <c r="I1009" s="468"/>
      <c r="J1009" s="469"/>
      <c r="L1009" s="476"/>
      <c r="M1009" s="476"/>
      <c r="N1009" s="476"/>
      <c r="O1009" s="476"/>
      <c r="P1009" s="476"/>
      <c r="Q1009" s="476"/>
      <c r="R1009" s="476"/>
      <c r="S1009" s="476"/>
      <c r="T1009" s="476"/>
      <c r="U1009" s="476"/>
      <c r="V1009" s="476"/>
      <c r="W1009" s="476"/>
      <c r="X1009" s="476"/>
      <c r="Y1009" s="476"/>
      <c r="Z1009" s="476"/>
      <c r="AA1009" s="476"/>
      <c r="AB1009" s="476"/>
      <c r="AC1009" s="476"/>
      <c r="AD1009" s="476"/>
      <c r="AE1009" s="476"/>
      <c r="AF1009" s="476"/>
      <c r="AG1009" s="476"/>
      <c r="AH1009" s="476"/>
      <c r="AI1009" s="476"/>
      <c r="AJ1009" s="476"/>
      <c r="AK1009" s="476"/>
      <c r="AL1009" s="476"/>
      <c r="AM1009" s="476"/>
      <c r="AN1009" s="476"/>
      <c r="AO1009" s="476"/>
      <c r="AP1009" s="476"/>
      <c r="AQ1009" s="476"/>
      <c r="AR1009" s="476"/>
      <c r="AS1009" s="476"/>
      <c r="AT1009" s="476"/>
      <c r="AU1009" s="476"/>
    </row>
    <row r="1010" spans="1:47" s="398" customFormat="1" ht="13.15" customHeight="1" x14ac:dyDescent="0.2">
      <c r="A1010" s="476"/>
      <c r="D1010" s="467"/>
      <c r="F1010" s="468"/>
      <c r="G1010" s="468"/>
      <c r="H1010" s="468"/>
      <c r="I1010" s="468"/>
      <c r="J1010" s="469"/>
      <c r="L1010" s="476"/>
      <c r="M1010" s="476"/>
      <c r="N1010" s="476"/>
      <c r="O1010" s="476"/>
      <c r="P1010" s="476"/>
      <c r="Q1010" s="476"/>
      <c r="R1010" s="476"/>
      <c r="S1010" s="476"/>
      <c r="T1010" s="476"/>
      <c r="U1010" s="476"/>
      <c r="V1010" s="476"/>
      <c r="W1010" s="476"/>
      <c r="X1010" s="476"/>
      <c r="Y1010" s="476"/>
      <c r="Z1010" s="476"/>
      <c r="AA1010" s="476"/>
      <c r="AB1010" s="476"/>
      <c r="AC1010" s="476"/>
      <c r="AD1010" s="476"/>
      <c r="AE1010" s="476"/>
      <c r="AF1010" s="476"/>
      <c r="AG1010" s="476"/>
      <c r="AH1010" s="476"/>
      <c r="AI1010" s="476"/>
      <c r="AJ1010" s="476"/>
      <c r="AK1010" s="476"/>
      <c r="AL1010" s="476"/>
      <c r="AM1010" s="476"/>
      <c r="AN1010" s="476"/>
      <c r="AO1010" s="476"/>
      <c r="AP1010" s="476"/>
      <c r="AQ1010" s="476"/>
      <c r="AR1010" s="476"/>
      <c r="AS1010" s="476"/>
      <c r="AT1010" s="476"/>
      <c r="AU1010" s="476"/>
    </row>
    <row r="1011" spans="1:47" s="398" customFormat="1" ht="13.15" customHeight="1" x14ac:dyDescent="0.2">
      <c r="A1011" s="476"/>
      <c r="D1011" s="467"/>
      <c r="F1011" s="468"/>
      <c r="G1011" s="468"/>
      <c r="H1011" s="468"/>
      <c r="I1011" s="468"/>
      <c r="J1011" s="469"/>
      <c r="L1011" s="476"/>
      <c r="M1011" s="476"/>
      <c r="N1011" s="476"/>
      <c r="O1011" s="476"/>
      <c r="P1011" s="476"/>
      <c r="Q1011" s="476"/>
      <c r="R1011" s="476"/>
      <c r="S1011" s="476"/>
      <c r="T1011" s="476"/>
      <c r="U1011" s="476"/>
      <c r="V1011" s="476"/>
      <c r="W1011" s="476"/>
      <c r="X1011" s="476"/>
      <c r="Y1011" s="476"/>
      <c r="Z1011" s="476"/>
      <c r="AA1011" s="476"/>
      <c r="AB1011" s="476"/>
      <c r="AC1011" s="476"/>
      <c r="AD1011" s="476"/>
      <c r="AE1011" s="476"/>
      <c r="AF1011" s="476"/>
      <c r="AG1011" s="476"/>
      <c r="AH1011" s="476"/>
      <c r="AI1011" s="476"/>
      <c r="AJ1011" s="476"/>
      <c r="AK1011" s="476"/>
      <c r="AL1011" s="476"/>
      <c r="AM1011" s="476"/>
      <c r="AN1011" s="476"/>
      <c r="AO1011" s="476"/>
      <c r="AP1011" s="476"/>
      <c r="AQ1011" s="476"/>
      <c r="AR1011" s="476"/>
      <c r="AS1011" s="476"/>
      <c r="AT1011" s="476"/>
      <c r="AU1011" s="476"/>
    </row>
    <row r="1012" spans="1:47" s="398" customFormat="1" ht="13.15" customHeight="1" x14ac:dyDescent="0.2">
      <c r="A1012" s="476"/>
      <c r="D1012" s="467"/>
      <c r="F1012" s="468"/>
      <c r="G1012" s="468"/>
      <c r="H1012" s="468"/>
      <c r="I1012" s="468"/>
      <c r="J1012" s="469"/>
      <c r="L1012" s="476"/>
      <c r="M1012" s="476"/>
      <c r="N1012" s="476"/>
      <c r="O1012" s="476"/>
      <c r="P1012" s="476"/>
      <c r="Q1012" s="476"/>
      <c r="R1012" s="476"/>
      <c r="S1012" s="476"/>
      <c r="T1012" s="476"/>
      <c r="U1012" s="476"/>
      <c r="V1012" s="476"/>
      <c r="W1012" s="476"/>
      <c r="X1012" s="476"/>
      <c r="Y1012" s="476"/>
      <c r="Z1012" s="476"/>
      <c r="AA1012" s="476"/>
      <c r="AB1012" s="476"/>
      <c r="AC1012" s="476"/>
      <c r="AD1012" s="476"/>
      <c r="AE1012" s="476"/>
      <c r="AF1012" s="476"/>
      <c r="AG1012" s="476"/>
      <c r="AH1012" s="476"/>
      <c r="AI1012" s="476"/>
      <c r="AJ1012" s="476"/>
      <c r="AK1012" s="476"/>
      <c r="AL1012" s="476"/>
      <c r="AM1012" s="476"/>
      <c r="AN1012" s="476"/>
      <c r="AO1012" s="476"/>
      <c r="AP1012" s="476"/>
      <c r="AQ1012" s="476"/>
      <c r="AR1012" s="476"/>
      <c r="AS1012" s="476"/>
      <c r="AT1012" s="476"/>
      <c r="AU1012" s="476"/>
    </row>
    <row r="1013" spans="1:47" s="398" customFormat="1" ht="13.15" customHeight="1" x14ac:dyDescent="0.2">
      <c r="A1013" s="476"/>
      <c r="D1013" s="467"/>
      <c r="F1013" s="468"/>
      <c r="G1013" s="468"/>
      <c r="H1013" s="468"/>
      <c r="I1013" s="468"/>
      <c r="J1013" s="469"/>
      <c r="L1013" s="476"/>
      <c r="M1013" s="476"/>
      <c r="N1013" s="476"/>
      <c r="O1013" s="476"/>
      <c r="P1013" s="476"/>
      <c r="Q1013" s="476"/>
      <c r="R1013" s="476"/>
      <c r="S1013" s="476"/>
      <c r="T1013" s="476"/>
      <c r="U1013" s="476"/>
      <c r="V1013" s="476"/>
      <c r="W1013" s="476"/>
      <c r="X1013" s="476"/>
      <c r="Y1013" s="476"/>
      <c r="Z1013" s="476"/>
      <c r="AA1013" s="476"/>
      <c r="AB1013" s="476"/>
      <c r="AC1013" s="476"/>
      <c r="AD1013" s="476"/>
      <c r="AE1013" s="476"/>
      <c r="AF1013" s="476"/>
      <c r="AG1013" s="476"/>
      <c r="AH1013" s="476"/>
      <c r="AI1013" s="476"/>
      <c r="AJ1013" s="476"/>
      <c r="AK1013" s="476"/>
      <c r="AL1013" s="476"/>
      <c r="AM1013" s="476"/>
      <c r="AN1013" s="476"/>
      <c r="AO1013" s="476"/>
      <c r="AP1013" s="476"/>
      <c r="AQ1013" s="476"/>
      <c r="AR1013" s="476"/>
      <c r="AS1013" s="476"/>
      <c r="AT1013" s="476"/>
      <c r="AU1013" s="476"/>
    </row>
    <row r="1014" spans="1:47" s="398" customFormat="1" ht="13.15" customHeight="1" x14ac:dyDescent="0.2">
      <c r="A1014" s="476"/>
      <c r="D1014" s="467"/>
      <c r="F1014" s="468"/>
      <c r="G1014" s="468"/>
      <c r="H1014" s="468"/>
      <c r="I1014" s="468"/>
      <c r="J1014" s="469"/>
      <c r="L1014" s="476"/>
      <c r="M1014" s="476"/>
      <c r="N1014" s="476"/>
      <c r="O1014" s="476"/>
      <c r="P1014" s="476"/>
      <c r="Q1014" s="476"/>
      <c r="R1014" s="476"/>
      <c r="S1014" s="476"/>
      <c r="T1014" s="476"/>
      <c r="U1014" s="476"/>
      <c r="V1014" s="476"/>
      <c r="W1014" s="476"/>
      <c r="X1014" s="476"/>
      <c r="Y1014" s="476"/>
      <c r="Z1014" s="476"/>
      <c r="AA1014" s="476"/>
      <c r="AB1014" s="476"/>
      <c r="AC1014" s="476"/>
      <c r="AD1014" s="476"/>
      <c r="AE1014" s="476"/>
      <c r="AF1014" s="476"/>
      <c r="AG1014" s="476"/>
      <c r="AH1014" s="476"/>
      <c r="AI1014" s="476"/>
      <c r="AJ1014" s="476"/>
      <c r="AK1014" s="476"/>
      <c r="AL1014" s="476"/>
      <c r="AM1014" s="476"/>
      <c r="AN1014" s="476"/>
      <c r="AO1014" s="476"/>
      <c r="AP1014" s="476"/>
      <c r="AQ1014" s="476"/>
      <c r="AR1014" s="476"/>
      <c r="AS1014" s="476"/>
      <c r="AT1014" s="476"/>
      <c r="AU1014" s="476"/>
    </row>
    <row r="1015" spans="1:47" s="398" customFormat="1" ht="13.15" customHeight="1" x14ac:dyDescent="0.2">
      <c r="A1015" s="476"/>
      <c r="D1015" s="467"/>
      <c r="F1015" s="468"/>
      <c r="G1015" s="468"/>
      <c r="H1015" s="468"/>
      <c r="I1015" s="468"/>
      <c r="J1015" s="469"/>
      <c r="L1015" s="476"/>
      <c r="M1015" s="476"/>
      <c r="N1015" s="476"/>
      <c r="O1015" s="476"/>
      <c r="P1015" s="476"/>
      <c r="Q1015" s="476"/>
      <c r="R1015" s="476"/>
      <c r="S1015" s="476"/>
      <c r="T1015" s="476"/>
      <c r="U1015" s="476"/>
      <c r="V1015" s="476"/>
      <c r="W1015" s="476"/>
      <c r="X1015" s="476"/>
      <c r="Y1015" s="476"/>
      <c r="Z1015" s="476"/>
      <c r="AA1015" s="476"/>
      <c r="AB1015" s="476"/>
      <c r="AC1015" s="476"/>
      <c r="AD1015" s="476"/>
      <c r="AE1015" s="476"/>
      <c r="AF1015" s="476"/>
      <c r="AG1015" s="476"/>
      <c r="AH1015" s="476"/>
      <c r="AI1015" s="476"/>
      <c r="AJ1015" s="476"/>
      <c r="AK1015" s="476"/>
      <c r="AL1015" s="476"/>
      <c r="AM1015" s="476"/>
      <c r="AN1015" s="476"/>
      <c r="AO1015" s="476"/>
      <c r="AP1015" s="476"/>
      <c r="AQ1015" s="476"/>
      <c r="AR1015" s="476"/>
      <c r="AS1015" s="476"/>
      <c r="AT1015" s="476"/>
      <c r="AU1015" s="476"/>
    </row>
    <row r="1016" spans="1:47" s="398" customFormat="1" ht="13.15" customHeight="1" x14ac:dyDescent="0.2">
      <c r="A1016" s="476"/>
      <c r="D1016" s="467"/>
      <c r="F1016" s="468"/>
      <c r="G1016" s="468"/>
      <c r="H1016" s="468"/>
      <c r="I1016" s="468"/>
      <c r="J1016" s="469"/>
      <c r="L1016" s="476"/>
      <c r="M1016" s="476"/>
      <c r="N1016" s="476"/>
      <c r="O1016" s="476"/>
      <c r="P1016" s="476"/>
      <c r="Q1016" s="476"/>
      <c r="R1016" s="476"/>
      <c r="S1016" s="476"/>
      <c r="T1016" s="476"/>
      <c r="U1016" s="476"/>
      <c r="V1016" s="476"/>
      <c r="W1016" s="476"/>
      <c r="X1016" s="476"/>
      <c r="Y1016" s="476"/>
      <c r="Z1016" s="476"/>
      <c r="AA1016" s="476"/>
      <c r="AB1016" s="476"/>
      <c r="AC1016" s="476"/>
      <c r="AD1016" s="476"/>
      <c r="AE1016" s="476"/>
      <c r="AF1016" s="476"/>
      <c r="AG1016" s="476"/>
      <c r="AH1016" s="476"/>
      <c r="AI1016" s="476"/>
      <c r="AJ1016" s="476"/>
      <c r="AK1016" s="476"/>
      <c r="AL1016" s="476"/>
      <c r="AM1016" s="476"/>
      <c r="AN1016" s="476"/>
      <c r="AO1016" s="476"/>
      <c r="AP1016" s="476"/>
      <c r="AQ1016" s="476"/>
      <c r="AR1016" s="476"/>
      <c r="AS1016" s="476"/>
      <c r="AT1016" s="476"/>
      <c r="AU1016" s="476"/>
    </row>
    <row r="1017" spans="1:47" s="398" customFormat="1" ht="13.15" customHeight="1" x14ac:dyDescent="0.2">
      <c r="A1017" s="476"/>
      <c r="D1017" s="467"/>
      <c r="F1017" s="468"/>
      <c r="G1017" s="468"/>
      <c r="H1017" s="468"/>
      <c r="I1017" s="468"/>
      <c r="J1017" s="469"/>
      <c r="L1017" s="476"/>
      <c r="M1017" s="476"/>
      <c r="N1017" s="476"/>
      <c r="O1017" s="476"/>
      <c r="P1017" s="476"/>
      <c r="Q1017" s="476"/>
      <c r="R1017" s="476"/>
      <c r="S1017" s="476"/>
      <c r="T1017" s="476"/>
      <c r="U1017" s="476"/>
      <c r="V1017" s="476"/>
      <c r="W1017" s="476"/>
      <c r="X1017" s="476"/>
      <c r="Y1017" s="476"/>
      <c r="Z1017" s="476"/>
      <c r="AA1017" s="476"/>
      <c r="AB1017" s="476"/>
      <c r="AC1017" s="476"/>
      <c r="AD1017" s="476"/>
      <c r="AE1017" s="476"/>
      <c r="AF1017" s="476"/>
      <c r="AG1017" s="476"/>
      <c r="AH1017" s="476"/>
      <c r="AI1017" s="476"/>
      <c r="AJ1017" s="476"/>
      <c r="AK1017" s="476"/>
      <c r="AL1017" s="476"/>
      <c r="AM1017" s="476"/>
      <c r="AN1017" s="476"/>
      <c r="AO1017" s="476"/>
      <c r="AP1017" s="476"/>
      <c r="AQ1017" s="476"/>
      <c r="AR1017" s="476"/>
      <c r="AS1017" s="476"/>
      <c r="AT1017" s="476"/>
      <c r="AU1017" s="476"/>
    </row>
    <row r="1018" spans="1:47" s="398" customFormat="1" ht="13.15" customHeight="1" x14ac:dyDescent="0.2">
      <c r="A1018" s="476"/>
      <c r="D1018" s="467"/>
      <c r="F1018" s="468"/>
      <c r="G1018" s="468"/>
      <c r="H1018" s="468"/>
      <c r="I1018" s="468"/>
      <c r="J1018" s="469"/>
      <c r="L1018" s="476"/>
      <c r="M1018" s="476"/>
      <c r="N1018" s="476"/>
      <c r="O1018" s="476"/>
      <c r="P1018" s="476"/>
      <c r="Q1018" s="476"/>
      <c r="R1018" s="476"/>
      <c r="S1018" s="476"/>
      <c r="T1018" s="476"/>
      <c r="U1018" s="476"/>
      <c r="V1018" s="476"/>
      <c r="W1018" s="476"/>
      <c r="X1018" s="476"/>
      <c r="Y1018" s="476"/>
      <c r="Z1018" s="476"/>
      <c r="AA1018" s="476"/>
      <c r="AB1018" s="476"/>
      <c r="AC1018" s="476"/>
      <c r="AD1018" s="476"/>
      <c r="AE1018" s="476"/>
      <c r="AF1018" s="476"/>
      <c r="AG1018" s="476"/>
      <c r="AH1018" s="476"/>
      <c r="AI1018" s="476"/>
      <c r="AJ1018" s="476"/>
      <c r="AK1018" s="476"/>
      <c r="AL1018" s="476"/>
      <c r="AM1018" s="476"/>
      <c r="AN1018" s="476"/>
      <c r="AO1018" s="476"/>
      <c r="AP1018" s="476"/>
      <c r="AQ1018" s="476"/>
      <c r="AR1018" s="476"/>
      <c r="AS1018" s="476"/>
      <c r="AT1018" s="476"/>
      <c r="AU1018" s="476"/>
    </row>
    <row r="1019" spans="1:47" s="398" customFormat="1" ht="13.15" customHeight="1" x14ac:dyDescent="0.2">
      <c r="A1019" s="476"/>
      <c r="D1019" s="467"/>
      <c r="F1019" s="468"/>
      <c r="G1019" s="468"/>
      <c r="H1019" s="468"/>
      <c r="I1019" s="468"/>
      <c r="J1019" s="469"/>
      <c r="L1019" s="476"/>
      <c r="M1019" s="476"/>
      <c r="N1019" s="476"/>
      <c r="O1019" s="476"/>
      <c r="P1019" s="476"/>
      <c r="Q1019" s="476"/>
      <c r="R1019" s="476"/>
      <c r="S1019" s="476"/>
      <c r="T1019" s="476"/>
      <c r="U1019" s="476"/>
      <c r="V1019" s="476"/>
      <c r="W1019" s="476"/>
      <c r="X1019" s="476"/>
      <c r="Y1019" s="476"/>
      <c r="Z1019" s="476"/>
      <c r="AA1019" s="476"/>
      <c r="AB1019" s="476"/>
      <c r="AC1019" s="476"/>
      <c r="AD1019" s="476"/>
      <c r="AE1019" s="476"/>
      <c r="AF1019" s="476"/>
      <c r="AG1019" s="476"/>
      <c r="AH1019" s="476"/>
      <c r="AI1019" s="476"/>
      <c r="AJ1019" s="476"/>
      <c r="AK1019" s="476"/>
      <c r="AL1019" s="476"/>
      <c r="AM1019" s="476"/>
      <c r="AN1019" s="476"/>
      <c r="AO1019" s="476"/>
      <c r="AP1019" s="476"/>
      <c r="AQ1019" s="476"/>
      <c r="AR1019" s="476"/>
      <c r="AS1019" s="476"/>
      <c r="AT1019" s="476"/>
      <c r="AU1019" s="476"/>
    </row>
    <row r="1020" spans="1:47" s="398" customFormat="1" ht="13.15" customHeight="1" x14ac:dyDescent="0.2">
      <c r="A1020" s="476"/>
      <c r="D1020" s="467"/>
      <c r="F1020" s="468"/>
      <c r="G1020" s="468"/>
      <c r="H1020" s="468"/>
      <c r="I1020" s="468"/>
      <c r="J1020" s="469"/>
      <c r="L1020" s="476"/>
      <c r="M1020" s="476"/>
      <c r="N1020" s="476"/>
      <c r="O1020" s="476"/>
      <c r="P1020" s="476"/>
      <c r="Q1020" s="476"/>
      <c r="R1020" s="476"/>
      <c r="S1020" s="476"/>
      <c r="T1020" s="476"/>
      <c r="U1020" s="476"/>
      <c r="V1020" s="476"/>
      <c r="W1020" s="476"/>
      <c r="X1020" s="476"/>
      <c r="Y1020" s="476"/>
      <c r="Z1020" s="476"/>
      <c r="AA1020" s="476"/>
      <c r="AB1020" s="476"/>
      <c r="AC1020" s="476"/>
      <c r="AD1020" s="476"/>
      <c r="AE1020" s="476"/>
      <c r="AF1020" s="476"/>
      <c r="AG1020" s="476"/>
      <c r="AH1020" s="476"/>
      <c r="AI1020" s="476"/>
      <c r="AJ1020" s="476"/>
      <c r="AK1020" s="476"/>
      <c r="AL1020" s="476"/>
      <c r="AM1020" s="476"/>
      <c r="AN1020" s="476"/>
      <c r="AO1020" s="476"/>
      <c r="AP1020" s="476"/>
      <c r="AQ1020" s="476"/>
      <c r="AR1020" s="476"/>
      <c r="AS1020" s="476"/>
      <c r="AT1020" s="476"/>
      <c r="AU1020" s="476"/>
    </row>
    <row r="1021" spans="1:47" s="398" customFormat="1" ht="13.15" customHeight="1" x14ac:dyDescent="0.2">
      <c r="A1021" s="476"/>
      <c r="D1021" s="467"/>
      <c r="F1021" s="468"/>
      <c r="G1021" s="468"/>
      <c r="H1021" s="468"/>
      <c r="I1021" s="468"/>
      <c r="J1021" s="469"/>
      <c r="L1021" s="476"/>
      <c r="M1021" s="476"/>
      <c r="N1021" s="476"/>
      <c r="O1021" s="476"/>
      <c r="P1021" s="476"/>
      <c r="Q1021" s="476"/>
      <c r="R1021" s="476"/>
      <c r="S1021" s="476"/>
      <c r="T1021" s="476"/>
      <c r="U1021" s="476"/>
      <c r="V1021" s="476"/>
      <c r="W1021" s="476"/>
      <c r="X1021" s="476"/>
      <c r="Y1021" s="476"/>
      <c r="Z1021" s="476"/>
      <c r="AA1021" s="476"/>
      <c r="AB1021" s="476"/>
      <c r="AC1021" s="476"/>
      <c r="AD1021" s="476"/>
      <c r="AE1021" s="476"/>
      <c r="AF1021" s="476"/>
      <c r="AG1021" s="476"/>
      <c r="AH1021" s="476"/>
      <c r="AI1021" s="476"/>
      <c r="AJ1021" s="476"/>
      <c r="AK1021" s="476"/>
      <c r="AL1021" s="476"/>
      <c r="AM1021" s="476"/>
      <c r="AN1021" s="476"/>
      <c r="AO1021" s="476"/>
      <c r="AP1021" s="476"/>
      <c r="AQ1021" s="476"/>
      <c r="AR1021" s="476"/>
      <c r="AS1021" s="476"/>
      <c r="AT1021" s="476"/>
      <c r="AU1021" s="476"/>
    </row>
    <row r="1022" spans="1:47" s="398" customFormat="1" ht="13.15" customHeight="1" x14ac:dyDescent="0.2">
      <c r="A1022" s="476"/>
      <c r="D1022" s="467"/>
      <c r="F1022" s="468"/>
      <c r="G1022" s="468"/>
      <c r="H1022" s="468"/>
      <c r="I1022" s="468"/>
      <c r="J1022" s="469"/>
      <c r="L1022" s="476"/>
      <c r="M1022" s="476"/>
      <c r="N1022" s="476"/>
      <c r="O1022" s="476"/>
      <c r="P1022" s="476"/>
      <c r="Q1022" s="476"/>
      <c r="R1022" s="476"/>
      <c r="S1022" s="476"/>
      <c r="T1022" s="476"/>
      <c r="U1022" s="476"/>
      <c r="V1022" s="476"/>
      <c r="W1022" s="476"/>
      <c r="X1022" s="476"/>
      <c r="Y1022" s="476"/>
      <c r="Z1022" s="476"/>
      <c r="AA1022" s="476"/>
      <c r="AB1022" s="476"/>
      <c r="AC1022" s="476"/>
      <c r="AD1022" s="476"/>
      <c r="AE1022" s="476"/>
      <c r="AF1022" s="476"/>
      <c r="AG1022" s="476"/>
      <c r="AH1022" s="476"/>
      <c r="AI1022" s="476"/>
      <c r="AJ1022" s="476"/>
      <c r="AK1022" s="476"/>
      <c r="AL1022" s="476"/>
      <c r="AM1022" s="476"/>
      <c r="AN1022" s="476"/>
      <c r="AO1022" s="476"/>
      <c r="AP1022" s="476"/>
      <c r="AQ1022" s="476"/>
      <c r="AR1022" s="476"/>
      <c r="AS1022" s="476"/>
      <c r="AT1022" s="476"/>
      <c r="AU1022" s="476"/>
    </row>
    <row r="1023" spans="1:47" s="398" customFormat="1" ht="13.15" customHeight="1" x14ac:dyDescent="0.2">
      <c r="A1023" s="476"/>
      <c r="D1023" s="467"/>
      <c r="F1023" s="468"/>
      <c r="G1023" s="468"/>
      <c r="H1023" s="468"/>
      <c r="I1023" s="468"/>
      <c r="J1023" s="469"/>
      <c r="L1023" s="476"/>
      <c r="M1023" s="476"/>
      <c r="N1023" s="476"/>
      <c r="O1023" s="476"/>
      <c r="P1023" s="476"/>
      <c r="Q1023" s="476"/>
      <c r="R1023" s="476"/>
      <c r="S1023" s="476"/>
      <c r="T1023" s="476"/>
      <c r="U1023" s="476"/>
      <c r="V1023" s="476"/>
      <c r="W1023" s="476"/>
      <c r="X1023" s="476"/>
      <c r="Y1023" s="476"/>
      <c r="Z1023" s="476"/>
      <c r="AA1023" s="476"/>
      <c r="AB1023" s="476"/>
      <c r="AC1023" s="476"/>
      <c r="AD1023" s="476"/>
      <c r="AE1023" s="476"/>
      <c r="AF1023" s="476"/>
      <c r="AG1023" s="476"/>
      <c r="AH1023" s="476"/>
      <c r="AI1023" s="476"/>
      <c r="AJ1023" s="476"/>
      <c r="AK1023" s="476"/>
      <c r="AL1023" s="476"/>
      <c r="AM1023" s="476"/>
      <c r="AN1023" s="476"/>
      <c r="AO1023" s="476"/>
      <c r="AP1023" s="476"/>
      <c r="AQ1023" s="476"/>
      <c r="AR1023" s="476"/>
      <c r="AS1023" s="476"/>
      <c r="AT1023" s="476"/>
      <c r="AU1023" s="476"/>
    </row>
    <row r="1024" spans="1:47" s="398" customFormat="1" ht="13.15" customHeight="1" x14ac:dyDescent="0.2">
      <c r="A1024" s="476"/>
      <c r="D1024" s="467"/>
      <c r="F1024" s="468"/>
      <c r="G1024" s="468"/>
      <c r="H1024" s="468"/>
      <c r="I1024" s="468"/>
      <c r="J1024" s="469"/>
      <c r="L1024" s="476"/>
      <c r="M1024" s="476"/>
      <c r="N1024" s="476"/>
      <c r="O1024" s="476"/>
      <c r="P1024" s="476"/>
      <c r="Q1024" s="476"/>
      <c r="R1024" s="476"/>
      <c r="S1024" s="476"/>
      <c r="T1024" s="476"/>
      <c r="U1024" s="476"/>
      <c r="V1024" s="476"/>
      <c r="W1024" s="476"/>
      <c r="X1024" s="476"/>
      <c r="Y1024" s="476"/>
      <c r="Z1024" s="476"/>
      <c r="AA1024" s="476"/>
      <c r="AB1024" s="476"/>
      <c r="AC1024" s="476"/>
      <c r="AD1024" s="476"/>
      <c r="AE1024" s="476"/>
      <c r="AF1024" s="476"/>
      <c r="AG1024" s="476"/>
      <c r="AH1024" s="476"/>
      <c r="AI1024" s="476"/>
      <c r="AJ1024" s="476"/>
      <c r="AK1024" s="476"/>
      <c r="AL1024" s="476"/>
      <c r="AM1024" s="476"/>
      <c r="AN1024" s="476"/>
      <c r="AO1024" s="476"/>
      <c r="AP1024" s="476"/>
      <c r="AQ1024" s="476"/>
      <c r="AR1024" s="476"/>
      <c r="AS1024" s="476"/>
      <c r="AT1024" s="476"/>
      <c r="AU1024" s="476"/>
    </row>
    <row r="1025" spans="1:47" s="398" customFormat="1" ht="13.15" customHeight="1" x14ac:dyDescent="0.2">
      <c r="A1025" s="476"/>
      <c r="D1025" s="467"/>
      <c r="F1025" s="468"/>
      <c r="G1025" s="468"/>
      <c r="H1025" s="468"/>
      <c r="I1025" s="468"/>
      <c r="J1025" s="469"/>
      <c r="L1025" s="476"/>
      <c r="M1025" s="476"/>
      <c r="N1025" s="476"/>
      <c r="O1025" s="476"/>
      <c r="P1025" s="476"/>
      <c r="Q1025" s="476"/>
      <c r="R1025" s="476"/>
      <c r="S1025" s="476"/>
      <c r="T1025" s="476"/>
      <c r="U1025" s="476"/>
      <c r="V1025" s="476"/>
      <c r="W1025" s="476"/>
      <c r="X1025" s="476"/>
      <c r="Y1025" s="476"/>
      <c r="Z1025" s="476"/>
      <c r="AA1025" s="476"/>
      <c r="AB1025" s="476"/>
      <c r="AC1025" s="476"/>
      <c r="AD1025" s="476"/>
      <c r="AE1025" s="476"/>
      <c r="AF1025" s="476"/>
      <c r="AG1025" s="476"/>
      <c r="AH1025" s="476"/>
      <c r="AI1025" s="476"/>
      <c r="AJ1025" s="476"/>
      <c r="AK1025" s="476"/>
      <c r="AL1025" s="476"/>
      <c r="AM1025" s="476"/>
      <c r="AN1025" s="476"/>
      <c r="AO1025" s="476"/>
      <c r="AP1025" s="476"/>
      <c r="AQ1025" s="476"/>
      <c r="AR1025" s="476"/>
      <c r="AS1025" s="476"/>
      <c r="AT1025" s="476"/>
      <c r="AU1025" s="476"/>
    </row>
    <row r="1026" spans="1:47" s="398" customFormat="1" ht="13.15" customHeight="1" x14ac:dyDescent="0.2">
      <c r="A1026" s="476"/>
      <c r="D1026" s="467"/>
      <c r="F1026" s="468"/>
      <c r="G1026" s="468"/>
      <c r="H1026" s="468"/>
      <c r="I1026" s="468"/>
      <c r="J1026" s="469"/>
      <c r="L1026" s="476"/>
      <c r="M1026" s="476"/>
      <c r="N1026" s="476"/>
      <c r="O1026" s="476"/>
      <c r="P1026" s="476"/>
      <c r="Q1026" s="476"/>
      <c r="R1026" s="476"/>
      <c r="S1026" s="476"/>
      <c r="T1026" s="476"/>
      <c r="U1026" s="476"/>
      <c r="V1026" s="476"/>
      <c r="W1026" s="476"/>
      <c r="X1026" s="476"/>
      <c r="Y1026" s="476"/>
      <c r="Z1026" s="476"/>
      <c r="AA1026" s="476"/>
      <c r="AB1026" s="476"/>
      <c r="AC1026" s="476"/>
      <c r="AD1026" s="476"/>
      <c r="AE1026" s="476"/>
      <c r="AF1026" s="476"/>
      <c r="AG1026" s="476"/>
      <c r="AH1026" s="476"/>
      <c r="AI1026" s="476"/>
      <c r="AJ1026" s="476"/>
      <c r="AK1026" s="476"/>
      <c r="AL1026" s="476"/>
      <c r="AM1026" s="476"/>
      <c r="AN1026" s="476"/>
      <c r="AO1026" s="476"/>
      <c r="AP1026" s="476"/>
      <c r="AQ1026" s="476"/>
      <c r="AR1026" s="476"/>
      <c r="AS1026" s="476"/>
      <c r="AT1026" s="476"/>
      <c r="AU1026" s="476"/>
    </row>
    <row r="1027" spans="1:47" s="398" customFormat="1" ht="13.15" customHeight="1" x14ac:dyDescent="0.2">
      <c r="A1027" s="476"/>
      <c r="D1027" s="467"/>
      <c r="F1027" s="468"/>
      <c r="G1027" s="468"/>
      <c r="H1027" s="468"/>
      <c r="I1027" s="468"/>
      <c r="J1027" s="469"/>
      <c r="L1027" s="476"/>
      <c r="M1027" s="476"/>
      <c r="N1027" s="476"/>
      <c r="O1027" s="476"/>
      <c r="P1027" s="476"/>
      <c r="Q1027" s="476"/>
      <c r="R1027" s="476"/>
      <c r="S1027" s="476"/>
      <c r="T1027" s="476"/>
      <c r="U1027" s="476"/>
      <c r="V1027" s="476"/>
      <c r="W1027" s="476"/>
      <c r="X1027" s="476"/>
      <c r="Y1027" s="476"/>
      <c r="Z1027" s="476"/>
      <c r="AA1027" s="476"/>
      <c r="AB1027" s="476"/>
      <c r="AC1027" s="476"/>
      <c r="AD1027" s="476"/>
      <c r="AE1027" s="476"/>
      <c r="AF1027" s="476"/>
      <c r="AG1027" s="476"/>
      <c r="AH1027" s="476"/>
      <c r="AI1027" s="476"/>
      <c r="AJ1027" s="476"/>
      <c r="AK1027" s="476"/>
      <c r="AL1027" s="476"/>
      <c r="AM1027" s="476"/>
      <c r="AN1027" s="476"/>
      <c r="AO1027" s="476"/>
      <c r="AP1027" s="476"/>
      <c r="AQ1027" s="476"/>
      <c r="AR1027" s="476"/>
      <c r="AS1027" s="476"/>
      <c r="AT1027" s="476"/>
      <c r="AU1027" s="476"/>
    </row>
    <row r="1028" spans="1:47" s="398" customFormat="1" ht="13.15" customHeight="1" x14ac:dyDescent="0.2">
      <c r="A1028" s="476"/>
      <c r="D1028" s="467"/>
      <c r="F1028" s="468"/>
      <c r="G1028" s="468"/>
      <c r="H1028" s="468"/>
      <c r="I1028" s="468"/>
      <c r="J1028" s="469"/>
      <c r="L1028" s="476"/>
      <c r="M1028" s="476"/>
      <c r="N1028" s="476"/>
      <c r="O1028" s="476"/>
      <c r="P1028" s="476"/>
      <c r="Q1028" s="476"/>
      <c r="R1028" s="476"/>
      <c r="S1028" s="476"/>
      <c r="T1028" s="476"/>
      <c r="U1028" s="476"/>
      <c r="V1028" s="476"/>
      <c r="W1028" s="476"/>
      <c r="X1028" s="476"/>
      <c r="Y1028" s="476"/>
      <c r="Z1028" s="476"/>
      <c r="AA1028" s="476"/>
      <c r="AB1028" s="476"/>
      <c r="AC1028" s="476"/>
      <c r="AD1028" s="476"/>
      <c r="AE1028" s="476"/>
      <c r="AF1028" s="476"/>
      <c r="AG1028" s="476"/>
      <c r="AH1028" s="476"/>
      <c r="AI1028" s="476"/>
      <c r="AJ1028" s="476"/>
      <c r="AK1028" s="476"/>
      <c r="AL1028" s="476"/>
      <c r="AM1028" s="476"/>
      <c r="AN1028" s="476"/>
      <c r="AO1028" s="476"/>
      <c r="AP1028" s="476"/>
      <c r="AQ1028" s="476"/>
      <c r="AR1028" s="476"/>
      <c r="AS1028" s="476"/>
      <c r="AT1028" s="476"/>
      <c r="AU1028" s="476"/>
    </row>
    <row r="1029" spans="1:47" s="398" customFormat="1" ht="13.15" customHeight="1" x14ac:dyDescent="0.2">
      <c r="A1029" s="476"/>
      <c r="D1029" s="467"/>
      <c r="F1029" s="468"/>
      <c r="G1029" s="468"/>
      <c r="H1029" s="468"/>
      <c r="I1029" s="468"/>
      <c r="J1029" s="469"/>
      <c r="L1029" s="476"/>
      <c r="M1029" s="476"/>
      <c r="N1029" s="476"/>
      <c r="O1029" s="476"/>
      <c r="P1029" s="476"/>
      <c r="Q1029" s="476"/>
      <c r="R1029" s="476"/>
      <c r="S1029" s="476"/>
      <c r="T1029" s="476"/>
      <c r="U1029" s="476"/>
      <c r="V1029" s="476"/>
      <c r="W1029" s="476"/>
      <c r="X1029" s="476"/>
      <c r="Y1029" s="476"/>
      <c r="Z1029" s="476"/>
      <c r="AA1029" s="476"/>
      <c r="AB1029" s="476"/>
      <c r="AC1029" s="476"/>
      <c r="AD1029" s="476"/>
      <c r="AE1029" s="476"/>
      <c r="AF1029" s="476"/>
      <c r="AG1029" s="476"/>
      <c r="AH1029" s="476"/>
      <c r="AI1029" s="476"/>
      <c r="AJ1029" s="476"/>
      <c r="AK1029" s="476"/>
      <c r="AL1029" s="476"/>
      <c r="AM1029" s="476"/>
      <c r="AN1029" s="476"/>
      <c r="AO1029" s="476"/>
      <c r="AP1029" s="476"/>
      <c r="AQ1029" s="476"/>
      <c r="AR1029" s="476"/>
      <c r="AS1029" s="476"/>
      <c r="AT1029" s="476"/>
      <c r="AU1029" s="476"/>
    </row>
    <row r="1030" spans="1:47" s="398" customFormat="1" ht="13.15" customHeight="1" x14ac:dyDescent="0.2">
      <c r="A1030" s="476"/>
      <c r="D1030" s="467"/>
      <c r="F1030" s="468"/>
      <c r="G1030" s="468"/>
      <c r="H1030" s="468"/>
      <c r="I1030" s="468"/>
      <c r="J1030" s="469"/>
      <c r="L1030" s="476"/>
      <c r="M1030" s="476"/>
      <c r="N1030" s="476"/>
      <c r="O1030" s="476"/>
      <c r="P1030" s="476"/>
      <c r="Q1030" s="476"/>
      <c r="R1030" s="476"/>
      <c r="S1030" s="476"/>
      <c r="T1030" s="476"/>
      <c r="U1030" s="476"/>
      <c r="V1030" s="476"/>
      <c r="W1030" s="476"/>
      <c r="X1030" s="476"/>
      <c r="Y1030" s="476"/>
      <c r="Z1030" s="476"/>
      <c r="AA1030" s="476"/>
      <c r="AB1030" s="476"/>
      <c r="AC1030" s="476"/>
      <c r="AD1030" s="476"/>
      <c r="AE1030" s="476"/>
      <c r="AF1030" s="476"/>
      <c r="AG1030" s="476"/>
      <c r="AH1030" s="476"/>
      <c r="AI1030" s="476"/>
      <c r="AJ1030" s="476"/>
      <c r="AK1030" s="476"/>
      <c r="AL1030" s="476"/>
      <c r="AM1030" s="476"/>
      <c r="AN1030" s="476"/>
      <c r="AO1030" s="476"/>
      <c r="AP1030" s="476"/>
      <c r="AQ1030" s="476"/>
      <c r="AR1030" s="476"/>
      <c r="AS1030" s="476"/>
      <c r="AT1030" s="476"/>
      <c r="AU1030" s="476"/>
    </row>
    <row r="1031" spans="1:47" s="398" customFormat="1" ht="13.15" customHeight="1" x14ac:dyDescent="0.2">
      <c r="A1031" s="476"/>
      <c r="D1031" s="467"/>
      <c r="F1031" s="468"/>
      <c r="G1031" s="468"/>
      <c r="H1031" s="468"/>
      <c r="I1031" s="468"/>
      <c r="J1031" s="469"/>
      <c r="L1031" s="476"/>
      <c r="M1031" s="476"/>
      <c r="N1031" s="476"/>
      <c r="O1031" s="476"/>
      <c r="P1031" s="476"/>
      <c r="Q1031" s="476"/>
      <c r="R1031" s="476"/>
      <c r="S1031" s="476"/>
      <c r="T1031" s="476"/>
      <c r="U1031" s="476"/>
      <c r="V1031" s="476"/>
      <c r="W1031" s="476"/>
      <c r="X1031" s="476"/>
      <c r="Y1031" s="476"/>
      <c r="Z1031" s="476"/>
      <c r="AA1031" s="476"/>
      <c r="AB1031" s="476"/>
      <c r="AC1031" s="476"/>
      <c r="AD1031" s="476"/>
      <c r="AE1031" s="476"/>
      <c r="AF1031" s="476"/>
      <c r="AG1031" s="476"/>
      <c r="AH1031" s="476"/>
      <c r="AI1031" s="476"/>
      <c r="AJ1031" s="476"/>
      <c r="AK1031" s="476"/>
      <c r="AL1031" s="476"/>
      <c r="AM1031" s="476"/>
      <c r="AN1031" s="476"/>
      <c r="AO1031" s="476"/>
      <c r="AP1031" s="476"/>
      <c r="AQ1031" s="476"/>
      <c r="AR1031" s="476"/>
      <c r="AS1031" s="476"/>
      <c r="AT1031" s="476"/>
      <c r="AU1031" s="476"/>
    </row>
    <row r="1032" spans="1:47" s="398" customFormat="1" ht="13.15" customHeight="1" x14ac:dyDescent="0.2">
      <c r="A1032" s="476"/>
      <c r="D1032" s="467"/>
      <c r="F1032" s="468"/>
      <c r="G1032" s="468"/>
      <c r="H1032" s="468"/>
      <c r="I1032" s="468"/>
      <c r="J1032" s="469"/>
      <c r="L1032" s="476"/>
      <c r="M1032" s="476"/>
      <c r="N1032" s="476"/>
      <c r="O1032" s="476"/>
      <c r="P1032" s="476"/>
      <c r="Q1032" s="476"/>
      <c r="R1032" s="476"/>
      <c r="S1032" s="476"/>
      <c r="T1032" s="476"/>
      <c r="U1032" s="476"/>
      <c r="V1032" s="476"/>
      <c r="W1032" s="476"/>
      <c r="X1032" s="476"/>
      <c r="Y1032" s="476"/>
      <c r="Z1032" s="476"/>
      <c r="AA1032" s="476"/>
      <c r="AB1032" s="476"/>
      <c r="AC1032" s="476"/>
      <c r="AD1032" s="476"/>
      <c r="AE1032" s="476"/>
      <c r="AF1032" s="476"/>
      <c r="AG1032" s="476"/>
      <c r="AH1032" s="476"/>
      <c r="AI1032" s="476"/>
      <c r="AJ1032" s="476"/>
      <c r="AK1032" s="476"/>
      <c r="AL1032" s="476"/>
      <c r="AM1032" s="476"/>
      <c r="AN1032" s="476"/>
      <c r="AO1032" s="476"/>
      <c r="AP1032" s="476"/>
      <c r="AQ1032" s="476"/>
      <c r="AR1032" s="476"/>
      <c r="AS1032" s="476"/>
      <c r="AT1032" s="476"/>
      <c r="AU1032" s="476"/>
    </row>
    <row r="1033" spans="1:47" s="398" customFormat="1" ht="13.15" customHeight="1" x14ac:dyDescent="0.2">
      <c r="A1033" s="476"/>
      <c r="D1033" s="467"/>
      <c r="F1033" s="468"/>
      <c r="G1033" s="468"/>
      <c r="H1033" s="468"/>
      <c r="I1033" s="468"/>
      <c r="J1033" s="469"/>
      <c r="L1033" s="476"/>
      <c r="M1033" s="476"/>
      <c r="N1033" s="476"/>
      <c r="O1033" s="476"/>
      <c r="P1033" s="476"/>
      <c r="Q1033" s="476"/>
      <c r="R1033" s="476"/>
      <c r="S1033" s="476"/>
      <c r="T1033" s="476"/>
      <c r="U1033" s="476"/>
      <c r="V1033" s="476"/>
      <c r="W1033" s="476"/>
      <c r="X1033" s="476"/>
      <c r="Y1033" s="476"/>
      <c r="Z1033" s="476"/>
      <c r="AA1033" s="476"/>
      <c r="AB1033" s="476"/>
      <c r="AC1033" s="476"/>
      <c r="AD1033" s="476"/>
      <c r="AE1033" s="476"/>
      <c r="AF1033" s="476"/>
      <c r="AG1033" s="476"/>
      <c r="AH1033" s="476"/>
      <c r="AI1033" s="476"/>
      <c r="AJ1033" s="476"/>
      <c r="AK1033" s="476"/>
      <c r="AL1033" s="476"/>
      <c r="AM1033" s="476"/>
      <c r="AN1033" s="476"/>
      <c r="AO1033" s="476"/>
      <c r="AP1033" s="476"/>
      <c r="AQ1033" s="476"/>
      <c r="AR1033" s="476"/>
      <c r="AS1033" s="476"/>
      <c r="AT1033" s="476"/>
      <c r="AU1033" s="476"/>
    </row>
    <row r="1034" spans="1:47" s="398" customFormat="1" ht="13.15" customHeight="1" x14ac:dyDescent="0.2">
      <c r="A1034" s="476"/>
      <c r="D1034" s="467"/>
      <c r="F1034" s="468"/>
      <c r="G1034" s="468"/>
      <c r="H1034" s="468"/>
      <c r="I1034" s="468"/>
      <c r="J1034" s="469"/>
      <c r="L1034" s="476"/>
      <c r="M1034" s="476"/>
      <c r="N1034" s="476"/>
      <c r="O1034" s="476"/>
      <c r="P1034" s="476"/>
      <c r="Q1034" s="476"/>
      <c r="R1034" s="476"/>
      <c r="S1034" s="476"/>
      <c r="T1034" s="476"/>
      <c r="U1034" s="476"/>
      <c r="V1034" s="476"/>
      <c r="W1034" s="476"/>
      <c r="X1034" s="476"/>
      <c r="Y1034" s="476"/>
      <c r="Z1034" s="476"/>
      <c r="AA1034" s="476"/>
      <c r="AB1034" s="476"/>
      <c r="AC1034" s="476"/>
      <c r="AD1034" s="476"/>
      <c r="AE1034" s="476"/>
      <c r="AF1034" s="476"/>
      <c r="AG1034" s="476"/>
      <c r="AH1034" s="476"/>
      <c r="AI1034" s="476"/>
      <c r="AJ1034" s="476"/>
      <c r="AK1034" s="476"/>
      <c r="AL1034" s="476"/>
      <c r="AM1034" s="476"/>
      <c r="AN1034" s="476"/>
      <c r="AO1034" s="476"/>
      <c r="AP1034" s="476"/>
      <c r="AQ1034" s="476"/>
      <c r="AR1034" s="476"/>
      <c r="AS1034" s="476"/>
      <c r="AT1034" s="476"/>
      <c r="AU1034" s="476"/>
    </row>
    <row r="1035" spans="1:47" s="398" customFormat="1" ht="13.15" customHeight="1" x14ac:dyDescent="0.2">
      <c r="A1035" s="476"/>
      <c r="D1035" s="467"/>
      <c r="F1035" s="468"/>
      <c r="G1035" s="468"/>
      <c r="H1035" s="468"/>
      <c r="I1035" s="468"/>
      <c r="J1035" s="469"/>
      <c r="L1035" s="476"/>
      <c r="M1035" s="476"/>
      <c r="N1035" s="476"/>
      <c r="O1035" s="476"/>
      <c r="P1035" s="476"/>
      <c r="Q1035" s="476"/>
      <c r="R1035" s="476"/>
      <c r="S1035" s="476"/>
      <c r="T1035" s="476"/>
      <c r="U1035" s="476"/>
      <c r="V1035" s="476"/>
      <c r="W1035" s="476"/>
      <c r="X1035" s="476"/>
      <c r="Y1035" s="476"/>
      <c r="Z1035" s="476"/>
      <c r="AA1035" s="476"/>
      <c r="AB1035" s="476"/>
      <c r="AC1035" s="476"/>
      <c r="AD1035" s="476"/>
      <c r="AE1035" s="476"/>
      <c r="AF1035" s="476"/>
      <c r="AG1035" s="476"/>
      <c r="AH1035" s="476"/>
      <c r="AI1035" s="476"/>
      <c r="AJ1035" s="476"/>
      <c r="AK1035" s="476"/>
      <c r="AL1035" s="476"/>
      <c r="AM1035" s="476"/>
      <c r="AN1035" s="476"/>
      <c r="AO1035" s="476"/>
      <c r="AP1035" s="476"/>
      <c r="AQ1035" s="476"/>
      <c r="AR1035" s="476"/>
      <c r="AS1035" s="476"/>
      <c r="AT1035" s="476"/>
      <c r="AU1035" s="476"/>
    </row>
    <row r="1036" spans="1:47" s="398" customFormat="1" ht="13.15" customHeight="1" x14ac:dyDescent="0.2">
      <c r="A1036" s="476"/>
      <c r="D1036" s="467"/>
      <c r="F1036" s="468"/>
      <c r="G1036" s="468"/>
      <c r="H1036" s="468"/>
      <c r="I1036" s="468"/>
      <c r="J1036" s="469"/>
      <c r="L1036" s="476"/>
      <c r="M1036" s="476"/>
      <c r="N1036" s="476"/>
      <c r="O1036" s="476"/>
      <c r="P1036" s="476"/>
      <c r="Q1036" s="476"/>
      <c r="R1036" s="476"/>
      <c r="S1036" s="476"/>
      <c r="T1036" s="476"/>
      <c r="U1036" s="476"/>
      <c r="V1036" s="476"/>
      <c r="W1036" s="476"/>
      <c r="X1036" s="476"/>
      <c r="Y1036" s="476"/>
      <c r="Z1036" s="476"/>
      <c r="AA1036" s="476"/>
      <c r="AB1036" s="476"/>
      <c r="AC1036" s="476"/>
      <c r="AD1036" s="476"/>
      <c r="AE1036" s="476"/>
      <c r="AF1036" s="476"/>
      <c r="AG1036" s="476"/>
      <c r="AH1036" s="476"/>
      <c r="AI1036" s="476"/>
      <c r="AJ1036" s="476"/>
      <c r="AK1036" s="476"/>
      <c r="AL1036" s="476"/>
      <c r="AM1036" s="476"/>
      <c r="AN1036" s="476"/>
      <c r="AO1036" s="476"/>
      <c r="AP1036" s="476"/>
      <c r="AQ1036" s="476"/>
      <c r="AR1036" s="476"/>
      <c r="AS1036" s="476"/>
      <c r="AT1036" s="476"/>
      <c r="AU1036" s="476"/>
    </row>
    <row r="1037" spans="1:47" s="398" customFormat="1" ht="13.15" customHeight="1" x14ac:dyDescent="0.2">
      <c r="A1037" s="476"/>
      <c r="D1037" s="467"/>
      <c r="F1037" s="468"/>
      <c r="G1037" s="468"/>
      <c r="H1037" s="468"/>
      <c r="I1037" s="468"/>
      <c r="J1037" s="469"/>
      <c r="L1037" s="476"/>
      <c r="M1037" s="476"/>
      <c r="N1037" s="476"/>
      <c r="O1037" s="476"/>
      <c r="P1037" s="476"/>
      <c r="Q1037" s="476"/>
      <c r="R1037" s="476"/>
      <c r="S1037" s="476"/>
      <c r="T1037" s="476"/>
      <c r="U1037" s="476"/>
      <c r="V1037" s="476"/>
      <c r="W1037" s="476"/>
      <c r="X1037" s="476"/>
      <c r="Y1037" s="476"/>
      <c r="Z1037" s="476"/>
      <c r="AA1037" s="476"/>
      <c r="AB1037" s="476"/>
      <c r="AC1037" s="476"/>
      <c r="AD1037" s="476"/>
      <c r="AE1037" s="476"/>
      <c r="AF1037" s="476"/>
      <c r="AG1037" s="476"/>
      <c r="AH1037" s="476"/>
      <c r="AI1037" s="476"/>
      <c r="AJ1037" s="476"/>
      <c r="AK1037" s="476"/>
      <c r="AL1037" s="476"/>
      <c r="AM1037" s="476"/>
      <c r="AN1037" s="476"/>
      <c r="AO1037" s="476"/>
      <c r="AP1037" s="476"/>
      <c r="AQ1037" s="476"/>
      <c r="AR1037" s="476"/>
      <c r="AS1037" s="476"/>
      <c r="AT1037" s="476"/>
      <c r="AU1037" s="476"/>
    </row>
    <row r="1038" spans="1:47" s="398" customFormat="1" ht="13.15" customHeight="1" x14ac:dyDescent="0.2">
      <c r="A1038" s="476"/>
      <c r="D1038" s="467"/>
      <c r="F1038" s="468"/>
      <c r="G1038" s="468"/>
      <c r="H1038" s="468"/>
      <c r="I1038" s="468"/>
      <c r="J1038" s="469"/>
      <c r="L1038" s="476"/>
      <c r="M1038" s="476"/>
      <c r="N1038" s="476"/>
      <c r="O1038" s="476"/>
      <c r="P1038" s="476"/>
      <c r="Q1038" s="476"/>
      <c r="R1038" s="476"/>
      <c r="S1038" s="476"/>
      <c r="T1038" s="476"/>
      <c r="U1038" s="476"/>
      <c r="V1038" s="476"/>
      <c r="W1038" s="476"/>
      <c r="X1038" s="476"/>
      <c r="Y1038" s="476"/>
      <c r="Z1038" s="476"/>
      <c r="AA1038" s="476"/>
      <c r="AB1038" s="476"/>
      <c r="AC1038" s="476"/>
      <c r="AD1038" s="476"/>
      <c r="AE1038" s="476"/>
      <c r="AF1038" s="476"/>
      <c r="AG1038" s="476"/>
      <c r="AH1038" s="476"/>
      <c r="AI1038" s="476"/>
      <c r="AJ1038" s="476"/>
      <c r="AK1038" s="476"/>
      <c r="AL1038" s="476"/>
      <c r="AM1038" s="476"/>
      <c r="AN1038" s="476"/>
      <c r="AO1038" s="476"/>
      <c r="AP1038" s="476"/>
      <c r="AQ1038" s="476"/>
      <c r="AR1038" s="476"/>
      <c r="AS1038" s="476"/>
      <c r="AT1038" s="476"/>
      <c r="AU1038" s="476"/>
    </row>
    <row r="1039" spans="1:47" s="398" customFormat="1" ht="13.15" customHeight="1" x14ac:dyDescent="0.2">
      <c r="A1039" s="476"/>
      <c r="D1039" s="467"/>
      <c r="F1039" s="468"/>
      <c r="G1039" s="468"/>
      <c r="H1039" s="468"/>
      <c r="I1039" s="468"/>
      <c r="J1039" s="469"/>
      <c r="L1039" s="476"/>
      <c r="M1039" s="476"/>
      <c r="N1039" s="476"/>
      <c r="O1039" s="476"/>
      <c r="P1039" s="476"/>
      <c r="Q1039" s="476"/>
      <c r="R1039" s="476"/>
      <c r="S1039" s="476"/>
      <c r="T1039" s="476"/>
      <c r="U1039" s="476"/>
      <c r="V1039" s="476"/>
      <c r="W1039" s="476"/>
      <c r="X1039" s="476"/>
      <c r="Y1039" s="476"/>
      <c r="Z1039" s="476"/>
      <c r="AA1039" s="476"/>
      <c r="AB1039" s="476"/>
      <c r="AC1039" s="476"/>
      <c r="AD1039" s="476"/>
      <c r="AE1039" s="476"/>
      <c r="AF1039" s="476"/>
      <c r="AG1039" s="476"/>
      <c r="AH1039" s="476"/>
      <c r="AI1039" s="476"/>
      <c r="AJ1039" s="476"/>
      <c r="AK1039" s="476"/>
      <c r="AL1039" s="476"/>
      <c r="AM1039" s="476"/>
      <c r="AN1039" s="476"/>
      <c r="AO1039" s="476"/>
      <c r="AP1039" s="476"/>
      <c r="AQ1039" s="476"/>
      <c r="AR1039" s="476"/>
      <c r="AS1039" s="476"/>
      <c r="AT1039" s="476"/>
      <c r="AU1039" s="476"/>
    </row>
    <row r="1040" spans="1:47" s="398" customFormat="1" ht="13.15" customHeight="1" x14ac:dyDescent="0.2">
      <c r="A1040" s="476"/>
      <c r="D1040" s="467"/>
      <c r="F1040" s="468"/>
      <c r="G1040" s="468"/>
      <c r="H1040" s="468"/>
      <c r="I1040" s="468"/>
      <c r="J1040" s="469"/>
      <c r="L1040" s="476"/>
      <c r="M1040" s="476"/>
      <c r="N1040" s="476"/>
      <c r="O1040" s="476"/>
      <c r="P1040" s="476"/>
      <c r="Q1040" s="476"/>
      <c r="R1040" s="476"/>
      <c r="S1040" s="476"/>
      <c r="T1040" s="476"/>
      <c r="U1040" s="476"/>
      <c r="V1040" s="476"/>
      <c r="W1040" s="476"/>
      <c r="X1040" s="476"/>
      <c r="Y1040" s="476"/>
      <c r="Z1040" s="476"/>
      <c r="AA1040" s="476"/>
      <c r="AB1040" s="476"/>
      <c r="AC1040" s="476"/>
      <c r="AD1040" s="476"/>
      <c r="AE1040" s="476"/>
      <c r="AF1040" s="476"/>
      <c r="AG1040" s="476"/>
      <c r="AH1040" s="476"/>
      <c r="AI1040" s="476"/>
      <c r="AJ1040" s="476"/>
      <c r="AK1040" s="476"/>
      <c r="AL1040" s="476"/>
      <c r="AM1040" s="476"/>
      <c r="AN1040" s="476"/>
      <c r="AO1040" s="476"/>
      <c r="AP1040" s="476"/>
      <c r="AQ1040" s="476"/>
      <c r="AR1040" s="476"/>
      <c r="AS1040" s="476"/>
      <c r="AT1040" s="476"/>
      <c r="AU1040" s="476"/>
    </row>
    <row r="1041" spans="1:47" s="398" customFormat="1" ht="13.15" customHeight="1" x14ac:dyDescent="0.2">
      <c r="A1041" s="476"/>
      <c r="D1041" s="467"/>
      <c r="F1041" s="468"/>
      <c r="G1041" s="468"/>
      <c r="H1041" s="468"/>
      <c r="I1041" s="468"/>
      <c r="J1041" s="469"/>
      <c r="L1041" s="476"/>
      <c r="M1041" s="476"/>
      <c r="N1041" s="476"/>
      <c r="O1041" s="476"/>
      <c r="P1041" s="476"/>
      <c r="Q1041" s="476"/>
      <c r="R1041" s="476"/>
      <c r="S1041" s="476"/>
      <c r="T1041" s="476"/>
      <c r="U1041" s="476"/>
      <c r="V1041" s="476"/>
      <c r="W1041" s="476"/>
      <c r="X1041" s="476"/>
      <c r="Y1041" s="476"/>
      <c r="Z1041" s="476"/>
      <c r="AA1041" s="476"/>
      <c r="AB1041" s="476"/>
      <c r="AC1041" s="476"/>
      <c r="AD1041" s="476"/>
      <c r="AE1041" s="476"/>
      <c r="AF1041" s="476"/>
      <c r="AG1041" s="476"/>
      <c r="AH1041" s="476"/>
      <c r="AI1041" s="476"/>
      <c r="AJ1041" s="476"/>
      <c r="AK1041" s="476"/>
      <c r="AL1041" s="476"/>
      <c r="AM1041" s="476"/>
      <c r="AN1041" s="476"/>
      <c r="AO1041" s="476"/>
      <c r="AP1041" s="476"/>
      <c r="AQ1041" s="476"/>
      <c r="AR1041" s="476"/>
      <c r="AS1041" s="476"/>
      <c r="AT1041" s="476"/>
      <c r="AU1041" s="476"/>
    </row>
    <row r="1042" spans="1:47" s="398" customFormat="1" ht="13.15" customHeight="1" x14ac:dyDescent="0.2">
      <c r="A1042" s="476"/>
      <c r="D1042" s="467"/>
      <c r="F1042" s="468"/>
      <c r="G1042" s="468"/>
      <c r="H1042" s="468"/>
      <c r="I1042" s="468"/>
      <c r="J1042" s="469"/>
      <c r="L1042" s="476"/>
      <c r="M1042" s="476"/>
      <c r="N1042" s="476"/>
      <c r="O1042" s="476"/>
      <c r="P1042" s="476"/>
      <c r="Q1042" s="476"/>
      <c r="R1042" s="476"/>
      <c r="S1042" s="476"/>
      <c r="T1042" s="476"/>
      <c r="U1042" s="476"/>
      <c r="V1042" s="476"/>
      <c r="W1042" s="476"/>
      <c r="X1042" s="476"/>
      <c r="Y1042" s="476"/>
      <c r="Z1042" s="476"/>
      <c r="AA1042" s="476"/>
      <c r="AB1042" s="476"/>
      <c r="AC1042" s="476"/>
      <c r="AD1042" s="476"/>
      <c r="AE1042" s="476"/>
      <c r="AF1042" s="476"/>
      <c r="AG1042" s="476"/>
      <c r="AH1042" s="476"/>
      <c r="AI1042" s="476"/>
      <c r="AJ1042" s="476"/>
      <c r="AK1042" s="476"/>
      <c r="AL1042" s="476"/>
      <c r="AM1042" s="476"/>
      <c r="AN1042" s="476"/>
      <c r="AO1042" s="476"/>
      <c r="AP1042" s="476"/>
      <c r="AQ1042" s="476"/>
      <c r="AR1042" s="476"/>
      <c r="AS1042" s="476"/>
      <c r="AT1042" s="476"/>
      <c r="AU1042" s="476"/>
    </row>
    <row r="1043" spans="1:47" s="398" customFormat="1" ht="13.15" customHeight="1" x14ac:dyDescent="0.2">
      <c r="A1043" s="476"/>
      <c r="D1043" s="467"/>
      <c r="F1043" s="468"/>
      <c r="G1043" s="468"/>
      <c r="H1043" s="468"/>
      <c r="I1043" s="468"/>
      <c r="J1043" s="469"/>
      <c r="L1043" s="476"/>
      <c r="M1043" s="476"/>
      <c r="N1043" s="476"/>
      <c r="O1043" s="476"/>
      <c r="P1043" s="476"/>
      <c r="Q1043" s="476"/>
      <c r="R1043" s="476"/>
      <c r="S1043" s="476"/>
      <c r="T1043" s="476"/>
      <c r="U1043" s="476"/>
      <c r="V1043" s="476"/>
      <c r="W1043" s="476"/>
      <c r="X1043" s="476"/>
      <c r="Y1043" s="476"/>
      <c r="Z1043" s="476"/>
      <c r="AA1043" s="476"/>
      <c r="AB1043" s="476"/>
      <c r="AC1043" s="476"/>
      <c r="AD1043" s="476"/>
      <c r="AE1043" s="476"/>
      <c r="AF1043" s="476"/>
      <c r="AG1043" s="476"/>
      <c r="AH1043" s="476"/>
      <c r="AI1043" s="476"/>
      <c r="AJ1043" s="476"/>
      <c r="AK1043" s="476"/>
      <c r="AL1043" s="476"/>
      <c r="AM1043" s="476"/>
      <c r="AN1043" s="476"/>
      <c r="AO1043" s="476"/>
      <c r="AP1043" s="476"/>
      <c r="AQ1043" s="476"/>
      <c r="AR1043" s="476"/>
      <c r="AS1043" s="476"/>
      <c r="AT1043" s="476"/>
      <c r="AU1043" s="476"/>
    </row>
    <row r="1044" spans="1:47" s="398" customFormat="1" ht="13.15" customHeight="1" x14ac:dyDescent="0.2">
      <c r="A1044" s="476"/>
      <c r="D1044" s="467"/>
      <c r="F1044" s="468"/>
      <c r="G1044" s="468"/>
      <c r="H1044" s="468"/>
      <c r="I1044" s="468"/>
      <c r="J1044" s="469"/>
      <c r="L1044" s="476"/>
      <c r="M1044" s="476"/>
      <c r="N1044" s="476"/>
      <c r="O1044" s="476"/>
      <c r="P1044" s="476"/>
      <c r="Q1044" s="476"/>
      <c r="R1044" s="476"/>
      <c r="S1044" s="476"/>
      <c r="T1044" s="476"/>
      <c r="U1044" s="476"/>
      <c r="V1044" s="476"/>
      <c r="W1044" s="476"/>
      <c r="X1044" s="476"/>
      <c r="Y1044" s="476"/>
      <c r="Z1044" s="476"/>
      <c r="AA1044" s="476"/>
      <c r="AB1044" s="476"/>
      <c r="AC1044" s="476"/>
      <c r="AD1044" s="476"/>
      <c r="AE1044" s="476"/>
      <c r="AF1044" s="476"/>
      <c r="AG1044" s="476"/>
      <c r="AH1044" s="476"/>
      <c r="AI1044" s="476"/>
      <c r="AJ1044" s="476"/>
      <c r="AK1044" s="476"/>
      <c r="AL1044" s="476"/>
      <c r="AM1044" s="476"/>
      <c r="AN1044" s="476"/>
      <c r="AO1044" s="476"/>
      <c r="AP1044" s="476"/>
      <c r="AQ1044" s="476"/>
      <c r="AR1044" s="476"/>
      <c r="AS1044" s="476"/>
      <c r="AT1044" s="476"/>
      <c r="AU1044" s="476"/>
    </row>
    <row r="1045" spans="1:47" s="398" customFormat="1" ht="13.15" customHeight="1" x14ac:dyDescent="0.2">
      <c r="A1045" s="476"/>
      <c r="D1045" s="467"/>
      <c r="F1045" s="468"/>
      <c r="G1045" s="468"/>
      <c r="H1045" s="468"/>
      <c r="I1045" s="468"/>
      <c r="J1045" s="469"/>
      <c r="L1045" s="476"/>
      <c r="M1045" s="476"/>
      <c r="N1045" s="476"/>
      <c r="O1045" s="476"/>
      <c r="P1045" s="476"/>
      <c r="Q1045" s="476"/>
      <c r="R1045" s="476"/>
      <c r="S1045" s="476"/>
      <c r="T1045" s="476"/>
      <c r="U1045" s="476"/>
      <c r="V1045" s="476"/>
      <c r="W1045" s="476"/>
      <c r="X1045" s="476"/>
      <c r="Y1045" s="476"/>
      <c r="Z1045" s="476"/>
      <c r="AA1045" s="476"/>
      <c r="AB1045" s="476"/>
      <c r="AC1045" s="476"/>
      <c r="AD1045" s="476"/>
      <c r="AE1045" s="476"/>
      <c r="AF1045" s="476"/>
      <c r="AG1045" s="476"/>
      <c r="AH1045" s="476"/>
      <c r="AI1045" s="476"/>
      <c r="AJ1045" s="476"/>
      <c r="AK1045" s="476"/>
      <c r="AL1045" s="476"/>
      <c r="AM1045" s="476"/>
      <c r="AN1045" s="476"/>
      <c r="AO1045" s="476"/>
      <c r="AP1045" s="476"/>
      <c r="AQ1045" s="476"/>
      <c r="AR1045" s="476"/>
      <c r="AS1045" s="476"/>
      <c r="AT1045" s="476"/>
      <c r="AU1045" s="476"/>
    </row>
    <row r="1046" spans="1:47" s="398" customFormat="1" ht="13.15" customHeight="1" x14ac:dyDescent="0.2">
      <c r="A1046" s="476"/>
      <c r="D1046" s="467"/>
      <c r="F1046" s="468"/>
      <c r="G1046" s="468"/>
      <c r="H1046" s="468"/>
      <c r="I1046" s="468"/>
      <c r="J1046" s="469"/>
      <c r="L1046" s="476"/>
      <c r="M1046" s="476"/>
      <c r="N1046" s="476"/>
      <c r="O1046" s="476"/>
      <c r="P1046" s="476"/>
      <c r="Q1046" s="476"/>
      <c r="R1046" s="476"/>
      <c r="S1046" s="476"/>
      <c r="T1046" s="476"/>
      <c r="U1046" s="476"/>
      <c r="V1046" s="476"/>
      <c r="W1046" s="476"/>
      <c r="X1046" s="476"/>
      <c r="Y1046" s="476"/>
      <c r="Z1046" s="476"/>
      <c r="AA1046" s="476"/>
      <c r="AB1046" s="476"/>
      <c r="AC1046" s="476"/>
      <c r="AD1046" s="476"/>
      <c r="AE1046" s="476"/>
      <c r="AF1046" s="476"/>
      <c r="AG1046" s="476"/>
      <c r="AH1046" s="476"/>
      <c r="AI1046" s="476"/>
      <c r="AJ1046" s="476"/>
      <c r="AK1046" s="476"/>
      <c r="AL1046" s="476"/>
      <c r="AM1046" s="476"/>
      <c r="AN1046" s="476"/>
      <c r="AO1046" s="476"/>
      <c r="AP1046" s="476"/>
      <c r="AQ1046" s="476"/>
      <c r="AR1046" s="476"/>
      <c r="AS1046" s="476"/>
      <c r="AT1046" s="476"/>
      <c r="AU1046" s="476"/>
    </row>
    <row r="1047" spans="1:47" s="398" customFormat="1" ht="13.15" customHeight="1" x14ac:dyDescent="0.2">
      <c r="A1047" s="476"/>
      <c r="D1047" s="467"/>
      <c r="F1047" s="468"/>
      <c r="G1047" s="468"/>
      <c r="H1047" s="468"/>
      <c r="I1047" s="468"/>
      <c r="J1047" s="469"/>
      <c r="L1047" s="476"/>
      <c r="M1047" s="476"/>
      <c r="N1047" s="476"/>
      <c r="O1047" s="476"/>
      <c r="P1047" s="476"/>
      <c r="Q1047" s="476"/>
      <c r="R1047" s="476"/>
      <c r="S1047" s="476"/>
      <c r="T1047" s="476"/>
      <c r="U1047" s="476"/>
      <c r="V1047" s="476"/>
      <c r="W1047" s="476"/>
      <c r="X1047" s="476"/>
      <c r="Y1047" s="476"/>
      <c r="Z1047" s="476"/>
      <c r="AA1047" s="476"/>
      <c r="AB1047" s="476"/>
      <c r="AC1047" s="476"/>
      <c r="AD1047" s="476"/>
      <c r="AE1047" s="476"/>
      <c r="AF1047" s="476"/>
      <c r="AG1047" s="476"/>
      <c r="AH1047" s="476"/>
      <c r="AI1047" s="476"/>
      <c r="AJ1047" s="476"/>
      <c r="AK1047" s="476"/>
      <c r="AL1047" s="476"/>
      <c r="AM1047" s="476"/>
      <c r="AN1047" s="476"/>
      <c r="AO1047" s="476"/>
      <c r="AP1047" s="476"/>
      <c r="AQ1047" s="476"/>
      <c r="AR1047" s="476"/>
      <c r="AS1047" s="476"/>
      <c r="AT1047" s="476"/>
      <c r="AU1047" s="476"/>
    </row>
    <row r="1048" spans="1:47" s="398" customFormat="1" ht="13.15" customHeight="1" x14ac:dyDescent="0.2">
      <c r="A1048" s="476"/>
      <c r="D1048" s="467"/>
      <c r="F1048" s="468"/>
      <c r="G1048" s="468"/>
      <c r="H1048" s="468"/>
      <c r="I1048" s="468"/>
      <c r="J1048" s="469"/>
      <c r="L1048" s="476"/>
      <c r="M1048" s="476"/>
      <c r="N1048" s="476"/>
      <c r="O1048" s="476"/>
      <c r="P1048" s="476"/>
      <c r="Q1048" s="476"/>
      <c r="R1048" s="476"/>
      <c r="S1048" s="476"/>
      <c r="T1048" s="476"/>
      <c r="U1048" s="476"/>
      <c r="V1048" s="476"/>
      <c r="W1048" s="476"/>
      <c r="X1048" s="476"/>
      <c r="Y1048" s="476"/>
      <c r="Z1048" s="476"/>
      <c r="AA1048" s="476"/>
      <c r="AB1048" s="476"/>
      <c r="AC1048" s="476"/>
      <c r="AD1048" s="476"/>
      <c r="AE1048" s="476"/>
      <c r="AF1048" s="476"/>
      <c r="AG1048" s="476"/>
      <c r="AH1048" s="476"/>
      <c r="AI1048" s="476"/>
      <c r="AJ1048" s="476"/>
      <c r="AK1048" s="476"/>
      <c r="AL1048" s="476"/>
      <c r="AM1048" s="476"/>
      <c r="AN1048" s="476"/>
      <c r="AO1048" s="476"/>
      <c r="AP1048" s="476"/>
      <c r="AQ1048" s="476"/>
      <c r="AR1048" s="476"/>
      <c r="AS1048" s="476"/>
      <c r="AT1048" s="476"/>
      <c r="AU1048" s="476"/>
    </row>
    <row r="1049" spans="1:47" s="398" customFormat="1" ht="13.15" customHeight="1" x14ac:dyDescent="0.2">
      <c r="A1049" s="476"/>
      <c r="D1049" s="467"/>
      <c r="F1049" s="468"/>
      <c r="G1049" s="468"/>
      <c r="H1049" s="468"/>
      <c r="I1049" s="468"/>
      <c r="J1049" s="469"/>
      <c r="L1049" s="476"/>
      <c r="M1049" s="476"/>
      <c r="N1049" s="476"/>
      <c r="O1049" s="476"/>
      <c r="P1049" s="476"/>
      <c r="Q1049" s="476"/>
      <c r="R1049" s="476"/>
      <c r="S1049" s="476"/>
      <c r="T1049" s="476"/>
      <c r="U1049" s="476"/>
      <c r="V1049" s="476"/>
      <c r="W1049" s="476"/>
      <c r="X1049" s="476"/>
      <c r="Y1049" s="476"/>
      <c r="Z1049" s="476"/>
      <c r="AA1049" s="476"/>
      <c r="AB1049" s="476"/>
      <c r="AC1049" s="476"/>
      <c r="AD1049" s="476"/>
      <c r="AE1049" s="476"/>
      <c r="AF1049" s="476"/>
      <c r="AG1049" s="476"/>
      <c r="AH1049" s="476"/>
      <c r="AI1049" s="476"/>
      <c r="AJ1049" s="476"/>
      <c r="AK1049" s="476"/>
      <c r="AL1049" s="476"/>
      <c r="AM1049" s="476"/>
      <c r="AN1049" s="476"/>
      <c r="AO1049" s="476"/>
      <c r="AP1049" s="476"/>
      <c r="AQ1049" s="476"/>
      <c r="AR1049" s="476"/>
      <c r="AS1049" s="476"/>
      <c r="AT1049" s="476"/>
      <c r="AU1049" s="476"/>
    </row>
    <row r="1050" spans="1:47" s="398" customFormat="1" ht="13.15" customHeight="1" x14ac:dyDescent="0.2">
      <c r="A1050" s="476"/>
      <c r="D1050" s="467"/>
      <c r="F1050" s="468"/>
      <c r="G1050" s="468"/>
      <c r="H1050" s="468"/>
      <c r="I1050" s="468"/>
      <c r="J1050" s="469"/>
      <c r="L1050" s="476"/>
      <c r="M1050" s="476"/>
      <c r="N1050" s="476"/>
      <c r="O1050" s="476"/>
      <c r="P1050" s="476"/>
      <c r="Q1050" s="476"/>
      <c r="R1050" s="476"/>
      <c r="S1050" s="476"/>
      <c r="T1050" s="476"/>
      <c r="U1050" s="476"/>
      <c r="V1050" s="476"/>
      <c r="W1050" s="476"/>
      <c r="X1050" s="476"/>
      <c r="Y1050" s="476"/>
      <c r="Z1050" s="476"/>
      <c r="AA1050" s="476"/>
      <c r="AB1050" s="476"/>
      <c r="AC1050" s="476"/>
      <c r="AD1050" s="476"/>
      <c r="AE1050" s="476"/>
      <c r="AF1050" s="476"/>
      <c r="AG1050" s="476"/>
      <c r="AH1050" s="476"/>
      <c r="AI1050" s="476"/>
      <c r="AJ1050" s="476"/>
      <c r="AK1050" s="476"/>
      <c r="AL1050" s="476"/>
      <c r="AM1050" s="476"/>
      <c r="AN1050" s="476"/>
      <c r="AO1050" s="476"/>
      <c r="AP1050" s="476"/>
      <c r="AQ1050" s="476"/>
      <c r="AR1050" s="476"/>
      <c r="AS1050" s="476"/>
      <c r="AT1050" s="476"/>
      <c r="AU1050" s="476"/>
    </row>
    <row r="1051" spans="1:47" s="398" customFormat="1" ht="13.15" customHeight="1" x14ac:dyDescent="0.2">
      <c r="A1051" s="476"/>
      <c r="D1051" s="467"/>
      <c r="F1051" s="468"/>
      <c r="G1051" s="468"/>
      <c r="H1051" s="468"/>
      <c r="I1051" s="468"/>
      <c r="J1051" s="469"/>
      <c r="L1051" s="476"/>
      <c r="M1051" s="476"/>
      <c r="N1051" s="476"/>
      <c r="O1051" s="476"/>
      <c r="P1051" s="476"/>
      <c r="Q1051" s="476"/>
      <c r="R1051" s="476"/>
      <c r="S1051" s="476"/>
      <c r="T1051" s="476"/>
      <c r="U1051" s="476"/>
      <c r="V1051" s="476"/>
      <c r="W1051" s="476"/>
      <c r="X1051" s="476"/>
      <c r="Y1051" s="476"/>
      <c r="Z1051" s="476"/>
      <c r="AA1051" s="476"/>
      <c r="AB1051" s="476"/>
      <c r="AC1051" s="476"/>
      <c r="AD1051" s="476"/>
      <c r="AE1051" s="476"/>
      <c r="AF1051" s="476"/>
      <c r="AG1051" s="476"/>
      <c r="AH1051" s="476"/>
      <c r="AI1051" s="476"/>
      <c r="AJ1051" s="476"/>
      <c r="AK1051" s="476"/>
      <c r="AL1051" s="476"/>
      <c r="AM1051" s="476"/>
      <c r="AN1051" s="476"/>
      <c r="AO1051" s="476"/>
      <c r="AP1051" s="476"/>
      <c r="AQ1051" s="476"/>
      <c r="AR1051" s="476"/>
      <c r="AS1051" s="476"/>
      <c r="AT1051" s="476"/>
      <c r="AU1051" s="476"/>
    </row>
    <row r="1052" spans="1:47" s="398" customFormat="1" ht="13.15" customHeight="1" x14ac:dyDescent="0.2">
      <c r="A1052" s="476"/>
      <c r="D1052" s="467"/>
      <c r="F1052" s="468"/>
      <c r="G1052" s="468"/>
      <c r="H1052" s="468"/>
      <c r="I1052" s="468"/>
      <c r="J1052" s="469"/>
      <c r="L1052" s="476"/>
      <c r="M1052" s="476"/>
      <c r="N1052" s="476"/>
      <c r="O1052" s="476"/>
      <c r="P1052" s="476"/>
      <c r="Q1052" s="476"/>
      <c r="R1052" s="476"/>
      <c r="S1052" s="476"/>
      <c r="T1052" s="476"/>
      <c r="U1052" s="476"/>
      <c r="V1052" s="476"/>
      <c r="W1052" s="476"/>
      <c r="X1052" s="476"/>
      <c r="Y1052" s="476"/>
      <c r="Z1052" s="476"/>
      <c r="AA1052" s="476"/>
      <c r="AB1052" s="476"/>
      <c r="AC1052" s="476"/>
      <c r="AD1052" s="476"/>
      <c r="AE1052" s="476"/>
      <c r="AF1052" s="476"/>
      <c r="AG1052" s="476"/>
      <c r="AH1052" s="476"/>
      <c r="AI1052" s="476"/>
      <c r="AJ1052" s="476"/>
      <c r="AK1052" s="476"/>
      <c r="AL1052" s="476"/>
      <c r="AM1052" s="476"/>
      <c r="AN1052" s="476"/>
      <c r="AO1052" s="476"/>
      <c r="AP1052" s="476"/>
      <c r="AQ1052" s="476"/>
      <c r="AR1052" s="476"/>
      <c r="AS1052" s="476"/>
      <c r="AT1052" s="476"/>
      <c r="AU1052" s="476"/>
    </row>
    <row r="1053" spans="1:47" s="398" customFormat="1" ht="13.15" customHeight="1" x14ac:dyDescent="0.2">
      <c r="A1053" s="476"/>
      <c r="D1053" s="467"/>
      <c r="F1053" s="468"/>
      <c r="G1053" s="468"/>
      <c r="H1053" s="468"/>
      <c r="I1053" s="468"/>
      <c r="J1053" s="469"/>
      <c r="L1053" s="476"/>
      <c r="M1053" s="476"/>
      <c r="N1053" s="476"/>
      <c r="O1053" s="476"/>
      <c r="P1053" s="476"/>
      <c r="Q1053" s="476"/>
      <c r="R1053" s="476"/>
      <c r="S1053" s="476"/>
      <c r="T1053" s="476"/>
      <c r="U1053" s="476"/>
      <c r="V1053" s="476"/>
      <c r="W1053" s="476"/>
      <c r="X1053" s="476"/>
      <c r="Y1053" s="476"/>
      <c r="Z1053" s="476"/>
      <c r="AA1053" s="476"/>
      <c r="AB1053" s="476"/>
      <c r="AC1053" s="476"/>
      <c r="AD1053" s="476"/>
      <c r="AE1053" s="476"/>
      <c r="AF1053" s="476"/>
      <c r="AG1053" s="476"/>
      <c r="AH1053" s="476"/>
      <c r="AI1053" s="476"/>
      <c r="AJ1053" s="476"/>
      <c r="AK1053" s="476"/>
      <c r="AL1053" s="476"/>
      <c r="AM1053" s="476"/>
      <c r="AN1053" s="476"/>
      <c r="AO1053" s="476"/>
      <c r="AP1053" s="476"/>
      <c r="AQ1053" s="476"/>
      <c r="AR1053" s="476"/>
      <c r="AS1053" s="476"/>
      <c r="AT1053" s="476"/>
      <c r="AU1053" s="476"/>
    </row>
    <row r="1054" spans="1:47" s="398" customFormat="1" ht="13.15" customHeight="1" x14ac:dyDescent="0.2">
      <c r="A1054" s="476"/>
      <c r="D1054" s="467"/>
      <c r="F1054" s="468"/>
      <c r="G1054" s="468"/>
      <c r="H1054" s="468"/>
      <c r="I1054" s="468"/>
      <c r="J1054" s="469"/>
      <c r="L1054" s="476"/>
      <c r="M1054" s="476"/>
      <c r="N1054" s="476"/>
      <c r="O1054" s="476"/>
      <c r="P1054" s="476"/>
      <c r="Q1054" s="476"/>
      <c r="R1054" s="476"/>
      <c r="S1054" s="476"/>
      <c r="T1054" s="476"/>
      <c r="U1054" s="476"/>
      <c r="V1054" s="476"/>
      <c r="W1054" s="476"/>
      <c r="X1054" s="476"/>
      <c r="Y1054" s="476"/>
      <c r="Z1054" s="476"/>
      <c r="AA1054" s="476"/>
      <c r="AB1054" s="476"/>
      <c r="AC1054" s="476"/>
      <c r="AD1054" s="476"/>
      <c r="AE1054" s="476"/>
      <c r="AF1054" s="476"/>
      <c r="AG1054" s="476"/>
      <c r="AH1054" s="476"/>
      <c r="AI1054" s="476"/>
      <c r="AJ1054" s="476"/>
      <c r="AK1054" s="476"/>
      <c r="AL1054" s="476"/>
      <c r="AM1054" s="476"/>
      <c r="AN1054" s="476"/>
      <c r="AO1054" s="476"/>
      <c r="AP1054" s="476"/>
      <c r="AQ1054" s="476"/>
      <c r="AR1054" s="476"/>
      <c r="AS1054" s="476"/>
      <c r="AT1054" s="476"/>
      <c r="AU1054" s="476"/>
    </row>
    <row r="1055" spans="1:47" s="398" customFormat="1" ht="13.15" customHeight="1" x14ac:dyDescent="0.2">
      <c r="A1055" s="476"/>
      <c r="D1055" s="467"/>
      <c r="F1055" s="468"/>
      <c r="G1055" s="468"/>
      <c r="H1055" s="468"/>
      <c r="I1055" s="468"/>
      <c r="J1055" s="469"/>
      <c r="L1055" s="476"/>
      <c r="M1055" s="476"/>
      <c r="N1055" s="476"/>
      <c r="O1055" s="476"/>
      <c r="P1055" s="476"/>
      <c r="Q1055" s="476"/>
      <c r="R1055" s="476"/>
      <c r="S1055" s="476"/>
      <c r="T1055" s="476"/>
      <c r="U1055" s="476"/>
      <c r="V1055" s="476"/>
      <c r="W1055" s="476"/>
      <c r="X1055" s="476"/>
      <c r="Y1055" s="476"/>
      <c r="Z1055" s="476"/>
      <c r="AA1055" s="476"/>
      <c r="AB1055" s="476"/>
      <c r="AC1055" s="476"/>
      <c r="AD1055" s="476"/>
      <c r="AE1055" s="476"/>
      <c r="AF1055" s="476"/>
      <c r="AG1055" s="476"/>
      <c r="AH1055" s="476"/>
      <c r="AI1055" s="476"/>
      <c r="AJ1055" s="476"/>
      <c r="AK1055" s="476"/>
      <c r="AL1055" s="476"/>
      <c r="AM1055" s="476"/>
      <c r="AN1055" s="476"/>
      <c r="AO1055" s="476"/>
      <c r="AP1055" s="476"/>
      <c r="AQ1055" s="476"/>
      <c r="AR1055" s="476"/>
      <c r="AS1055" s="476"/>
      <c r="AT1055" s="476"/>
      <c r="AU1055" s="476"/>
    </row>
    <row r="1056" spans="1:47" s="398" customFormat="1" ht="13.15" customHeight="1" x14ac:dyDescent="0.2">
      <c r="A1056" s="476"/>
      <c r="D1056" s="467"/>
      <c r="F1056" s="468"/>
      <c r="G1056" s="468"/>
      <c r="H1056" s="468"/>
      <c r="I1056" s="468"/>
      <c r="J1056" s="469"/>
      <c r="L1056" s="476"/>
      <c r="M1056" s="476"/>
      <c r="N1056" s="476"/>
      <c r="O1056" s="476"/>
      <c r="P1056" s="476"/>
      <c r="Q1056" s="476"/>
      <c r="R1056" s="476"/>
      <c r="S1056" s="476"/>
      <c r="T1056" s="476"/>
      <c r="U1056" s="476"/>
      <c r="V1056" s="476"/>
      <c r="W1056" s="476"/>
      <c r="X1056" s="476"/>
      <c r="Y1056" s="476"/>
      <c r="Z1056" s="476"/>
      <c r="AA1056" s="476"/>
      <c r="AB1056" s="476"/>
      <c r="AC1056" s="476"/>
      <c r="AD1056" s="476"/>
      <c r="AE1056" s="476"/>
      <c r="AF1056" s="476"/>
      <c r="AG1056" s="476"/>
      <c r="AH1056" s="476"/>
      <c r="AI1056" s="476"/>
      <c r="AJ1056" s="476"/>
      <c r="AK1056" s="476"/>
      <c r="AL1056" s="476"/>
      <c r="AM1056" s="476"/>
      <c r="AN1056" s="476"/>
      <c r="AO1056" s="476"/>
      <c r="AP1056" s="476"/>
      <c r="AQ1056" s="476"/>
      <c r="AR1056" s="476"/>
      <c r="AS1056" s="476"/>
      <c r="AT1056" s="476"/>
      <c r="AU1056" s="476"/>
    </row>
    <row r="1057" spans="1:47" s="398" customFormat="1" ht="13.15" customHeight="1" x14ac:dyDescent="0.2">
      <c r="A1057" s="476"/>
      <c r="D1057" s="467"/>
      <c r="F1057" s="468"/>
      <c r="G1057" s="468"/>
      <c r="H1057" s="468"/>
      <c r="I1057" s="468"/>
      <c r="J1057" s="469"/>
      <c r="L1057" s="476"/>
      <c r="M1057" s="476"/>
      <c r="N1057" s="476"/>
      <c r="O1057" s="476"/>
      <c r="P1057" s="476"/>
      <c r="Q1057" s="476"/>
      <c r="R1057" s="476"/>
      <c r="S1057" s="476"/>
      <c r="T1057" s="476"/>
      <c r="U1057" s="476"/>
      <c r="V1057" s="476"/>
      <c r="W1057" s="476"/>
      <c r="X1057" s="476"/>
      <c r="Y1057" s="476"/>
      <c r="Z1057" s="476"/>
      <c r="AA1057" s="476"/>
      <c r="AB1057" s="476"/>
      <c r="AC1057" s="476"/>
      <c r="AD1057" s="476"/>
      <c r="AE1057" s="476"/>
      <c r="AF1057" s="476"/>
      <c r="AG1057" s="476"/>
      <c r="AH1057" s="476"/>
      <c r="AI1057" s="476"/>
      <c r="AJ1057" s="476"/>
      <c r="AK1057" s="476"/>
      <c r="AL1057" s="476"/>
      <c r="AM1057" s="476"/>
      <c r="AN1057" s="476"/>
      <c r="AO1057" s="476"/>
      <c r="AP1057" s="476"/>
      <c r="AQ1057" s="476"/>
      <c r="AR1057" s="476"/>
      <c r="AS1057" s="476"/>
      <c r="AT1057" s="476"/>
      <c r="AU1057" s="476"/>
    </row>
    <row r="1058" spans="1:47" s="398" customFormat="1" ht="13.15" customHeight="1" x14ac:dyDescent="0.2">
      <c r="A1058" s="476"/>
      <c r="D1058" s="467"/>
      <c r="F1058" s="468"/>
      <c r="G1058" s="468"/>
      <c r="H1058" s="468"/>
      <c r="I1058" s="468"/>
      <c r="J1058" s="469"/>
      <c r="L1058" s="476"/>
      <c r="M1058" s="476"/>
      <c r="N1058" s="476"/>
      <c r="O1058" s="476"/>
      <c r="P1058" s="476"/>
      <c r="Q1058" s="476"/>
      <c r="R1058" s="476"/>
      <c r="S1058" s="476"/>
      <c r="T1058" s="476"/>
      <c r="U1058" s="476"/>
      <c r="V1058" s="476"/>
      <c r="W1058" s="476"/>
      <c r="X1058" s="476"/>
      <c r="Y1058" s="476"/>
      <c r="Z1058" s="476"/>
      <c r="AA1058" s="476"/>
      <c r="AB1058" s="476"/>
      <c r="AC1058" s="476"/>
      <c r="AD1058" s="476"/>
      <c r="AE1058" s="476"/>
      <c r="AF1058" s="476"/>
      <c r="AG1058" s="476"/>
      <c r="AH1058" s="476"/>
      <c r="AI1058" s="476"/>
      <c r="AJ1058" s="476"/>
      <c r="AK1058" s="476"/>
      <c r="AL1058" s="476"/>
      <c r="AM1058" s="476"/>
      <c r="AN1058" s="476"/>
      <c r="AO1058" s="476"/>
      <c r="AP1058" s="476"/>
      <c r="AQ1058" s="476"/>
      <c r="AR1058" s="476"/>
      <c r="AS1058" s="476"/>
      <c r="AT1058" s="476"/>
      <c r="AU1058" s="476"/>
    </row>
    <row r="1059" spans="1:47" s="398" customFormat="1" ht="13.15" customHeight="1" x14ac:dyDescent="0.2">
      <c r="A1059" s="476"/>
      <c r="D1059" s="467"/>
      <c r="F1059" s="468"/>
      <c r="G1059" s="468"/>
      <c r="H1059" s="468"/>
      <c r="I1059" s="468"/>
      <c r="J1059" s="469"/>
      <c r="L1059" s="476"/>
      <c r="M1059" s="476"/>
      <c r="N1059" s="476"/>
      <c r="O1059" s="476"/>
      <c r="P1059" s="476"/>
      <c r="Q1059" s="476"/>
      <c r="R1059" s="476"/>
      <c r="S1059" s="476"/>
      <c r="T1059" s="476"/>
      <c r="U1059" s="476"/>
      <c r="V1059" s="476"/>
      <c r="W1059" s="476"/>
      <c r="X1059" s="476"/>
      <c r="Y1059" s="476"/>
      <c r="Z1059" s="476"/>
      <c r="AA1059" s="476"/>
      <c r="AB1059" s="476"/>
      <c r="AC1059" s="476"/>
      <c r="AD1059" s="476"/>
      <c r="AE1059" s="476"/>
      <c r="AF1059" s="476"/>
      <c r="AG1059" s="476"/>
      <c r="AH1059" s="476"/>
      <c r="AI1059" s="476"/>
      <c r="AJ1059" s="476"/>
      <c r="AK1059" s="476"/>
      <c r="AL1059" s="476"/>
      <c r="AM1059" s="476"/>
      <c r="AN1059" s="476"/>
      <c r="AO1059" s="476"/>
      <c r="AP1059" s="476"/>
      <c r="AQ1059" s="476"/>
      <c r="AR1059" s="476"/>
      <c r="AS1059" s="476"/>
      <c r="AT1059" s="476"/>
      <c r="AU1059" s="476"/>
    </row>
    <row r="1060" spans="1:47" s="398" customFormat="1" ht="13.15" customHeight="1" x14ac:dyDescent="0.2">
      <c r="A1060" s="476"/>
      <c r="D1060" s="467"/>
      <c r="F1060" s="468"/>
      <c r="G1060" s="468"/>
      <c r="H1060" s="468"/>
      <c r="I1060" s="468"/>
      <c r="J1060" s="469"/>
      <c r="L1060" s="476"/>
      <c r="M1060" s="476"/>
      <c r="N1060" s="476"/>
      <c r="O1060" s="476"/>
      <c r="P1060" s="476"/>
      <c r="Q1060" s="476"/>
      <c r="R1060" s="476"/>
      <c r="S1060" s="476"/>
      <c r="T1060" s="476"/>
      <c r="U1060" s="476"/>
      <c r="V1060" s="476"/>
      <c r="W1060" s="476"/>
      <c r="X1060" s="476"/>
      <c r="Y1060" s="476"/>
      <c r="Z1060" s="476"/>
      <c r="AA1060" s="476"/>
      <c r="AB1060" s="476"/>
      <c r="AC1060" s="476"/>
      <c r="AD1060" s="476"/>
      <c r="AE1060" s="476"/>
      <c r="AF1060" s="476"/>
      <c r="AG1060" s="476"/>
      <c r="AH1060" s="476"/>
      <c r="AI1060" s="476"/>
      <c r="AJ1060" s="476"/>
      <c r="AK1060" s="476"/>
      <c r="AL1060" s="476"/>
      <c r="AM1060" s="476"/>
      <c r="AN1060" s="476"/>
      <c r="AO1060" s="476"/>
      <c r="AP1060" s="476"/>
      <c r="AQ1060" s="476"/>
      <c r="AR1060" s="476"/>
      <c r="AS1060" s="476"/>
      <c r="AT1060" s="476"/>
      <c r="AU1060" s="476"/>
    </row>
    <row r="1061" spans="1:47" s="398" customFormat="1" ht="13.15" customHeight="1" x14ac:dyDescent="0.2">
      <c r="A1061" s="476"/>
      <c r="D1061" s="467"/>
      <c r="F1061" s="468"/>
      <c r="G1061" s="468"/>
      <c r="H1061" s="468"/>
      <c r="I1061" s="468"/>
      <c r="J1061" s="469"/>
      <c r="L1061" s="476"/>
      <c r="M1061" s="476"/>
      <c r="N1061" s="476"/>
      <c r="O1061" s="476"/>
      <c r="P1061" s="476"/>
      <c r="Q1061" s="476"/>
      <c r="R1061" s="476"/>
      <c r="S1061" s="476"/>
      <c r="T1061" s="476"/>
      <c r="U1061" s="476"/>
      <c r="V1061" s="476"/>
      <c r="W1061" s="476"/>
      <c r="X1061" s="476"/>
      <c r="Y1061" s="476"/>
      <c r="Z1061" s="476"/>
      <c r="AA1061" s="476"/>
      <c r="AB1061" s="476"/>
      <c r="AC1061" s="476"/>
      <c r="AD1061" s="476"/>
      <c r="AE1061" s="476"/>
      <c r="AF1061" s="476"/>
      <c r="AG1061" s="476"/>
      <c r="AH1061" s="476"/>
      <c r="AI1061" s="476"/>
      <c r="AJ1061" s="476"/>
      <c r="AK1061" s="476"/>
      <c r="AL1061" s="476"/>
      <c r="AM1061" s="476"/>
      <c r="AN1061" s="476"/>
      <c r="AO1061" s="476"/>
      <c r="AP1061" s="476"/>
      <c r="AQ1061" s="476"/>
      <c r="AR1061" s="476"/>
      <c r="AS1061" s="476"/>
      <c r="AT1061" s="476"/>
      <c r="AU1061" s="476"/>
    </row>
    <row r="1062" spans="1:47" s="398" customFormat="1" ht="13.15" customHeight="1" x14ac:dyDescent="0.2">
      <c r="A1062" s="476"/>
      <c r="D1062" s="467"/>
      <c r="F1062" s="468"/>
      <c r="G1062" s="468"/>
      <c r="H1062" s="468"/>
      <c r="I1062" s="468"/>
      <c r="J1062" s="469"/>
      <c r="L1062" s="476"/>
      <c r="M1062" s="476"/>
      <c r="N1062" s="476"/>
      <c r="O1062" s="476"/>
      <c r="P1062" s="476"/>
      <c r="Q1062" s="476"/>
      <c r="R1062" s="476"/>
      <c r="S1062" s="476"/>
      <c r="T1062" s="476"/>
      <c r="U1062" s="476"/>
      <c r="V1062" s="476"/>
      <c r="W1062" s="476"/>
      <c r="X1062" s="476"/>
      <c r="Y1062" s="476"/>
      <c r="Z1062" s="476"/>
      <c r="AA1062" s="476"/>
      <c r="AB1062" s="476"/>
      <c r="AC1062" s="476"/>
      <c r="AD1062" s="476"/>
      <c r="AE1062" s="476"/>
      <c r="AF1062" s="476"/>
      <c r="AG1062" s="476"/>
      <c r="AH1062" s="476"/>
      <c r="AI1062" s="476"/>
      <c r="AJ1062" s="476"/>
      <c r="AK1062" s="476"/>
      <c r="AL1062" s="476"/>
      <c r="AM1062" s="476"/>
      <c r="AN1062" s="476"/>
      <c r="AO1062" s="476"/>
      <c r="AP1062" s="476"/>
      <c r="AQ1062" s="476"/>
      <c r="AR1062" s="476"/>
      <c r="AS1062" s="476"/>
      <c r="AT1062" s="476"/>
      <c r="AU1062" s="476"/>
    </row>
    <row r="1063" spans="1:47" s="398" customFormat="1" ht="13.15" customHeight="1" x14ac:dyDescent="0.2">
      <c r="A1063" s="476"/>
      <c r="D1063" s="467"/>
      <c r="F1063" s="468"/>
      <c r="G1063" s="468"/>
      <c r="H1063" s="468"/>
      <c r="I1063" s="468"/>
      <c r="J1063" s="469"/>
      <c r="L1063" s="476"/>
      <c r="M1063" s="476"/>
      <c r="N1063" s="476"/>
      <c r="O1063" s="476"/>
      <c r="P1063" s="476"/>
      <c r="Q1063" s="476"/>
      <c r="R1063" s="476"/>
      <c r="S1063" s="476"/>
      <c r="T1063" s="476"/>
      <c r="U1063" s="476"/>
      <c r="V1063" s="476"/>
      <c r="W1063" s="476"/>
      <c r="X1063" s="476"/>
      <c r="Y1063" s="476"/>
      <c r="Z1063" s="476"/>
      <c r="AA1063" s="476"/>
      <c r="AB1063" s="476"/>
      <c r="AC1063" s="476"/>
      <c r="AD1063" s="476"/>
      <c r="AE1063" s="476"/>
      <c r="AF1063" s="476"/>
      <c r="AG1063" s="476"/>
      <c r="AH1063" s="476"/>
      <c r="AI1063" s="476"/>
      <c r="AJ1063" s="476"/>
      <c r="AK1063" s="476"/>
      <c r="AL1063" s="476"/>
      <c r="AM1063" s="476"/>
      <c r="AN1063" s="476"/>
      <c r="AO1063" s="476"/>
      <c r="AP1063" s="476"/>
      <c r="AQ1063" s="476"/>
      <c r="AR1063" s="476"/>
      <c r="AS1063" s="476"/>
      <c r="AT1063" s="476"/>
      <c r="AU1063" s="476"/>
    </row>
    <row r="1064" spans="1:47" s="398" customFormat="1" ht="13.15" customHeight="1" x14ac:dyDescent="0.2">
      <c r="A1064" s="476"/>
      <c r="D1064" s="467"/>
      <c r="F1064" s="468"/>
      <c r="G1064" s="468"/>
      <c r="H1064" s="468"/>
      <c r="I1064" s="468"/>
      <c r="J1064" s="469"/>
      <c r="L1064" s="476"/>
      <c r="M1064" s="476"/>
      <c r="N1064" s="476"/>
      <c r="O1064" s="476"/>
      <c r="P1064" s="476"/>
      <c r="Q1064" s="476"/>
      <c r="R1064" s="476"/>
      <c r="S1064" s="476"/>
      <c r="T1064" s="476"/>
      <c r="U1064" s="476"/>
      <c r="V1064" s="476"/>
      <c r="W1064" s="476"/>
      <c r="X1064" s="476"/>
      <c r="Y1064" s="476"/>
      <c r="Z1064" s="476"/>
      <c r="AA1064" s="476"/>
      <c r="AB1064" s="476"/>
      <c r="AC1064" s="476"/>
      <c r="AD1064" s="476"/>
      <c r="AE1064" s="476"/>
      <c r="AF1064" s="476"/>
      <c r="AG1064" s="476"/>
      <c r="AH1064" s="476"/>
      <c r="AI1064" s="476"/>
      <c r="AJ1064" s="476"/>
      <c r="AK1064" s="476"/>
      <c r="AL1064" s="476"/>
      <c r="AM1064" s="476"/>
      <c r="AN1064" s="476"/>
      <c r="AO1064" s="476"/>
      <c r="AP1064" s="476"/>
      <c r="AQ1064" s="476"/>
      <c r="AR1064" s="476"/>
      <c r="AS1064" s="476"/>
      <c r="AT1064" s="476"/>
      <c r="AU1064" s="476"/>
    </row>
    <row r="1065" spans="1:47" s="398" customFormat="1" ht="13.15" customHeight="1" x14ac:dyDescent="0.2">
      <c r="A1065" s="476"/>
      <c r="D1065" s="467"/>
      <c r="F1065" s="468"/>
      <c r="G1065" s="468"/>
      <c r="H1065" s="468"/>
      <c r="I1065" s="468"/>
      <c r="J1065" s="469"/>
      <c r="L1065" s="476"/>
      <c r="M1065" s="476"/>
      <c r="N1065" s="476"/>
      <c r="O1065" s="476"/>
      <c r="P1065" s="476"/>
      <c r="Q1065" s="476"/>
      <c r="R1065" s="476"/>
      <c r="S1065" s="476"/>
      <c r="T1065" s="476"/>
      <c r="U1065" s="476"/>
      <c r="V1065" s="476"/>
      <c r="W1065" s="476"/>
      <c r="X1065" s="476"/>
      <c r="Y1065" s="476"/>
      <c r="Z1065" s="476"/>
      <c r="AA1065" s="476"/>
      <c r="AB1065" s="476"/>
      <c r="AC1065" s="476"/>
      <c r="AD1065" s="476"/>
      <c r="AE1065" s="476"/>
      <c r="AF1065" s="476"/>
      <c r="AG1065" s="476"/>
      <c r="AH1065" s="476"/>
      <c r="AI1065" s="476"/>
      <c r="AJ1065" s="476"/>
      <c r="AK1065" s="476"/>
      <c r="AL1065" s="476"/>
      <c r="AM1065" s="476"/>
      <c r="AN1065" s="476"/>
      <c r="AO1065" s="476"/>
      <c r="AP1065" s="476"/>
      <c r="AQ1065" s="476"/>
      <c r="AR1065" s="476"/>
      <c r="AS1065" s="476"/>
      <c r="AT1065" s="476"/>
      <c r="AU1065" s="476"/>
    </row>
    <row r="1066" spans="1:47" s="398" customFormat="1" ht="13.15" customHeight="1" x14ac:dyDescent="0.2">
      <c r="A1066" s="476"/>
      <c r="D1066" s="467"/>
      <c r="F1066" s="468"/>
      <c r="G1066" s="468"/>
      <c r="H1066" s="468"/>
      <c r="I1066" s="468"/>
      <c r="J1066" s="469"/>
      <c r="L1066" s="476"/>
      <c r="M1066" s="476"/>
      <c r="N1066" s="476"/>
      <c r="O1066" s="476"/>
      <c r="P1066" s="476"/>
      <c r="Q1066" s="476"/>
      <c r="R1066" s="476"/>
      <c r="S1066" s="476"/>
      <c r="T1066" s="476"/>
      <c r="U1066" s="476"/>
      <c r="V1066" s="476"/>
      <c r="W1066" s="476"/>
      <c r="X1066" s="476"/>
      <c r="Y1066" s="476"/>
      <c r="Z1066" s="476"/>
      <c r="AA1066" s="476"/>
      <c r="AB1066" s="476"/>
      <c r="AC1066" s="476"/>
      <c r="AD1066" s="476"/>
      <c r="AE1066" s="476"/>
      <c r="AF1066" s="476"/>
      <c r="AG1066" s="476"/>
      <c r="AH1066" s="476"/>
      <c r="AI1066" s="476"/>
      <c r="AJ1066" s="476"/>
      <c r="AK1066" s="476"/>
      <c r="AL1066" s="476"/>
      <c r="AM1066" s="476"/>
      <c r="AN1066" s="476"/>
      <c r="AO1066" s="476"/>
      <c r="AP1066" s="476"/>
      <c r="AQ1066" s="476"/>
      <c r="AR1066" s="476"/>
      <c r="AS1066" s="476"/>
      <c r="AT1066" s="476"/>
      <c r="AU1066" s="476"/>
    </row>
    <row r="1067" spans="1:47" s="398" customFormat="1" ht="13.15" customHeight="1" x14ac:dyDescent="0.2">
      <c r="A1067" s="476"/>
      <c r="D1067" s="467"/>
      <c r="F1067" s="468"/>
      <c r="G1067" s="468"/>
      <c r="H1067" s="468"/>
      <c r="I1067" s="468"/>
      <c r="J1067" s="469"/>
      <c r="L1067" s="476"/>
      <c r="M1067" s="476"/>
      <c r="N1067" s="476"/>
      <c r="O1067" s="476"/>
      <c r="P1067" s="476"/>
      <c r="Q1067" s="476"/>
      <c r="R1067" s="476"/>
      <c r="S1067" s="476"/>
      <c r="T1067" s="476"/>
      <c r="U1067" s="476"/>
      <c r="V1067" s="476"/>
      <c r="W1067" s="476"/>
      <c r="X1067" s="476"/>
      <c r="Y1067" s="476"/>
      <c r="Z1067" s="476"/>
      <c r="AA1067" s="476"/>
      <c r="AB1067" s="476"/>
      <c r="AC1067" s="476"/>
      <c r="AD1067" s="476"/>
      <c r="AE1067" s="476"/>
      <c r="AF1067" s="476"/>
      <c r="AG1067" s="476"/>
      <c r="AH1067" s="476"/>
      <c r="AI1067" s="476"/>
      <c r="AJ1067" s="476"/>
      <c r="AK1067" s="476"/>
      <c r="AL1067" s="476"/>
      <c r="AM1067" s="476"/>
      <c r="AN1067" s="476"/>
      <c r="AO1067" s="476"/>
      <c r="AP1067" s="476"/>
      <c r="AQ1067" s="476"/>
      <c r="AR1067" s="476"/>
      <c r="AS1067" s="476"/>
      <c r="AT1067" s="476"/>
      <c r="AU1067" s="476"/>
    </row>
    <row r="1068" spans="1:47" s="398" customFormat="1" ht="13.15" customHeight="1" x14ac:dyDescent="0.2">
      <c r="A1068" s="476"/>
      <c r="D1068" s="467"/>
      <c r="F1068" s="468"/>
      <c r="G1068" s="468"/>
      <c r="H1068" s="468"/>
      <c r="I1068" s="468"/>
      <c r="J1068" s="469"/>
      <c r="L1068" s="476"/>
      <c r="M1068" s="476"/>
      <c r="N1068" s="476"/>
      <c r="O1068" s="476"/>
      <c r="P1068" s="476"/>
      <c r="Q1068" s="476"/>
      <c r="R1068" s="476"/>
      <c r="S1068" s="476"/>
      <c r="T1068" s="476"/>
      <c r="U1068" s="476"/>
      <c r="V1068" s="476"/>
      <c r="W1068" s="476"/>
      <c r="X1068" s="476"/>
      <c r="Y1068" s="476"/>
      <c r="Z1068" s="476"/>
      <c r="AA1068" s="476"/>
      <c r="AB1068" s="476"/>
      <c r="AC1068" s="476"/>
      <c r="AD1068" s="476"/>
      <c r="AE1068" s="476"/>
      <c r="AF1068" s="476"/>
      <c r="AG1068" s="476"/>
      <c r="AH1068" s="476"/>
      <c r="AI1068" s="476"/>
      <c r="AJ1068" s="476"/>
      <c r="AK1068" s="476"/>
      <c r="AL1068" s="476"/>
      <c r="AM1068" s="476"/>
      <c r="AN1068" s="476"/>
      <c r="AO1068" s="476"/>
      <c r="AP1068" s="476"/>
      <c r="AQ1068" s="476"/>
      <c r="AR1068" s="476"/>
      <c r="AS1068" s="476"/>
      <c r="AT1068" s="476"/>
      <c r="AU1068" s="476"/>
    </row>
    <row r="1069" spans="1:47" s="398" customFormat="1" ht="13.15" customHeight="1" x14ac:dyDescent="0.2">
      <c r="A1069" s="476"/>
      <c r="D1069" s="467"/>
      <c r="F1069" s="468"/>
      <c r="G1069" s="468"/>
      <c r="H1069" s="468"/>
      <c r="I1069" s="468"/>
      <c r="J1069" s="469"/>
      <c r="L1069" s="476"/>
      <c r="M1069" s="476"/>
      <c r="N1069" s="476"/>
      <c r="O1069" s="476"/>
      <c r="P1069" s="476"/>
      <c r="Q1069" s="476"/>
      <c r="R1069" s="476"/>
      <c r="S1069" s="476"/>
      <c r="T1069" s="476"/>
      <c r="U1069" s="476"/>
      <c r="V1069" s="476"/>
      <c r="W1069" s="476"/>
      <c r="X1069" s="476"/>
      <c r="Y1069" s="476"/>
      <c r="Z1069" s="476"/>
      <c r="AA1069" s="476"/>
      <c r="AB1069" s="476"/>
      <c r="AC1069" s="476"/>
      <c r="AD1069" s="476"/>
      <c r="AE1069" s="476"/>
      <c r="AF1069" s="476"/>
      <c r="AG1069" s="476"/>
      <c r="AH1069" s="476"/>
      <c r="AI1069" s="476"/>
      <c r="AJ1069" s="476"/>
      <c r="AK1069" s="476"/>
      <c r="AL1069" s="476"/>
      <c r="AM1069" s="476"/>
      <c r="AN1069" s="476"/>
      <c r="AO1069" s="476"/>
      <c r="AP1069" s="476"/>
      <c r="AQ1069" s="476"/>
      <c r="AR1069" s="476"/>
      <c r="AS1069" s="476"/>
      <c r="AT1069" s="476"/>
      <c r="AU1069" s="476"/>
    </row>
    <row r="1070" spans="1:47" s="398" customFormat="1" ht="13.15" customHeight="1" x14ac:dyDescent="0.2">
      <c r="A1070" s="476"/>
      <c r="D1070" s="467"/>
      <c r="F1070" s="468"/>
      <c r="G1070" s="468"/>
      <c r="H1070" s="468"/>
      <c r="I1070" s="468"/>
      <c r="J1070" s="469"/>
      <c r="L1070" s="476"/>
      <c r="M1070" s="476"/>
      <c r="N1070" s="476"/>
      <c r="O1070" s="476"/>
      <c r="P1070" s="476"/>
      <c r="Q1070" s="476"/>
      <c r="R1070" s="476"/>
      <c r="S1070" s="476"/>
      <c r="T1070" s="476"/>
      <c r="U1070" s="476"/>
      <c r="V1070" s="476"/>
      <c r="W1070" s="476"/>
      <c r="X1070" s="476"/>
      <c r="Y1070" s="476"/>
      <c r="Z1070" s="476"/>
      <c r="AA1070" s="476"/>
      <c r="AB1070" s="476"/>
      <c r="AC1070" s="476"/>
      <c r="AD1070" s="476"/>
      <c r="AE1070" s="476"/>
      <c r="AF1070" s="476"/>
      <c r="AG1070" s="476"/>
      <c r="AH1070" s="476"/>
      <c r="AI1070" s="476"/>
      <c r="AJ1070" s="476"/>
      <c r="AK1070" s="476"/>
      <c r="AL1070" s="476"/>
      <c r="AM1070" s="476"/>
      <c r="AN1070" s="476"/>
      <c r="AO1070" s="476"/>
      <c r="AP1070" s="476"/>
      <c r="AQ1070" s="476"/>
      <c r="AR1070" s="476"/>
      <c r="AS1070" s="476"/>
      <c r="AT1070" s="476"/>
      <c r="AU1070" s="476"/>
    </row>
    <row r="1071" spans="1:47" s="398" customFormat="1" ht="13.15" customHeight="1" x14ac:dyDescent="0.2">
      <c r="A1071" s="476"/>
      <c r="D1071" s="467"/>
      <c r="F1071" s="468"/>
      <c r="G1071" s="468"/>
      <c r="H1071" s="468"/>
      <c r="I1071" s="468"/>
      <c r="J1071" s="469"/>
      <c r="L1071" s="476"/>
      <c r="M1071" s="476"/>
      <c r="N1071" s="476"/>
      <c r="O1071" s="476"/>
      <c r="P1071" s="476"/>
      <c r="Q1071" s="476"/>
      <c r="R1071" s="476"/>
      <c r="S1071" s="476"/>
      <c r="T1071" s="476"/>
      <c r="U1071" s="476"/>
      <c r="V1071" s="476"/>
      <c r="W1071" s="476"/>
      <c r="X1071" s="476"/>
      <c r="Y1071" s="476"/>
      <c r="Z1071" s="476"/>
      <c r="AA1071" s="476"/>
      <c r="AB1071" s="476"/>
      <c r="AC1071" s="476"/>
      <c r="AD1071" s="476"/>
      <c r="AE1071" s="476"/>
      <c r="AF1071" s="476"/>
      <c r="AG1071" s="476"/>
      <c r="AH1071" s="476"/>
      <c r="AI1071" s="476"/>
      <c r="AJ1071" s="476"/>
      <c r="AK1071" s="476"/>
      <c r="AL1071" s="476"/>
      <c r="AM1071" s="476"/>
      <c r="AN1071" s="476"/>
      <c r="AO1071" s="476"/>
      <c r="AP1071" s="476"/>
      <c r="AQ1071" s="476"/>
      <c r="AR1071" s="476"/>
      <c r="AS1071" s="476"/>
      <c r="AT1071" s="476"/>
      <c r="AU1071" s="476"/>
    </row>
    <row r="1072" spans="1:47" s="398" customFormat="1" ht="13.15" customHeight="1" x14ac:dyDescent="0.2">
      <c r="A1072" s="476"/>
      <c r="D1072" s="467"/>
      <c r="F1072" s="468"/>
      <c r="G1072" s="468"/>
      <c r="H1072" s="468"/>
      <c r="I1072" s="468"/>
      <c r="J1072" s="469"/>
      <c r="L1072" s="476"/>
      <c r="M1072" s="476"/>
      <c r="N1072" s="476"/>
      <c r="O1072" s="476"/>
      <c r="P1072" s="476"/>
      <c r="Q1072" s="476"/>
      <c r="R1072" s="476"/>
      <c r="S1072" s="476"/>
      <c r="T1072" s="476"/>
      <c r="U1072" s="476"/>
      <c r="V1072" s="476"/>
      <c r="W1072" s="476"/>
      <c r="X1072" s="476"/>
      <c r="Y1072" s="476"/>
      <c r="Z1072" s="476"/>
      <c r="AA1072" s="476"/>
      <c r="AB1072" s="476"/>
      <c r="AC1072" s="476"/>
      <c r="AD1072" s="476"/>
      <c r="AE1072" s="476"/>
      <c r="AF1072" s="476"/>
      <c r="AG1072" s="476"/>
      <c r="AH1072" s="476"/>
      <c r="AI1072" s="476"/>
      <c r="AJ1072" s="476"/>
      <c r="AK1072" s="476"/>
      <c r="AL1072" s="476"/>
      <c r="AM1072" s="476"/>
      <c r="AN1072" s="476"/>
      <c r="AO1072" s="476"/>
      <c r="AP1072" s="476"/>
      <c r="AQ1072" s="476"/>
      <c r="AR1072" s="476"/>
      <c r="AS1072" s="476"/>
      <c r="AT1072" s="476"/>
      <c r="AU1072" s="476"/>
    </row>
    <row r="1073" spans="1:47" s="398" customFormat="1" ht="13.15" customHeight="1" x14ac:dyDescent="0.2">
      <c r="A1073" s="476"/>
      <c r="D1073" s="467"/>
      <c r="F1073" s="468"/>
      <c r="G1073" s="468"/>
      <c r="H1073" s="468"/>
      <c r="I1073" s="468"/>
      <c r="J1073" s="469"/>
      <c r="L1073" s="476"/>
      <c r="M1073" s="476"/>
      <c r="N1073" s="476"/>
      <c r="O1073" s="476"/>
      <c r="P1073" s="476"/>
      <c r="Q1073" s="476"/>
      <c r="R1073" s="476"/>
      <c r="S1073" s="476"/>
      <c r="T1073" s="476"/>
      <c r="U1073" s="476"/>
      <c r="V1073" s="476"/>
      <c r="W1073" s="476"/>
      <c r="X1073" s="476"/>
      <c r="Y1073" s="476"/>
      <c r="Z1073" s="476"/>
      <c r="AA1073" s="476"/>
      <c r="AB1073" s="476"/>
      <c r="AC1073" s="476"/>
      <c r="AD1073" s="476"/>
      <c r="AE1073" s="476"/>
      <c r="AF1073" s="476"/>
      <c r="AG1073" s="476"/>
      <c r="AH1073" s="476"/>
      <c r="AI1073" s="476"/>
      <c r="AJ1073" s="476"/>
      <c r="AK1073" s="476"/>
      <c r="AL1073" s="476"/>
      <c r="AM1073" s="476"/>
      <c r="AN1073" s="476"/>
      <c r="AO1073" s="476"/>
      <c r="AP1073" s="476"/>
      <c r="AQ1073" s="476"/>
      <c r="AR1073" s="476"/>
      <c r="AS1073" s="476"/>
      <c r="AT1073" s="476"/>
      <c r="AU1073" s="476"/>
    </row>
    <row r="1074" spans="1:47" s="398" customFormat="1" ht="13.15" customHeight="1" x14ac:dyDescent="0.2">
      <c r="A1074" s="476"/>
      <c r="D1074" s="467"/>
      <c r="F1074" s="468"/>
      <c r="G1074" s="468"/>
      <c r="H1074" s="468"/>
      <c r="I1074" s="468"/>
      <c r="J1074" s="469"/>
      <c r="L1074" s="476"/>
      <c r="M1074" s="476"/>
      <c r="N1074" s="476"/>
      <c r="O1074" s="476"/>
      <c r="P1074" s="476"/>
      <c r="Q1074" s="476"/>
      <c r="R1074" s="476"/>
      <c r="S1074" s="476"/>
      <c r="T1074" s="476"/>
      <c r="U1074" s="476"/>
      <c r="V1074" s="476"/>
      <c r="W1074" s="476"/>
      <c r="X1074" s="476"/>
      <c r="Y1074" s="476"/>
      <c r="Z1074" s="476"/>
      <c r="AA1074" s="476"/>
      <c r="AB1074" s="476"/>
      <c r="AC1074" s="476"/>
      <c r="AD1074" s="476"/>
      <c r="AE1074" s="476"/>
      <c r="AF1074" s="476"/>
      <c r="AG1074" s="476"/>
      <c r="AH1074" s="476"/>
      <c r="AI1074" s="476"/>
      <c r="AJ1074" s="476"/>
      <c r="AK1074" s="476"/>
      <c r="AL1074" s="476"/>
      <c r="AM1074" s="476"/>
      <c r="AN1074" s="476"/>
      <c r="AO1074" s="476"/>
      <c r="AP1074" s="476"/>
      <c r="AQ1074" s="476"/>
      <c r="AR1074" s="476"/>
      <c r="AS1074" s="476"/>
      <c r="AT1074" s="476"/>
      <c r="AU1074" s="476"/>
    </row>
    <row r="1075" spans="1:47" s="398" customFormat="1" ht="13.15" customHeight="1" x14ac:dyDescent="0.2">
      <c r="A1075" s="476"/>
      <c r="D1075" s="467"/>
      <c r="F1075" s="468"/>
      <c r="G1075" s="468"/>
      <c r="H1075" s="468"/>
      <c r="I1075" s="468"/>
      <c r="J1075" s="469"/>
      <c r="L1075" s="476"/>
      <c r="M1075" s="476"/>
      <c r="N1075" s="476"/>
      <c r="O1075" s="476"/>
      <c r="P1075" s="476"/>
      <c r="Q1075" s="476"/>
      <c r="R1075" s="476"/>
      <c r="S1075" s="476"/>
      <c r="T1075" s="476"/>
      <c r="U1075" s="476"/>
      <c r="V1075" s="476"/>
      <c r="W1075" s="476"/>
      <c r="X1075" s="476"/>
      <c r="Y1075" s="476"/>
      <c r="Z1075" s="476"/>
      <c r="AA1075" s="476"/>
      <c r="AB1075" s="476"/>
      <c r="AC1075" s="476"/>
      <c r="AD1075" s="476"/>
      <c r="AE1075" s="476"/>
      <c r="AF1075" s="476"/>
      <c r="AG1075" s="476"/>
      <c r="AH1075" s="476"/>
      <c r="AI1075" s="476"/>
      <c r="AJ1075" s="476"/>
      <c r="AK1075" s="476"/>
      <c r="AL1075" s="476"/>
      <c r="AM1075" s="476"/>
      <c r="AN1075" s="476"/>
      <c r="AO1075" s="476"/>
      <c r="AP1075" s="476"/>
      <c r="AQ1075" s="476"/>
      <c r="AR1075" s="476"/>
      <c r="AS1075" s="476"/>
      <c r="AT1075" s="476"/>
      <c r="AU1075" s="476"/>
    </row>
    <row r="1076" spans="1:47" s="398" customFormat="1" ht="13.15" customHeight="1" x14ac:dyDescent="0.2">
      <c r="A1076" s="476"/>
      <c r="D1076" s="467"/>
      <c r="F1076" s="468"/>
      <c r="G1076" s="468"/>
      <c r="H1076" s="468"/>
      <c r="I1076" s="468"/>
      <c r="J1076" s="469"/>
      <c r="L1076" s="476"/>
      <c r="M1076" s="476"/>
      <c r="N1076" s="476"/>
      <c r="O1076" s="476"/>
      <c r="P1076" s="476"/>
      <c r="Q1076" s="476"/>
      <c r="R1076" s="476"/>
      <c r="S1076" s="476"/>
      <c r="T1076" s="476"/>
      <c r="U1076" s="476"/>
      <c r="V1076" s="476"/>
      <c r="W1076" s="476"/>
      <c r="X1076" s="476"/>
      <c r="Y1076" s="476"/>
      <c r="Z1076" s="476"/>
      <c r="AA1076" s="476"/>
      <c r="AB1076" s="476"/>
      <c r="AC1076" s="476"/>
      <c r="AD1076" s="476"/>
      <c r="AE1076" s="476"/>
      <c r="AF1076" s="476"/>
      <c r="AG1076" s="476"/>
      <c r="AH1076" s="476"/>
      <c r="AI1076" s="476"/>
      <c r="AJ1076" s="476"/>
      <c r="AK1076" s="476"/>
      <c r="AL1076" s="476"/>
      <c r="AM1076" s="476"/>
      <c r="AN1076" s="476"/>
      <c r="AO1076" s="476"/>
      <c r="AP1076" s="476"/>
      <c r="AQ1076" s="476"/>
      <c r="AR1076" s="476"/>
      <c r="AS1076" s="476"/>
      <c r="AT1076" s="476"/>
      <c r="AU1076" s="476"/>
    </row>
    <row r="1077" spans="1:47" s="398" customFormat="1" ht="13.15" customHeight="1" x14ac:dyDescent="0.2">
      <c r="A1077" s="476"/>
      <c r="D1077" s="467"/>
      <c r="F1077" s="468"/>
      <c r="G1077" s="468"/>
      <c r="H1077" s="468"/>
      <c r="I1077" s="468"/>
      <c r="J1077" s="469"/>
      <c r="L1077" s="476"/>
      <c r="M1077" s="476"/>
      <c r="N1077" s="476"/>
      <c r="O1077" s="476"/>
      <c r="P1077" s="476"/>
      <c r="Q1077" s="476"/>
      <c r="R1077" s="476"/>
      <c r="S1077" s="476"/>
      <c r="T1077" s="476"/>
      <c r="U1077" s="476"/>
      <c r="V1077" s="476"/>
      <c r="W1077" s="476"/>
      <c r="X1077" s="476"/>
      <c r="Y1077" s="476"/>
      <c r="Z1077" s="476"/>
      <c r="AA1077" s="476"/>
      <c r="AB1077" s="476"/>
      <c r="AC1077" s="476"/>
      <c r="AD1077" s="476"/>
      <c r="AE1077" s="476"/>
      <c r="AF1077" s="476"/>
      <c r="AG1077" s="476"/>
      <c r="AH1077" s="476"/>
      <c r="AI1077" s="476"/>
      <c r="AJ1077" s="476"/>
      <c r="AK1077" s="476"/>
      <c r="AL1077" s="476"/>
      <c r="AM1077" s="476"/>
      <c r="AN1077" s="476"/>
      <c r="AO1077" s="476"/>
      <c r="AP1077" s="476"/>
      <c r="AQ1077" s="476"/>
      <c r="AR1077" s="476"/>
      <c r="AS1077" s="476"/>
      <c r="AT1077" s="476"/>
      <c r="AU1077" s="476"/>
    </row>
    <row r="1078" spans="1:47" s="398" customFormat="1" ht="13.15" customHeight="1" x14ac:dyDescent="0.2">
      <c r="A1078" s="476"/>
      <c r="D1078" s="467"/>
      <c r="F1078" s="468"/>
      <c r="G1078" s="468"/>
      <c r="H1078" s="468"/>
      <c r="I1078" s="468"/>
      <c r="J1078" s="469"/>
      <c r="L1078" s="476"/>
      <c r="M1078" s="476"/>
      <c r="N1078" s="476"/>
      <c r="O1078" s="476"/>
      <c r="P1078" s="476"/>
      <c r="Q1078" s="476"/>
      <c r="R1078" s="476"/>
      <c r="S1078" s="476"/>
      <c r="T1078" s="476"/>
      <c r="U1078" s="476"/>
      <c r="V1078" s="476"/>
      <c r="W1078" s="476"/>
      <c r="X1078" s="476"/>
      <c r="Y1078" s="476"/>
      <c r="Z1078" s="476"/>
      <c r="AA1078" s="476"/>
      <c r="AB1078" s="476"/>
      <c r="AC1078" s="476"/>
      <c r="AD1078" s="476"/>
      <c r="AE1078" s="476"/>
      <c r="AF1078" s="476"/>
      <c r="AG1078" s="476"/>
      <c r="AH1078" s="476"/>
      <c r="AI1078" s="476"/>
      <c r="AJ1078" s="476"/>
      <c r="AK1078" s="476"/>
      <c r="AL1078" s="476"/>
      <c r="AM1078" s="476"/>
      <c r="AN1078" s="476"/>
      <c r="AO1078" s="476"/>
      <c r="AP1078" s="476"/>
      <c r="AQ1078" s="476"/>
      <c r="AR1078" s="476"/>
      <c r="AS1078" s="476"/>
      <c r="AT1078" s="476"/>
      <c r="AU1078" s="476"/>
    </row>
    <row r="1079" spans="1:47" s="398" customFormat="1" ht="13.15" customHeight="1" x14ac:dyDescent="0.2">
      <c r="A1079" s="476"/>
      <c r="D1079" s="467"/>
      <c r="F1079" s="468"/>
      <c r="G1079" s="468"/>
      <c r="H1079" s="468"/>
      <c r="I1079" s="468"/>
      <c r="J1079" s="469"/>
      <c r="L1079" s="476"/>
      <c r="M1079" s="476"/>
      <c r="N1079" s="476"/>
      <c r="O1079" s="476"/>
      <c r="P1079" s="476"/>
      <c r="Q1079" s="476"/>
      <c r="R1079" s="476"/>
      <c r="S1079" s="476"/>
      <c r="T1079" s="476"/>
      <c r="U1079" s="476"/>
      <c r="V1079" s="476"/>
      <c r="W1079" s="476"/>
      <c r="X1079" s="476"/>
      <c r="Y1079" s="476"/>
      <c r="Z1079" s="476"/>
      <c r="AA1079" s="476"/>
      <c r="AB1079" s="476"/>
      <c r="AC1079" s="476"/>
      <c r="AD1079" s="476"/>
      <c r="AE1079" s="476"/>
      <c r="AF1079" s="476"/>
      <c r="AG1079" s="476"/>
      <c r="AH1079" s="476"/>
      <c r="AI1079" s="476"/>
      <c r="AJ1079" s="476"/>
      <c r="AK1079" s="476"/>
      <c r="AL1079" s="476"/>
      <c r="AM1079" s="476"/>
      <c r="AN1079" s="476"/>
      <c r="AO1079" s="476"/>
      <c r="AP1079" s="476"/>
      <c r="AQ1079" s="476"/>
      <c r="AR1079" s="476"/>
      <c r="AS1079" s="476"/>
      <c r="AT1079" s="476"/>
      <c r="AU1079" s="476"/>
    </row>
    <row r="1080" spans="1:47" s="398" customFormat="1" ht="13.15" customHeight="1" x14ac:dyDescent="0.2">
      <c r="A1080" s="476"/>
      <c r="D1080" s="467"/>
      <c r="F1080" s="468"/>
      <c r="G1080" s="468"/>
      <c r="H1080" s="468"/>
      <c r="I1080" s="468"/>
      <c r="J1080" s="469"/>
      <c r="L1080" s="476"/>
      <c r="M1080" s="476"/>
      <c r="N1080" s="476"/>
      <c r="O1080" s="476"/>
      <c r="P1080" s="476"/>
      <c r="Q1080" s="476"/>
      <c r="R1080" s="476"/>
      <c r="S1080" s="476"/>
      <c r="T1080" s="476"/>
      <c r="U1080" s="476"/>
      <c r="V1080" s="476"/>
      <c r="W1080" s="476"/>
      <c r="X1080" s="476"/>
      <c r="Y1080" s="476"/>
      <c r="Z1080" s="476"/>
      <c r="AA1080" s="476"/>
      <c r="AB1080" s="476"/>
      <c r="AC1080" s="476"/>
      <c r="AD1080" s="476"/>
      <c r="AE1080" s="476"/>
      <c r="AF1080" s="476"/>
      <c r="AG1080" s="476"/>
      <c r="AH1080" s="476"/>
      <c r="AI1080" s="476"/>
      <c r="AJ1080" s="476"/>
      <c r="AK1080" s="476"/>
      <c r="AL1080" s="476"/>
      <c r="AM1080" s="476"/>
      <c r="AN1080" s="476"/>
      <c r="AO1080" s="476"/>
      <c r="AP1080" s="476"/>
      <c r="AQ1080" s="476"/>
      <c r="AR1080" s="476"/>
      <c r="AS1080" s="476"/>
      <c r="AT1080" s="476"/>
      <c r="AU1080" s="476"/>
    </row>
    <row r="1081" spans="1:47" s="398" customFormat="1" ht="13.15" customHeight="1" x14ac:dyDescent="0.2">
      <c r="A1081" s="476"/>
      <c r="D1081" s="467"/>
      <c r="F1081" s="468"/>
      <c r="G1081" s="468"/>
      <c r="H1081" s="468"/>
      <c r="I1081" s="468"/>
      <c r="J1081" s="469"/>
      <c r="L1081" s="476"/>
      <c r="M1081" s="476"/>
      <c r="N1081" s="476"/>
      <c r="O1081" s="476"/>
      <c r="P1081" s="476"/>
      <c r="Q1081" s="476"/>
      <c r="R1081" s="476"/>
      <c r="S1081" s="476"/>
      <c r="T1081" s="476"/>
      <c r="U1081" s="476"/>
      <c r="V1081" s="476"/>
      <c r="W1081" s="476"/>
      <c r="X1081" s="476"/>
      <c r="Y1081" s="476"/>
      <c r="Z1081" s="476"/>
      <c r="AA1081" s="476"/>
      <c r="AB1081" s="476"/>
      <c r="AC1081" s="476"/>
      <c r="AD1081" s="476"/>
      <c r="AE1081" s="476"/>
      <c r="AF1081" s="476"/>
      <c r="AG1081" s="476"/>
      <c r="AH1081" s="476"/>
      <c r="AI1081" s="476"/>
      <c r="AJ1081" s="476"/>
      <c r="AK1081" s="476"/>
      <c r="AL1081" s="476"/>
      <c r="AM1081" s="476"/>
      <c r="AN1081" s="476"/>
      <c r="AO1081" s="476"/>
      <c r="AP1081" s="476"/>
      <c r="AQ1081" s="476"/>
      <c r="AR1081" s="476"/>
      <c r="AS1081" s="476"/>
      <c r="AT1081" s="476"/>
      <c r="AU1081" s="476"/>
    </row>
    <row r="1082" spans="1:47" s="398" customFormat="1" ht="13.15" customHeight="1" x14ac:dyDescent="0.2">
      <c r="A1082" s="476"/>
      <c r="D1082" s="467"/>
      <c r="F1082" s="468"/>
      <c r="G1082" s="468"/>
      <c r="H1082" s="468"/>
      <c r="I1082" s="468"/>
      <c r="J1082" s="469"/>
      <c r="L1082" s="476"/>
      <c r="M1082" s="476"/>
      <c r="N1082" s="476"/>
      <c r="O1082" s="476"/>
      <c r="P1082" s="476"/>
      <c r="Q1082" s="476"/>
      <c r="R1082" s="476"/>
      <c r="S1082" s="476"/>
      <c r="T1082" s="476"/>
      <c r="U1082" s="476"/>
      <c r="V1082" s="476"/>
      <c r="W1082" s="476"/>
      <c r="X1082" s="476"/>
      <c r="Y1082" s="476"/>
      <c r="Z1082" s="476"/>
      <c r="AA1082" s="476"/>
      <c r="AB1082" s="476"/>
      <c r="AC1082" s="476"/>
      <c r="AD1082" s="476"/>
      <c r="AE1082" s="476"/>
      <c r="AF1082" s="476"/>
      <c r="AG1082" s="476"/>
      <c r="AH1082" s="476"/>
      <c r="AI1082" s="476"/>
      <c r="AJ1082" s="476"/>
      <c r="AK1082" s="476"/>
      <c r="AL1082" s="476"/>
      <c r="AM1082" s="476"/>
      <c r="AN1082" s="476"/>
      <c r="AO1082" s="476"/>
      <c r="AP1082" s="476"/>
      <c r="AQ1082" s="476"/>
      <c r="AR1082" s="476"/>
      <c r="AS1082" s="476"/>
      <c r="AT1082" s="476"/>
      <c r="AU1082" s="476"/>
    </row>
    <row r="1083" spans="1:47" s="398" customFormat="1" ht="13.15" customHeight="1" x14ac:dyDescent="0.2">
      <c r="A1083" s="476"/>
      <c r="D1083" s="467"/>
      <c r="F1083" s="468"/>
      <c r="G1083" s="468"/>
      <c r="H1083" s="468"/>
      <c r="I1083" s="468"/>
      <c r="J1083" s="469"/>
      <c r="L1083" s="476"/>
      <c r="M1083" s="476"/>
      <c r="N1083" s="476"/>
      <c r="O1083" s="476"/>
      <c r="P1083" s="476"/>
      <c r="Q1083" s="476"/>
      <c r="R1083" s="476"/>
      <c r="S1083" s="476"/>
      <c r="T1083" s="476"/>
      <c r="U1083" s="476"/>
      <c r="V1083" s="476"/>
      <c r="W1083" s="476"/>
      <c r="X1083" s="476"/>
      <c r="Y1083" s="476"/>
      <c r="Z1083" s="476"/>
      <c r="AA1083" s="476"/>
      <c r="AB1083" s="476"/>
      <c r="AC1083" s="476"/>
      <c r="AD1083" s="476"/>
      <c r="AE1083" s="476"/>
      <c r="AF1083" s="476"/>
      <c r="AG1083" s="476"/>
      <c r="AH1083" s="476"/>
      <c r="AI1083" s="476"/>
      <c r="AJ1083" s="476"/>
      <c r="AK1083" s="476"/>
      <c r="AL1083" s="476"/>
      <c r="AM1083" s="476"/>
      <c r="AN1083" s="476"/>
      <c r="AO1083" s="476"/>
      <c r="AP1083" s="476"/>
      <c r="AQ1083" s="476"/>
      <c r="AR1083" s="476"/>
      <c r="AS1083" s="476"/>
      <c r="AT1083" s="476"/>
      <c r="AU1083" s="476"/>
    </row>
    <row r="1084" spans="1:47" s="398" customFormat="1" ht="13.15" customHeight="1" x14ac:dyDescent="0.2">
      <c r="A1084" s="476"/>
      <c r="D1084" s="467"/>
      <c r="F1084" s="468"/>
      <c r="G1084" s="468"/>
      <c r="H1084" s="468"/>
      <c r="I1084" s="468"/>
      <c r="J1084" s="469"/>
      <c r="L1084" s="476"/>
      <c r="M1084" s="476"/>
      <c r="N1084" s="476"/>
      <c r="O1084" s="476"/>
      <c r="P1084" s="476"/>
      <c r="Q1084" s="476"/>
      <c r="R1084" s="476"/>
      <c r="S1084" s="476"/>
      <c r="T1084" s="476"/>
      <c r="U1084" s="476"/>
      <c r="V1084" s="476"/>
      <c r="W1084" s="476"/>
      <c r="X1084" s="476"/>
      <c r="Y1084" s="476"/>
      <c r="Z1084" s="476"/>
      <c r="AA1084" s="476"/>
      <c r="AB1084" s="476"/>
      <c r="AC1084" s="476"/>
      <c r="AD1084" s="476"/>
      <c r="AE1084" s="476"/>
      <c r="AF1084" s="476"/>
      <c r="AG1084" s="476"/>
      <c r="AH1084" s="476"/>
      <c r="AI1084" s="476"/>
      <c r="AJ1084" s="476"/>
      <c r="AK1084" s="476"/>
      <c r="AL1084" s="476"/>
      <c r="AM1084" s="476"/>
      <c r="AN1084" s="476"/>
      <c r="AO1084" s="476"/>
      <c r="AP1084" s="476"/>
      <c r="AQ1084" s="476"/>
      <c r="AR1084" s="476"/>
      <c r="AS1084" s="476"/>
      <c r="AT1084" s="476"/>
      <c r="AU1084" s="476"/>
    </row>
    <row r="1085" spans="1:47" s="398" customFormat="1" ht="13.15" customHeight="1" x14ac:dyDescent="0.2">
      <c r="A1085" s="476"/>
      <c r="D1085" s="467"/>
      <c r="F1085" s="468"/>
      <c r="G1085" s="468"/>
      <c r="H1085" s="468"/>
      <c r="I1085" s="468"/>
      <c r="J1085" s="469"/>
      <c r="L1085" s="476"/>
      <c r="M1085" s="476"/>
      <c r="N1085" s="476"/>
      <c r="O1085" s="476"/>
      <c r="P1085" s="476"/>
      <c r="Q1085" s="476"/>
      <c r="R1085" s="476"/>
      <c r="S1085" s="476"/>
      <c r="T1085" s="476"/>
      <c r="U1085" s="476"/>
      <c r="V1085" s="476"/>
      <c r="W1085" s="476"/>
      <c r="X1085" s="476"/>
      <c r="Y1085" s="476"/>
      <c r="Z1085" s="476"/>
      <c r="AA1085" s="476"/>
      <c r="AB1085" s="476"/>
      <c r="AC1085" s="476"/>
      <c r="AD1085" s="476"/>
      <c r="AE1085" s="476"/>
      <c r="AF1085" s="476"/>
      <c r="AG1085" s="476"/>
      <c r="AH1085" s="476"/>
      <c r="AI1085" s="476"/>
      <c r="AJ1085" s="476"/>
      <c r="AK1085" s="476"/>
      <c r="AL1085" s="476"/>
      <c r="AM1085" s="476"/>
      <c r="AN1085" s="476"/>
      <c r="AO1085" s="476"/>
      <c r="AP1085" s="476"/>
      <c r="AQ1085" s="476"/>
      <c r="AR1085" s="476"/>
      <c r="AS1085" s="476"/>
      <c r="AT1085" s="476"/>
      <c r="AU1085" s="476"/>
    </row>
    <row r="1086" spans="1:47" s="398" customFormat="1" ht="13.15" customHeight="1" x14ac:dyDescent="0.2">
      <c r="A1086" s="476"/>
      <c r="D1086" s="467"/>
      <c r="F1086" s="468"/>
      <c r="G1086" s="468"/>
      <c r="H1086" s="468"/>
      <c r="I1086" s="468"/>
      <c r="J1086" s="469"/>
      <c r="L1086" s="476"/>
      <c r="M1086" s="476"/>
      <c r="N1086" s="476"/>
      <c r="O1086" s="476"/>
      <c r="P1086" s="476"/>
      <c r="Q1086" s="476"/>
      <c r="R1086" s="476"/>
      <c r="S1086" s="476"/>
      <c r="T1086" s="476"/>
      <c r="U1086" s="476"/>
      <c r="V1086" s="476"/>
      <c r="W1086" s="476"/>
      <c r="X1086" s="476"/>
      <c r="Y1086" s="476"/>
      <c r="Z1086" s="476"/>
      <c r="AA1086" s="476"/>
      <c r="AB1086" s="476"/>
      <c r="AC1086" s="476"/>
      <c r="AD1086" s="476"/>
      <c r="AE1086" s="476"/>
      <c r="AF1086" s="476"/>
      <c r="AG1086" s="476"/>
      <c r="AH1086" s="476"/>
      <c r="AI1086" s="476"/>
      <c r="AJ1086" s="476"/>
      <c r="AK1086" s="476"/>
      <c r="AL1086" s="476"/>
      <c r="AM1086" s="476"/>
      <c r="AN1086" s="476"/>
      <c r="AO1086" s="476"/>
      <c r="AP1086" s="476"/>
      <c r="AQ1086" s="476"/>
      <c r="AR1086" s="476"/>
      <c r="AS1086" s="476"/>
      <c r="AT1086" s="476"/>
      <c r="AU1086" s="476"/>
    </row>
    <row r="1087" spans="1:47" s="398" customFormat="1" ht="13.15" customHeight="1" x14ac:dyDescent="0.2">
      <c r="A1087" s="476"/>
      <c r="D1087" s="467"/>
      <c r="F1087" s="468"/>
      <c r="G1087" s="468"/>
      <c r="H1087" s="468"/>
      <c r="I1087" s="468"/>
      <c r="J1087" s="469"/>
      <c r="L1087" s="476"/>
      <c r="M1087" s="476"/>
      <c r="N1087" s="476"/>
      <c r="O1087" s="476"/>
      <c r="P1087" s="476"/>
      <c r="Q1087" s="476"/>
      <c r="R1087" s="476"/>
      <c r="S1087" s="476"/>
      <c r="T1087" s="476"/>
      <c r="U1087" s="476"/>
      <c r="V1087" s="476"/>
      <c r="W1087" s="476"/>
      <c r="X1087" s="476"/>
      <c r="Y1087" s="476"/>
      <c r="Z1087" s="476"/>
      <c r="AA1087" s="476"/>
      <c r="AB1087" s="476"/>
      <c r="AC1087" s="476"/>
      <c r="AD1087" s="476"/>
      <c r="AE1087" s="476"/>
      <c r="AF1087" s="476"/>
      <c r="AG1087" s="476"/>
      <c r="AH1087" s="476"/>
      <c r="AI1087" s="476"/>
      <c r="AJ1087" s="476"/>
      <c r="AK1087" s="476"/>
      <c r="AL1087" s="476"/>
      <c r="AM1087" s="476"/>
      <c r="AN1087" s="476"/>
      <c r="AO1087" s="476"/>
      <c r="AP1087" s="476"/>
      <c r="AQ1087" s="476"/>
      <c r="AR1087" s="476"/>
      <c r="AS1087" s="476"/>
      <c r="AT1087" s="476"/>
      <c r="AU1087" s="476"/>
    </row>
    <row r="1088" spans="1:47" s="398" customFormat="1" ht="13.15" customHeight="1" x14ac:dyDescent="0.2">
      <c r="A1088" s="476"/>
      <c r="D1088" s="467"/>
      <c r="F1088" s="468"/>
      <c r="G1088" s="468"/>
      <c r="H1088" s="468"/>
      <c r="I1088" s="468"/>
      <c r="J1088" s="469"/>
      <c r="L1088" s="476"/>
      <c r="M1088" s="476"/>
      <c r="N1088" s="476"/>
      <c r="O1088" s="476"/>
      <c r="P1088" s="476"/>
      <c r="Q1088" s="476"/>
      <c r="R1088" s="476"/>
      <c r="S1088" s="476"/>
      <c r="T1088" s="476"/>
      <c r="U1088" s="476"/>
      <c r="V1088" s="476"/>
      <c r="W1088" s="476"/>
      <c r="X1088" s="476"/>
      <c r="Y1088" s="476"/>
      <c r="Z1088" s="476"/>
      <c r="AA1088" s="476"/>
      <c r="AB1088" s="476"/>
      <c r="AC1088" s="476"/>
      <c r="AD1088" s="476"/>
      <c r="AE1088" s="476"/>
      <c r="AF1088" s="476"/>
      <c r="AG1088" s="476"/>
      <c r="AH1088" s="476"/>
      <c r="AI1088" s="476"/>
      <c r="AJ1088" s="476"/>
      <c r="AK1088" s="476"/>
      <c r="AL1088" s="476"/>
      <c r="AM1088" s="476"/>
      <c r="AN1088" s="476"/>
      <c r="AO1088" s="476"/>
      <c r="AP1088" s="476"/>
      <c r="AQ1088" s="476"/>
      <c r="AR1088" s="476"/>
      <c r="AS1088" s="476"/>
      <c r="AT1088" s="476"/>
      <c r="AU1088" s="476"/>
    </row>
    <row r="1089" spans="1:47" s="398" customFormat="1" ht="13.15" customHeight="1" x14ac:dyDescent="0.2">
      <c r="A1089" s="476"/>
      <c r="D1089" s="467"/>
      <c r="F1089" s="468"/>
      <c r="G1089" s="468"/>
      <c r="H1089" s="468"/>
      <c r="I1089" s="468"/>
      <c r="J1089" s="469"/>
      <c r="L1089" s="476"/>
      <c r="M1089" s="476"/>
      <c r="N1089" s="476"/>
      <c r="O1089" s="476"/>
      <c r="P1089" s="476"/>
      <c r="Q1089" s="476"/>
      <c r="R1089" s="476"/>
      <c r="S1089" s="476"/>
      <c r="T1089" s="476"/>
      <c r="U1089" s="476"/>
      <c r="V1089" s="476"/>
      <c r="W1089" s="476"/>
      <c r="X1089" s="476"/>
      <c r="Y1089" s="476"/>
      <c r="Z1089" s="476"/>
      <c r="AA1089" s="476"/>
      <c r="AB1089" s="476"/>
      <c r="AC1089" s="476"/>
      <c r="AD1089" s="476"/>
      <c r="AE1089" s="476"/>
      <c r="AF1089" s="476"/>
      <c r="AG1089" s="476"/>
      <c r="AH1089" s="476"/>
      <c r="AI1089" s="476"/>
      <c r="AJ1089" s="476"/>
      <c r="AK1089" s="476"/>
      <c r="AL1089" s="476"/>
      <c r="AM1089" s="476"/>
      <c r="AN1089" s="476"/>
      <c r="AO1089" s="476"/>
      <c r="AP1089" s="476"/>
      <c r="AQ1089" s="476"/>
      <c r="AR1089" s="476"/>
      <c r="AS1089" s="476"/>
      <c r="AT1089" s="476"/>
      <c r="AU1089" s="476"/>
    </row>
    <row r="1090" spans="1:47" s="398" customFormat="1" ht="13.15" customHeight="1" x14ac:dyDescent="0.2">
      <c r="A1090" s="476"/>
      <c r="D1090" s="467"/>
      <c r="F1090" s="468"/>
      <c r="G1090" s="468"/>
      <c r="H1090" s="468"/>
      <c r="I1090" s="468"/>
      <c r="J1090" s="469"/>
      <c r="L1090" s="476"/>
      <c r="M1090" s="476"/>
      <c r="N1090" s="476"/>
      <c r="O1090" s="476"/>
      <c r="P1090" s="476"/>
      <c r="Q1090" s="476"/>
      <c r="R1090" s="476"/>
      <c r="S1090" s="476"/>
      <c r="T1090" s="476"/>
      <c r="U1090" s="476"/>
      <c r="V1090" s="476"/>
      <c r="W1090" s="476"/>
      <c r="X1090" s="476"/>
      <c r="Y1090" s="476"/>
      <c r="Z1090" s="476"/>
      <c r="AA1090" s="476"/>
      <c r="AB1090" s="476"/>
      <c r="AC1090" s="476"/>
      <c r="AD1090" s="476"/>
      <c r="AE1090" s="476"/>
      <c r="AF1090" s="476"/>
      <c r="AG1090" s="476"/>
      <c r="AH1090" s="476"/>
      <c r="AI1090" s="476"/>
      <c r="AJ1090" s="476"/>
      <c r="AK1090" s="476"/>
      <c r="AL1090" s="476"/>
      <c r="AM1090" s="476"/>
      <c r="AN1090" s="476"/>
      <c r="AO1090" s="476"/>
      <c r="AP1090" s="476"/>
      <c r="AQ1090" s="476"/>
      <c r="AR1090" s="476"/>
      <c r="AS1090" s="476"/>
      <c r="AT1090" s="476"/>
      <c r="AU1090" s="476"/>
    </row>
    <row r="1091" spans="1:47" s="398" customFormat="1" ht="13.15" customHeight="1" x14ac:dyDescent="0.2">
      <c r="A1091" s="476"/>
      <c r="D1091" s="467"/>
      <c r="F1091" s="468"/>
      <c r="G1091" s="468"/>
      <c r="H1091" s="468"/>
      <c r="I1091" s="468"/>
      <c r="J1091" s="469"/>
      <c r="L1091" s="476"/>
      <c r="M1091" s="476"/>
      <c r="N1091" s="476"/>
      <c r="O1091" s="476"/>
      <c r="P1091" s="476"/>
      <c r="Q1091" s="476"/>
      <c r="R1091" s="476"/>
      <c r="S1091" s="476"/>
      <c r="T1091" s="476"/>
      <c r="U1091" s="476"/>
      <c r="V1091" s="476"/>
      <c r="W1091" s="476"/>
      <c r="X1091" s="476"/>
      <c r="Y1091" s="476"/>
      <c r="Z1091" s="476"/>
      <c r="AA1091" s="476"/>
      <c r="AB1091" s="476"/>
      <c r="AC1091" s="476"/>
      <c r="AD1091" s="476"/>
      <c r="AE1091" s="476"/>
      <c r="AF1091" s="476"/>
      <c r="AG1091" s="476"/>
      <c r="AH1091" s="476"/>
      <c r="AI1091" s="476"/>
      <c r="AJ1091" s="476"/>
      <c r="AK1091" s="476"/>
      <c r="AL1091" s="476"/>
      <c r="AM1091" s="476"/>
      <c r="AN1091" s="476"/>
      <c r="AO1091" s="476"/>
      <c r="AP1091" s="476"/>
      <c r="AQ1091" s="476"/>
      <c r="AR1091" s="476"/>
      <c r="AS1091" s="476"/>
      <c r="AT1091" s="476"/>
      <c r="AU1091" s="476"/>
    </row>
    <row r="1092" spans="1:47" s="398" customFormat="1" ht="13.15" customHeight="1" x14ac:dyDescent="0.2">
      <c r="A1092" s="476"/>
      <c r="D1092" s="467"/>
      <c r="F1092" s="468"/>
      <c r="G1092" s="468"/>
      <c r="H1092" s="468"/>
      <c r="I1092" s="468"/>
      <c r="J1092" s="469"/>
      <c r="L1092" s="476"/>
      <c r="M1092" s="476"/>
      <c r="N1092" s="476"/>
      <c r="O1092" s="476"/>
      <c r="P1092" s="476"/>
      <c r="Q1092" s="476"/>
      <c r="R1092" s="476"/>
      <c r="S1092" s="476"/>
      <c r="T1092" s="476"/>
      <c r="U1092" s="476"/>
      <c r="V1092" s="476"/>
      <c r="W1092" s="476"/>
      <c r="X1092" s="476"/>
      <c r="Y1092" s="476"/>
      <c r="Z1092" s="476"/>
      <c r="AA1092" s="476"/>
      <c r="AB1092" s="476"/>
      <c r="AC1092" s="476"/>
      <c r="AD1092" s="476"/>
      <c r="AE1092" s="476"/>
      <c r="AF1092" s="476"/>
      <c r="AG1092" s="476"/>
      <c r="AH1092" s="476"/>
      <c r="AI1092" s="476"/>
      <c r="AJ1092" s="476"/>
      <c r="AK1092" s="476"/>
      <c r="AL1092" s="476"/>
      <c r="AM1092" s="476"/>
      <c r="AN1092" s="476"/>
      <c r="AO1092" s="476"/>
      <c r="AP1092" s="476"/>
      <c r="AQ1092" s="476"/>
      <c r="AR1092" s="476"/>
      <c r="AS1092" s="476"/>
      <c r="AT1092" s="476"/>
      <c r="AU1092" s="476"/>
    </row>
    <row r="1093" spans="1:47" s="398" customFormat="1" ht="13.15" customHeight="1" x14ac:dyDescent="0.2">
      <c r="A1093" s="476"/>
      <c r="D1093" s="467"/>
      <c r="F1093" s="468"/>
      <c r="G1093" s="468"/>
      <c r="H1093" s="468"/>
      <c r="I1093" s="468"/>
      <c r="J1093" s="469"/>
      <c r="L1093" s="476"/>
      <c r="M1093" s="476"/>
      <c r="N1093" s="476"/>
      <c r="O1093" s="476"/>
      <c r="P1093" s="476"/>
      <c r="Q1093" s="476"/>
      <c r="R1093" s="476"/>
      <c r="S1093" s="476"/>
      <c r="T1093" s="476"/>
      <c r="U1093" s="476"/>
      <c r="V1093" s="476"/>
      <c r="W1093" s="476"/>
      <c r="X1093" s="476"/>
      <c r="Y1093" s="476"/>
      <c r="Z1093" s="476"/>
      <c r="AA1093" s="476"/>
      <c r="AB1093" s="476"/>
      <c r="AC1093" s="476"/>
      <c r="AD1093" s="476"/>
      <c r="AE1093" s="476"/>
      <c r="AF1093" s="476"/>
      <c r="AG1093" s="476"/>
      <c r="AH1093" s="476"/>
      <c r="AI1093" s="476"/>
      <c r="AJ1093" s="476"/>
      <c r="AK1093" s="476"/>
      <c r="AL1093" s="476"/>
      <c r="AM1093" s="476"/>
      <c r="AN1093" s="476"/>
      <c r="AO1093" s="476"/>
      <c r="AP1093" s="476"/>
      <c r="AQ1093" s="476"/>
      <c r="AR1093" s="476"/>
      <c r="AS1093" s="476"/>
      <c r="AT1093" s="476"/>
      <c r="AU1093" s="476"/>
    </row>
    <row r="1094" spans="1:47" s="398" customFormat="1" ht="13.15" customHeight="1" x14ac:dyDescent="0.2">
      <c r="A1094" s="476"/>
      <c r="D1094" s="467"/>
      <c r="F1094" s="468"/>
      <c r="G1094" s="468"/>
      <c r="H1094" s="468"/>
      <c r="I1094" s="468"/>
      <c r="J1094" s="469"/>
      <c r="L1094" s="476"/>
      <c r="M1094" s="476"/>
      <c r="N1094" s="476"/>
      <c r="O1094" s="476"/>
      <c r="P1094" s="476"/>
      <c r="Q1094" s="476"/>
      <c r="R1094" s="476"/>
      <c r="S1094" s="476"/>
      <c r="T1094" s="476"/>
      <c r="U1094" s="476"/>
      <c r="V1094" s="476"/>
      <c r="W1094" s="476"/>
      <c r="X1094" s="476"/>
      <c r="Y1094" s="476"/>
      <c r="Z1094" s="476"/>
      <c r="AA1094" s="476"/>
      <c r="AB1094" s="476"/>
      <c r="AC1094" s="476"/>
      <c r="AD1094" s="476"/>
      <c r="AE1094" s="476"/>
      <c r="AF1094" s="476"/>
      <c r="AG1094" s="476"/>
      <c r="AH1094" s="476"/>
      <c r="AI1094" s="476"/>
      <c r="AJ1094" s="476"/>
      <c r="AK1094" s="476"/>
      <c r="AL1094" s="476"/>
      <c r="AM1094" s="476"/>
      <c r="AN1094" s="476"/>
      <c r="AO1094" s="476"/>
      <c r="AP1094" s="476"/>
      <c r="AQ1094" s="476"/>
      <c r="AR1094" s="476"/>
      <c r="AS1094" s="476"/>
      <c r="AT1094" s="476"/>
      <c r="AU1094" s="476"/>
    </row>
    <row r="1095" spans="1:47" s="398" customFormat="1" ht="13.15" customHeight="1" x14ac:dyDescent="0.2">
      <c r="A1095" s="476"/>
      <c r="D1095" s="467"/>
      <c r="F1095" s="468"/>
      <c r="G1095" s="468"/>
      <c r="H1095" s="468"/>
      <c r="I1095" s="468"/>
      <c r="J1095" s="469"/>
      <c r="L1095" s="476"/>
      <c r="M1095" s="476"/>
      <c r="N1095" s="476"/>
      <c r="O1095" s="476"/>
      <c r="P1095" s="476"/>
      <c r="Q1095" s="476"/>
      <c r="R1095" s="476"/>
      <c r="S1095" s="476"/>
      <c r="T1095" s="476"/>
      <c r="U1095" s="476"/>
      <c r="V1095" s="476"/>
      <c r="W1095" s="476"/>
      <c r="X1095" s="476"/>
      <c r="Y1095" s="476"/>
      <c r="Z1095" s="476"/>
      <c r="AA1095" s="476"/>
      <c r="AB1095" s="476"/>
      <c r="AC1095" s="476"/>
      <c r="AD1095" s="476"/>
      <c r="AE1095" s="476"/>
      <c r="AF1095" s="476"/>
      <c r="AG1095" s="476"/>
      <c r="AH1095" s="476"/>
      <c r="AI1095" s="476"/>
      <c r="AJ1095" s="476"/>
      <c r="AK1095" s="476"/>
      <c r="AL1095" s="476"/>
      <c r="AM1095" s="476"/>
      <c r="AN1095" s="476"/>
      <c r="AO1095" s="476"/>
      <c r="AP1095" s="476"/>
      <c r="AQ1095" s="476"/>
      <c r="AR1095" s="476"/>
      <c r="AS1095" s="476"/>
      <c r="AT1095" s="476"/>
      <c r="AU1095" s="476"/>
    </row>
    <row r="1096" spans="1:47" s="398" customFormat="1" ht="13.15" customHeight="1" x14ac:dyDescent="0.2">
      <c r="A1096" s="476"/>
      <c r="D1096" s="467"/>
      <c r="F1096" s="468"/>
      <c r="G1096" s="468"/>
      <c r="H1096" s="468"/>
      <c r="I1096" s="468"/>
      <c r="J1096" s="469"/>
      <c r="L1096" s="476"/>
      <c r="M1096" s="476"/>
      <c r="N1096" s="476"/>
      <c r="O1096" s="476"/>
      <c r="P1096" s="476"/>
      <c r="Q1096" s="476"/>
      <c r="R1096" s="476"/>
      <c r="S1096" s="476"/>
      <c r="T1096" s="476"/>
      <c r="U1096" s="476"/>
      <c r="V1096" s="476"/>
      <c r="W1096" s="476"/>
      <c r="X1096" s="476"/>
      <c r="Y1096" s="476"/>
      <c r="Z1096" s="476"/>
      <c r="AA1096" s="476"/>
      <c r="AB1096" s="476"/>
      <c r="AC1096" s="476"/>
      <c r="AD1096" s="476"/>
      <c r="AE1096" s="476"/>
      <c r="AF1096" s="476"/>
      <c r="AG1096" s="476"/>
      <c r="AH1096" s="476"/>
      <c r="AI1096" s="476"/>
      <c r="AJ1096" s="476"/>
      <c r="AK1096" s="476"/>
      <c r="AL1096" s="476"/>
      <c r="AM1096" s="476"/>
      <c r="AN1096" s="476"/>
      <c r="AO1096" s="476"/>
      <c r="AP1096" s="476"/>
      <c r="AQ1096" s="476"/>
      <c r="AR1096" s="476"/>
      <c r="AS1096" s="476"/>
      <c r="AT1096" s="476"/>
      <c r="AU1096" s="476"/>
    </row>
    <row r="1097" spans="1:47" s="398" customFormat="1" ht="13.15" customHeight="1" x14ac:dyDescent="0.2">
      <c r="A1097" s="476"/>
      <c r="D1097" s="467"/>
      <c r="F1097" s="468"/>
      <c r="G1097" s="468"/>
      <c r="H1097" s="468"/>
      <c r="I1097" s="468"/>
      <c r="J1097" s="469"/>
      <c r="L1097" s="476"/>
      <c r="M1097" s="476"/>
      <c r="N1097" s="476"/>
      <c r="O1097" s="476"/>
      <c r="P1097" s="476"/>
      <c r="Q1097" s="476"/>
      <c r="R1097" s="476"/>
      <c r="S1097" s="476"/>
      <c r="T1097" s="476"/>
      <c r="U1097" s="476"/>
      <c r="V1097" s="476"/>
      <c r="W1097" s="476"/>
      <c r="X1097" s="476"/>
      <c r="Y1097" s="476"/>
      <c r="Z1097" s="476"/>
      <c r="AA1097" s="476"/>
      <c r="AB1097" s="476"/>
      <c r="AC1097" s="476"/>
      <c r="AD1097" s="476"/>
      <c r="AE1097" s="476"/>
      <c r="AF1097" s="476"/>
      <c r="AG1097" s="476"/>
      <c r="AH1097" s="476"/>
      <c r="AI1097" s="476"/>
      <c r="AJ1097" s="476"/>
      <c r="AK1097" s="476"/>
      <c r="AL1097" s="476"/>
      <c r="AM1097" s="476"/>
      <c r="AN1097" s="476"/>
      <c r="AO1097" s="476"/>
      <c r="AP1097" s="476"/>
      <c r="AQ1097" s="476"/>
      <c r="AR1097" s="476"/>
      <c r="AS1097" s="476"/>
      <c r="AT1097" s="476"/>
      <c r="AU1097" s="476"/>
    </row>
    <row r="1098" spans="1:47" s="398" customFormat="1" ht="13.15" customHeight="1" x14ac:dyDescent="0.2">
      <c r="A1098" s="476"/>
      <c r="D1098" s="467"/>
      <c r="F1098" s="468"/>
      <c r="G1098" s="468"/>
      <c r="H1098" s="468"/>
      <c r="I1098" s="468"/>
      <c r="J1098" s="469"/>
      <c r="L1098" s="476"/>
      <c r="M1098" s="476"/>
      <c r="N1098" s="476"/>
      <c r="O1098" s="476"/>
      <c r="P1098" s="476"/>
      <c r="Q1098" s="476"/>
      <c r="R1098" s="476"/>
      <c r="S1098" s="476"/>
      <c r="T1098" s="476"/>
      <c r="U1098" s="476"/>
      <c r="V1098" s="476"/>
      <c r="W1098" s="476"/>
      <c r="X1098" s="476"/>
      <c r="Y1098" s="476"/>
      <c r="Z1098" s="476"/>
      <c r="AA1098" s="476"/>
      <c r="AB1098" s="476"/>
      <c r="AC1098" s="476"/>
      <c r="AD1098" s="476"/>
      <c r="AE1098" s="476"/>
      <c r="AF1098" s="476"/>
      <c r="AG1098" s="476"/>
      <c r="AH1098" s="476"/>
      <c r="AI1098" s="476"/>
      <c r="AJ1098" s="476"/>
      <c r="AK1098" s="476"/>
      <c r="AL1098" s="476"/>
      <c r="AM1098" s="476"/>
      <c r="AN1098" s="476"/>
      <c r="AO1098" s="476"/>
      <c r="AP1098" s="476"/>
      <c r="AQ1098" s="476"/>
      <c r="AR1098" s="476"/>
      <c r="AS1098" s="476"/>
      <c r="AT1098" s="476"/>
      <c r="AU1098" s="476"/>
    </row>
    <row r="1099" spans="1:47" s="398" customFormat="1" ht="13.15" customHeight="1" x14ac:dyDescent="0.2">
      <c r="A1099" s="476"/>
      <c r="D1099" s="467"/>
      <c r="F1099" s="468"/>
      <c r="G1099" s="468"/>
      <c r="H1099" s="468"/>
      <c r="I1099" s="468"/>
      <c r="J1099" s="469"/>
      <c r="L1099" s="476"/>
      <c r="M1099" s="476"/>
      <c r="N1099" s="476"/>
      <c r="O1099" s="476"/>
      <c r="P1099" s="476"/>
      <c r="Q1099" s="476"/>
      <c r="R1099" s="476"/>
      <c r="S1099" s="476"/>
      <c r="T1099" s="476"/>
      <c r="U1099" s="476"/>
      <c r="V1099" s="476"/>
      <c r="W1099" s="476"/>
      <c r="X1099" s="476"/>
      <c r="Y1099" s="476"/>
      <c r="Z1099" s="476"/>
      <c r="AA1099" s="476"/>
      <c r="AB1099" s="476"/>
      <c r="AC1099" s="476"/>
      <c r="AD1099" s="476"/>
      <c r="AE1099" s="476"/>
      <c r="AF1099" s="476"/>
      <c r="AG1099" s="476"/>
      <c r="AH1099" s="476"/>
      <c r="AI1099" s="476"/>
      <c r="AJ1099" s="476"/>
      <c r="AK1099" s="476"/>
      <c r="AL1099" s="476"/>
      <c r="AM1099" s="476"/>
      <c r="AN1099" s="476"/>
      <c r="AO1099" s="476"/>
      <c r="AP1099" s="476"/>
      <c r="AQ1099" s="476"/>
      <c r="AR1099" s="476"/>
      <c r="AS1099" s="476"/>
      <c r="AT1099" s="476"/>
      <c r="AU1099" s="476"/>
    </row>
    <row r="1100" spans="1:47" s="398" customFormat="1" ht="13.15" customHeight="1" x14ac:dyDescent="0.2">
      <c r="A1100" s="476"/>
      <c r="D1100" s="467"/>
      <c r="F1100" s="468"/>
      <c r="G1100" s="468"/>
      <c r="H1100" s="468"/>
      <c r="I1100" s="468"/>
      <c r="J1100" s="469"/>
      <c r="L1100" s="476"/>
      <c r="M1100" s="476"/>
      <c r="N1100" s="476"/>
      <c r="O1100" s="476"/>
      <c r="P1100" s="476"/>
      <c r="Q1100" s="476"/>
      <c r="R1100" s="476"/>
      <c r="S1100" s="476"/>
      <c r="T1100" s="476"/>
      <c r="U1100" s="476"/>
      <c r="V1100" s="476"/>
      <c r="W1100" s="476"/>
      <c r="X1100" s="476"/>
      <c r="Y1100" s="476"/>
      <c r="Z1100" s="476"/>
      <c r="AA1100" s="476"/>
      <c r="AB1100" s="476"/>
      <c r="AC1100" s="476"/>
      <c r="AD1100" s="476"/>
      <c r="AE1100" s="476"/>
      <c r="AF1100" s="476"/>
      <c r="AG1100" s="476"/>
      <c r="AH1100" s="476"/>
      <c r="AI1100" s="476"/>
      <c r="AJ1100" s="476"/>
      <c r="AK1100" s="476"/>
      <c r="AL1100" s="476"/>
      <c r="AM1100" s="476"/>
      <c r="AN1100" s="476"/>
      <c r="AO1100" s="476"/>
      <c r="AP1100" s="476"/>
      <c r="AQ1100" s="476"/>
      <c r="AR1100" s="476"/>
      <c r="AS1100" s="476"/>
      <c r="AT1100" s="476"/>
      <c r="AU1100" s="476"/>
    </row>
    <row r="1101" spans="1:47" s="398" customFormat="1" ht="13.15" customHeight="1" x14ac:dyDescent="0.2">
      <c r="A1101" s="476"/>
      <c r="D1101" s="467"/>
      <c r="F1101" s="468"/>
      <c r="G1101" s="468"/>
      <c r="H1101" s="468"/>
      <c r="I1101" s="468"/>
      <c r="J1101" s="469"/>
      <c r="L1101" s="476"/>
      <c r="M1101" s="476"/>
      <c r="N1101" s="476"/>
      <c r="O1101" s="476"/>
      <c r="P1101" s="476"/>
      <c r="Q1101" s="476"/>
      <c r="R1101" s="476"/>
      <c r="S1101" s="476"/>
      <c r="T1101" s="476"/>
      <c r="U1101" s="476"/>
      <c r="V1101" s="476"/>
      <c r="W1101" s="476"/>
      <c r="X1101" s="476"/>
      <c r="Y1101" s="476"/>
      <c r="Z1101" s="476"/>
      <c r="AA1101" s="476"/>
      <c r="AB1101" s="476"/>
      <c r="AC1101" s="476"/>
      <c r="AD1101" s="476"/>
      <c r="AE1101" s="476"/>
      <c r="AF1101" s="476"/>
      <c r="AG1101" s="476"/>
      <c r="AH1101" s="476"/>
      <c r="AI1101" s="476"/>
      <c r="AJ1101" s="476"/>
      <c r="AK1101" s="476"/>
      <c r="AL1101" s="476"/>
      <c r="AM1101" s="476"/>
      <c r="AN1101" s="476"/>
      <c r="AO1101" s="476"/>
      <c r="AP1101" s="476"/>
      <c r="AQ1101" s="476"/>
      <c r="AR1101" s="476"/>
      <c r="AS1101" s="476"/>
      <c r="AT1101" s="476"/>
      <c r="AU1101" s="476"/>
    </row>
    <row r="1102" spans="1:47" s="398" customFormat="1" ht="13.15" customHeight="1" x14ac:dyDescent="0.2">
      <c r="A1102" s="476"/>
      <c r="D1102" s="467"/>
      <c r="F1102" s="468"/>
      <c r="G1102" s="468"/>
      <c r="H1102" s="468"/>
      <c r="I1102" s="468"/>
      <c r="J1102" s="469"/>
      <c r="L1102" s="476"/>
      <c r="M1102" s="476"/>
      <c r="N1102" s="476"/>
      <c r="O1102" s="476"/>
      <c r="P1102" s="476"/>
      <c r="Q1102" s="476"/>
      <c r="R1102" s="476"/>
      <c r="S1102" s="476"/>
      <c r="T1102" s="476"/>
      <c r="U1102" s="476"/>
      <c r="V1102" s="476"/>
      <c r="W1102" s="476"/>
      <c r="X1102" s="476"/>
      <c r="Y1102" s="476"/>
      <c r="Z1102" s="476"/>
      <c r="AA1102" s="476"/>
      <c r="AB1102" s="476"/>
      <c r="AC1102" s="476"/>
      <c r="AD1102" s="476"/>
      <c r="AE1102" s="476"/>
      <c r="AF1102" s="476"/>
      <c r="AG1102" s="476"/>
      <c r="AH1102" s="476"/>
      <c r="AI1102" s="476"/>
      <c r="AJ1102" s="476"/>
      <c r="AK1102" s="476"/>
      <c r="AL1102" s="476"/>
      <c r="AM1102" s="476"/>
      <c r="AN1102" s="476"/>
      <c r="AO1102" s="476"/>
      <c r="AP1102" s="476"/>
      <c r="AQ1102" s="476"/>
      <c r="AR1102" s="476"/>
      <c r="AS1102" s="476"/>
      <c r="AT1102" s="476"/>
      <c r="AU1102" s="476"/>
    </row>
    <row r="1103" spans="1:47" s="398" customFormat="1" ht="13.15" customHeight="1" x14ac:dyDescent="0.2">
      <c r="A1103" s="476"/>
      <c r="D1103" s="467"/>
      <c r="F1103" s="468"/>
      <c r="G1103" s="468"/>
      <c r="H1103" s="468"/>
      <c r="I1103" s="468"/>
      <c r="J1103" s="469"/>
      <c r="L1103" s="476"/>
      <c r="M1103" s="476"/>
      <c r="N1103" s="476"/>
      <c r="O1103" s="476"/>
      <c r="P1103" s="476"/>
      <c r="Q1103" s="476"/>
      <c r="R1103" s="476"/>
      <c r="S1103" s="476"/>
      <c r="T1103" s="476"/>
      <c r="U1103" s="476"/>
      <c r="V1103" s="476"/>
      <c r="W1103" s="476"/>
      <c r="X1103" s="476"/>
      <c r="Y1103" s="476"/>
      <c r="Z1103" s="476"/>
      <c r="AA1103" s="476"/>
      <c r="AB1103" s="476"/>
      <c r="AC1103" s="476"/>
      <c r="AD1103" s="476"/>
      <c r="AE1103" s="476"/>
      <c r="AF1103" s="476"/>
      <c r="AG1103" s="476"/>
      <c r="AH1103" s="476"/>
      <c r="AI1103" s="476"/>
      <c r="AJ1103" s="476"/>
      <c r="AK1103" s="476"/>
      <c r="AL1103" s="476"/>
      <c r="AM1103" s="476"/>
      <c r="AN1103" s="476"/>
      <c r="AO1103" s="476"/>
      <c r="AP1103" s="476"/>
      <c r="AQ1103" s="476"/>
      <c r="AR1103" s="476"/>
      <c r="AS1103" s="476"/>
      <c r="AT1103" s="476"/>
      <c r="AU1103" s="476"/>
    </row>
    <row r="1104" spans="1:47" s="398" customFormat="1" ht="13.15" customHeight="1" x14ac:dyDescent="0.2">
      <c r="A1104" s="476"/>
      <c r="D1104" s="467"/>
      <c r="F1104" s="468"/>
      <c r="G1104" s="468"/>
      <c r="H1104" s="468"/>
      <c r="I1104" s="468"/>
      <c r="J1104" s="469"/>
      <c r="L1104" s="476"/>
      <c r="M1104" s="476"/>
      <c r="N1104" s="476"/>
      <c r="O1104" s="476"/>
      <c r="P1104" s="476"/>
      <c r="Q1104" s="476"/>
      <c r="R1104" s="476"/>
      <c r="S1104" s="476"/>
      <c r="T1104" s="476"/>
      <c r="U1104" s="476"/>
      <c r="V1104" s="476"/>
      <c r="W1104" s="476"/>
      <c r="X1104" s="476"/>
      <c r="Y1104" s="476"/>
      <c r="Z1104" s="476"/>
      <c r="AA1104" s="476"/>
      <c r="AB1104" s="476"/>
      <c r="AC1104" s="476"/>
      <c r="AD1104" s="476"/>
      <c r="AE1104" s="476"/>
      <c r="AF1104" s="476"/>
      <c r="AG1104" s="476"/>
      <c r="AH1104" s="476"/>
      <c r="AI1104" s="476"/>
      <c r="AJ1104" s="476"/>
      <c r="AK1104" s="476"/>
      <c r="AL1104" s="476"/>
      <c r="AM1104" s="476"/>
      <c r="AN1104" s="476"/>
      <c r="AO1104" s="476"/>
      <c r="AP1104" s="476"/>
      <c r="AQ1104" s="476"/>
      <c r="AR1104" s="476"/>
      <c r="AS1104" s="476"/>
      <c r="AT1104" s="476"/>
      <c r="AU1104" s="476"/>
    </row>
    <row r="1105" spans="1:47" s="398" customFormat="1" ht="13.15" customHeight="1" x14ac:dyDescent="0.2">
      <c r="A1105" s="476"/>
      <c r="D1105" s="467"/>
      <c r="F1105" s="468"/>
      <c r="G1105" s="468"/>
      <c r="H1105" s="468"/>
      <c r="I1105" s="468"/>
      <c r="J1105" s="469"/>
      <c r="L1105" s="476"/>
      <c r="M1105" s="476"/>
      <c r="N1105" s="476"/>
      <c r="O1105" s="476"/>
      <c r="P1105" s="476"/>
      <c r="Q1105" s="476"/>
      <c r="R1105" s="476"/>
      <c r="S1105" s="476"/>
      <c r="T1105" s="476"/>
      <c r="U1105" s="476"/>
      <c r="V1105" s="476"/>
      <c r="W1105" s="476"/>
      <c r="X1105" s="476"/>
      <c r="Y1105" s="476"/>
      <c r="Z1105" s="476"/>
      <c r="AA1105" s="476"/>
      <c r="AB1105" s="476"/>
      <c r="AC1105" s="476"/>
      <c r="AD1105" s="476"/>
      <c r="AE1105" s="476"/>
      <c r="AF1105" s="476"/>
      <c r="AG1105" s="476"/>
      <c r="AH1105" s="476"/>
      <c r="AI1105" s="476"/>
      <c r="AJ1105" s="476"/>
      <c r="AK1105" s="476"/>
      <c r="AL1105" s="476"/>
      <c r="AM1105" s="476"/>
      <c r="AN1105" s="476"/>
      <c r="AO1105" s="476"/>
      <c r="AP1105" s="476"/>
      <c r="AQ1105" s="476"/>
      <c r="AR1105" s="476"/>
      <c r="AS1105" s="476"/>
      <c r="AT1105" s="476"/>
      <c r="AU1105" s="476"/>
    </row>
    <row r="1106" spans="1:47" s="398" customFormat="1" ht="13.15" customHeight="1" x14ac:dyDescent="0.2">
      <c r="A1106" s="476"/>
      <c r="D1106" s="467"/>
      <c r="F1106" s="468"/>
      <c r="G1106" s="468"/>
      <c r="H1106" s="468"/>
      <c r="I1106" s="468"/>
      <c r="J1106" s="469"/>
      <c r="L1106" s="476"/>
      <c r="M1106" s="476"/>
      <c r="N1106" s="476"/>
      <c r="O1106" s="476"/>
      <c r="P1106" s="476"/>
      <c r="Q1106" s="476"/>
      <c r="R1106" s="476"/>
      <c r="S1106" s="476"/>
      <c r="T1106" s="476"/>
      <c r="U1106" s="476"/>
      <c r="V1106" s="476"/>
      <c r="W1106" s="476"/>
      <c r="X1106" s="476"/>
      <c r="Y1106" s="476"/>
      <c r="Z1106" s="476"/>
      <c r="AA1106" s="476"/>
      <c r="AB1106" s="476"/>
      <c r="AC1106" s="476"/>
      <c r="AD1106" s="476"/>
      <c r="AE1106" s="476"/>
      <c r="AF1106" s="476"/>
      <c r="AG1106" s="476"/>
      <c r="AH1106" s="476"/>
      <c r="AI1106" s="476"/>
      <c r="AJ1106" s="476"/>
      <c r="AK1106" s="476"/>
      <c r="AL1106" s="476"/>
      <c r="AM1106" s="476"/>
      <c r="AN1106" s="476"/>
      <c r="AO1106" s="476"/>
      <c r="AP1106" s="476"/>
      <c r="AQ1106" s="476"/>
      <c r="AR1106" s="476"/>
      <c r="AS1106" s="476"/>
      <c r="AT1106" s="476"/>
      <c r="AU1106" s="476"/>
    </row>
    <row r="1107" spans="1:47" s="398" customFormat="1" ht="13.15" customHeight="1" x14ac:dyDescent="0.2">
      <c r="A1107" s="476"/>
      <c r="D1107" s="467"/>
      <c r="F1107" s="468"/>
      <c r="G1107" s="468"/>
      <c r="H1107" s="468"/>
      <c r="I1107" s="468"/>
      <c r="J1107" s="469"/>
      <c r="L1107" s="476"/>
      <c r="M1107" s="476"/>
      <c r="N1107" s="476"/>
      <c r="O1107" s="476"/>
      <c r="P1107" s="476"/>
      <c r="Q1107" s="476"/>
      <c r="R1107" s="476"/>
      <c r="S1107" s="476"/>
      <c r="T1107" s="476"/>
      <c r="U1107" s="476"/>
      <c r="V1107" s="476"/>
      <c r="W1107" s="476"/>
      <c r="X1107" s="476"/>
      <c r="Y1107" s="476"/>
      <c r="Z1107" s="476"/>
      <c r="AA1107" s="476"/>
      <c r="AB1107" s="476"/>
      <c r="AC1107" s="476"/>
      <c r="AD1107" s="476"/>
      <c r="AE1107" s="476"/>
      <c r="AF1107" s="476"/>
      <c r="AG1107" s="476"/>
      <c r="AH1107" s="476"/>
      <c r="AI1107" s="476"/>
      <c r="AJ1107" s="476"/>
      <c r="AK1107" s="476"/>
      <c r="AL1107" s="476"/>
      <c r="AM1107" s="476"/>
      <c r="AN1107" s="476"/>
      <c r="AO1107" s="476"/>
      <c r="AP1107" s="476"/>
      <c r="AQ1107" s="476"/>
      <c r="AR1107" s="476"/>
      <c r="AS1107" s="476"/>
      <c r="AT1107" s="476"/>
      <c r="AU1107" s="476"/>
    </row>
    <row r="1108" spans="1:47" s="398" customFormat="1" ht="13.15" customHeight="1" x14ac:dyDescent="0.2">
      <c r="A1108" s="476"/>
      <c r="D1108" s="467"/>
      <c r="F1108" s="468"/>
      <c r="G1108" s="468"/>
      <c r="H1108" s="468"/>
      <c r="I1108" s="468"/>
      <c r="J1108" s="469"/>
      <c r="L1108" s="476"/>
      <c r="M1108" s="476"/>
      <c r="N1108" s="476"/>
      <c r="O1108" s="476"/>
      <c r="P1108" s="476"/>
      <c r="Q1108" s="476"/>
      <c r="R1108" s="476"/>
      <c r="S1108" s="476"/>
      <c r="T1108" s="476"/>
      <c r="U1108" s="476"/>
      <c r="V1108" s="476"/>
      <c r="W1108" s="476"/>
      <c r="X1108" s="476"/>
      <c r="Y1108" s="476"/>
      <c r="Z1108" s="476"/>
      <c r="AA1108" s="476"/>
      <c r="AB1108" s="476"/>
      <c r="AC1108" s="476"/>
      <c r="AD1108" s="476"/>
      <c r="AE1108" s="476"/>
      <c r="AF1108" s="476"/>
      <c r="AG1108" s="476"/>
      <c r="AH1108" s="476"/>
      <c r="AI1108" s="476"/>
      <c r="AJ1108" s="476"/>
      <c r="AK1108" s="476"/>
      <c r="AL1108" s="476"/>
      <c r="AM1108" s="476"/>
      <c r="AN1108" s="476"/>
      <c r="AO1108" s="476"/>
      <c r="AP1108" s="476"/>
      <c r="AQ1108" s="476"/>
      <c r="AR1108" s="476"/>
      <c r="AS1108" s="476"/>
      <c r="AT1108" s="476"/>
      <c r="AU1108" s="476"/>
    </row>
    <row r="1109" spans="1:47" s="398" customFormat="1" ht="13.15" customHeight="1" x14ac:dyDescent="0.2">
      <c r="A1109" s="476"/>
      <c r="D1109" s="467"/>
      <c r="F1109" s="468"/>
      <c r="G1109" s="468"/>
      <c r="H1109" s="468"/>
      <c r="I1109" s="468"/>
      <c r="J1109" s="469"/>
      <c r="L1109" s="476"/>
      <c r="M1109" s="476"/>
      <c r="N1109" s="476"/>
      <c r="O1109" s="476"/>
      <c r="P1109" s="476"/>
      <c r="Q1109" s="476"/>
      <c r="R1109" s="476"/>
      <c r="S1109" s="476"/>
      <c r="T1109" s="476"/>
      <c r="U1109" s="476"/>
      <c r="V1109" s="476"/>
      <c r="W1109" s="476"/>
      <c r="X1109" s="476"/>
      <c r="Y1109" s="476"/>
      <c r="Z1109" s="476"/>
      <c r="AA1109" s="476"/>
      <c r="AB1109" s="476"/>
      <c r="AC1109" s="476"/>
      <c r="AD1109" s="476"/>
      <c r="AE1109" s="476"/>
      <c r="AF1109" s="476"/>
      <c r="AG1109" s="476"/>
      <c r="AH1109" s="476"/>
      <c r="AI1109" s="476"/>
      <c r="AJ1109" s="476"/>
      <c r="AK1109" s="476"/>
      <c r="AL1109" s="476"/>
      <c r="AM1109" s="476"/>
      <c r="AN1109" s="476"/>
      <c r="AO1109" s="476"/>
      <c r="AP1109" s="476"/>
      <c r="AQ1109" s="476"/>
      <c r="AR1109" s="476"/>
      <c r="AS1109" s="476"/>
      <c r="AT1109" s="476"/>
      <c r="AU1109" s="476"/>
    </row>
    <row r="1110" spans="1:47" s="398" customFormat="1" ht="13.15" customHeight="1" x14ac:dyDescent="0.2">
      <c r="A1110" s="476"/>
      <c r="D1110" s="467"/>
      <c r="F1110" s="468"/>
      <c r="G1110" s="468"/>
      <c r="H1110" s="468"/>
      <c r="I1110" s="468"/>
      <c r="J1110" s="469"/>
      <c r="L1110" s="476"/>
      <c r="M1110" s="476"/>
      <c r="N1110" s="476"/>
      <c r="O1110" s="476"/>
      <c r="P1110" s="476"/>
      <c r="Q1110" s="476"/>
      <c r="R1110" s="476"/>
      <c r="S1110" s="476"/>
      <c r="T1110" s="476"/>
      <c r="U1110" s="476"/>
      <c r="V1110" s="476"/>
      <c r="W1110" s="476"/>
      <c r="X1110" s="476"/>
      <c r="Y1110" s="476"/>
      <c r="Z1110" s="476"/>
      <c r="AA1110" s="476"/>
      <c r="AB1110" s="476"/>
      <c r="AC1110" s="476"/>
      <c r="AD1110" s="476"/>
      <c r="AE1110" s="476"/>
      <c r="AF1110" s="476"/>
      <c r="AG1110" s="476"/>
      <c r="AH1110" s="476"/>
      <c r="AI1110" s="476"/>
      <c r="AJ1110" s="476"/>
      <c r="AK1110" s="476"/>
      <c r="AL1110" s="476"/>
      <c r="AM1110" s="476"/>
      <c r="AN1110" s="476"/>
      <c r="AO1110" s="476"/>
      <c r="AP1110" s="476"/>
      <c r="AQ1110" s="476"/>
      <c r="AR1110" s="476"/>
      <c r="AS1110" s="476"/>
      <c r="AT1110" s="476"/>
      <c r="AU1110" s="476"/>
    </row>
    <row r="1111" spans="1:47" s="398" customFormat="1" ht="13.15" customHeight="1" x14ac:dyDescent="0.2">
      <c r="A1111" s="476"/>
      <c r="D1111" s="467"/>
      <c r="F1111" s="468"/>
      <c r="G1111" s="468"/>
      <c r="H1111" s="468"/>
      <c r="I1111" s="468"/>
      <c r="J1111" s="469"/>
      <c r="L1111" s="476"/>
      <c r="M1111" s="476"/>
      <c r="N1111" s="476"/>
      <c r="O1111" s="476"/>
      <c r="P1111" s="476"/>
      <c r="Q1111" s="476"/>
      <c r="R1111" s="476"/>
      <c r="S1111" s="476"/>
      <c r="T1111" s="476"/>
      <c r="U1111" s="476"/>
      <c r="V1111" s="476"/>
      <c r="W1111" s="476"/>
      <c r="X1111" s="476"/>
      <c r="Y1111" s="476"/>
      <c r="Z1111" s="476"/>
      <c r="AA1111" s="476"/>
      <c r="AB1111" s="476"/>
      <c r="AC1111" s="476"/>
      <c r="AD1111" s="476"/>
      <c r="AE1111" s="476"/>
      <c r="AF1111" s="476"/>
      <c r="AG1111" s="476"/>
      <c r="AH1111" s="476"/>
      <c r="AI1111" s="476"/>
      <c r="AJ1111" s="476"/>
      <c r="AK1111" s="476"/>
      <c r="AL1111" s="476"/>
      <c r="AM1111" s="476"/>
      <c r="AN1111" s="476"/>
      <c r="AO1111" s="476"/>
      <c r="AP1111" s="476"/>
      <c r="AQ1111" s="476"/>
      <c r="AR1111" s="476"/>
      <c r="AS1111" s="476"/>
      <c r="AT1111" s="476"/>
      <c r="AU1111" s="476"/>
    </row>
    <row r="1112" spans="1:47" s="398" customFormat="1" ht="13.15" customHeight="1" x14ac:dyDescent="0.2">
      <c r="A1112" s="476"/>
      <c r="D1112" s="467"/>
      <c r="F1112" s="468"/>
      <c r="G1112" s="468"/>
      <c r="H1112" s="468"/>
      <c r="I1112" s="468"/>
      <c r="J1112" s="469"/>
      <c r="L1112" s="476"/>
      <c r="M1112" s="476"/>
      <c r="N1112" s="476"/>
      <c r="O1112" s="476"/>
      <c r="P1112" s="476"/>
      <c r="Q1112" s="476"/>
      <c r="R1112" s="476"/>
      <c r="S1112" s="476"/>
      <c r="T1112" s="476"/>
      <c r="U1112" s="476"/>
      <c r="V1112" s="476"/>
      <c r="W1112" s="476"/>
      <c r="X1112" s="476"/>
      <c r="Y1112" s="476"/>
      <c r="Z1112" s="476"/>
      <c r="AA1112" s="476"/>
      <c r="AB1112" s="476"/>
      <c r="AC1112" s="476"/>
      <c r="AD1112" s="476"/>
      <c r="AE1112" s="476"/>
      <c r="AF1112" s="476"/>
      <c r="AG1112" s="476"/>
      <c r="AH1112" s="476"/>
      <c r="AI1112" s="476"/>
      <c r="AJ1112" s="476"/>
      <c r="AK1112" s="476"/>
      <c r="AL1112" s="476"/>
      <c r="AM1112" s="476"/>
      <c r="AN1112" s="476"/>
      <c r="AO1112" s="476"/>
      <c r="AP1112" s="476"/>
      <c r="AQ1112" s="476"/>
      <c r="AR1112" s="476"/>
      <c r="AS1112" s="476"/>
      <c r="AT1112" s="476"/>
      <c r="AU1112" s="476"/>
    </row>
    <row r="1113" spans="1:47" s="398" customFormat="1" ht="13.15" customHeight="1" x14ac:dyDescent="0.2">
      <c r="A1113" s="476"/>
      <c r="D1113" s="467"/>
      <c r="F1113" s="468"/>
      <c r="G1113" s="468"/>
      <c r="H1113" s="468"/>
      <c r="I1113" s="468"/>
      <c r="J1113" s="469"/>
      <c r="L1113" s="476"/>
      <c r="M1113" s="476"/>
      <c r="N1113" s="476"/>
      <c r="O1113" s="476"/>
      <c r="P1113" s="476"/>
      <c r="Q1113" s="476"/>
      <c r="R1113" s="476"/>
      <c r="S1113" s="476"/>
      <c r="T1113" s="476"/>
      <c r="U1113" s="476"/>
      <c r="V1113" s="476"/>
      <c r="W1113" s="476"/>
      <c r="X1113" s="476"/>
      <c r="Y1113" s="476"/>
      <c r="Z1113" s="476"/>
      <c r="AA1113" s="476"/>
      <c r="AB1113" s="476"/>
      <c r="AC1113" s="476"/>
      <c r="AD1113" s="476"/>
      <c r="AE1113" s="476"/>
      <c r="AF1113" s="476"/>
      <c r="AG1113" s="476"/>
      <c r="AH1113" s="476"/>
      <c r="AI1113" s="476"/>
      <c r="AJ1113" s="476"/>
      <c r="AK1113" s="476"/>
      <c r="AL1113" s="476"/>
      <c r="AM1113" s="476"/>
      <c r="AN1113" s="476"/>
      <c r="AO1113" s="476"/>
      <c r="AP1113" s="476"/>
      <c r="AQ1113" s="476"/>
      <c r="AR1113" s="476"/>
      <c r="AS1113" s="476"/>
      <c r="AT1113" s="476"/>
      <c r="AU1113" s="476"/>
    </row>
    <row r="1114" spans="1:47" s="398" customFormat="1" ht="13.15" customHeight="1" x14ac:dyDescent="0.2">
      <c r="A1114" s="476"/>
      <c r="D1114" s="467"/>
      <c r="F1114" s="468"/>
      <c r="G1114" s="468"/>
      <c r="H1114" s="468"/>
      <c r="I1114" s="468"/>
      <c r="J1114" s="469"/>
      <c r="L1114" s="476"/>
      <c r="M1114" s="476"/>
      <c r="N1114" s="476"/>
      <c r="O1114" s="476"/>
      <c r="P1114" s="476"/>
      <c r="Q1114" s="476"/>
      <c r="R1114" s="476"/>
      <c r="S1114" s="476"/>
      <c r="T1114" s="476"/>
      <c r="U1114" s="476"/>
      <c r="V1114" s="476"/>
      <c r="W1114" s="476"/>
      <c r="X1114" s="476"/>
      <c r="Y1114" s="476"/>
      <c r="Z1114" s="476"/>
      <c r="AA1114" s="476"/>
      <c r="AB1114" s="476"/>
      <c r="AC1114" s="476"/>
      <c r="AD1114" s="476"/>
      <c r="AE1114" s="476"/>
      <c r="AF1114" s="476"/>
      <c r="AG1114" s="476"/>
      <c r="AH1114" s="476"/>
      <c r="AI1114" s="476"/>
      <c r="AJ1114" s="476"/>
      <c r="AK1114" s="476"/>
      <c r="AL1114" s="476"/>
      <c r="AM1114" s="476"/>
      <c r="AN1114" s="476"/>
      <c r="AO1114" s="476"/>
      <c r="AP1114" s="476"/>
      <c r="AQ1114" s="476"/>
      <c r="AR1114" s="476"/>
      <c r="AS1114" s="476"/>
      <c r="AT1114" s="476"/>
      <c r="AU1114" s="476"/>
    </row>
    <row r="1115" spans="1:47" s="398" customFormat="1" ht="13.15" customHeight="1" x14ac:dyDescent="0.2">
      <c r="A1115" s="476"/>
      <c r="D1115" s="467"/>
      <c r="F1115" s="468"/>
      <c r="G1115" s="468"/>
      <c r="H1115" s="468"/>
      <c r="I1115" s="468"/>
      <c r="J1115" s="469"/>
      <c r="L1115" s="476"/>
      <c r="M1115" s="476"/>
      <c r="N1115" s="476"/>
      <c r="O1115" s="476"/>
      <c r="P1115" s="476"/>
      <c r="Q1115" s="476"/>
      <c r="R1115" s="476"/>
      <c r="S1115" s="476"/>
      <c r="T1115" s="476"/>
      <c r="U1115" s="476"/>
      <c r="V1115" s="476"/>
      <c r="W1115" s="476"/>
      <c r="X1115" s="476"/>
      <c r="Y1115" s="476"/>
      <c r="Z1115" s="476"/>
      <c r="AA1115" s="476"/>
      <c r="AB1115" s="476"/>
      <c r="AC1115" s="476"/>
      <c r="AD1115" s="476"/>
      <c r="AE1115" s="476"/>
      <c r="AF1115" s="476"/>
      <c r="AG1115" s="476"/>
      <c r="AH1115" s="476"/>
      <c r="AI1115" s="476"/>
      <c r="AJ1115" s="476"/>
      <c r="AK1115" s="476"/>
      <c r="AL1115" s="476"/>
      <c r="AM1115" s="476"/>
      <c r="AN1115" s="476"/>
      <c r="AO1115" s="476"/>
      <c r="AP1115" s="476"/>
      <c r="AQ1115" s="476"/>
      <c r="AR1115" s="476"/>
      <c r="AS1115" s="476"/>
      <c r="AT1115" s="476"/>
      <c r="AU1115" s="476"/>
    </row>
    <row r="1116" spans="1:47" s="398" customFormat="1" ht="13.15" customHeight="1" x14ac:dyDescent="0.2">
      <c r="A1116" s="476"/>
      <c r="D1116" s="467"/>
      <c r="F1116" s="468"/>
      <c r="G1116" s="468"/>
      <c r="H1116" s="468"/>
      <c r="I1116" s="468"/>
      <c r="J1116" s="469"/>
      <c r="L1116" s="476"/>
      <c r="M1116" s="476"/>
      <c r="N1116" s="476"/>
      <c r="O1116" s="476"/>
      <c r="P1116" s="476"/>
      <c r="Q1116" s="476"/>
      <c r="R1116" s="476"/>
      <c r="S1116" s="476"/>
      <c r="T1116" s="476"/>
      <c r="U1116" s="476"/>
      <c r="V1116" s="476"/>
      <c r="W1116" s="476"/>
      <c r="X1116" s="476"/>
      <c r="Y1116" s="476"/>
      <c r="Z1116" s="476"/>
      <c r="AA1116" s="476"/>
      <c r="AB1116" s="476"/>
      <c r="AC1116" s="476"/>
      <c r="AD1116" s="476"/>
      <c r="AE1116" s="476"/>
      <c r="AF1116" s="476"/>
      <c r="AG1116" s="476"/>
      <c r="AH1116" s="476"/>
      <c r="AI1116" s="476"/>
      <c r="AJ1116" s="476"/>
      <c r="AK1116" s="476"/>
      <c r="AL1116" s="476"/>
      <c r="AM1116" s="476"/>
      <c r="AN1116" s="476"/>
      <c r="AO1116" s="476"/>
      <c r="AP1116" s="476"/>
      <c r="AQ1116" s="476"/>
      <c r="AR1116" s="476"/>
      <c r="AS1116" s="476"/>
      <c r="AT1116" s="476"/>
      <c r="AU1116" s="476"/>
    </row>
    <row r="1117" spans="1:47" s="398" customFormat="1" ht="13.15" customHeight="1" x14ac:dyDescent="0.2">
      <c r="A1117" s="476"/>
      <c r="D1117" s="467"/>
      <c r="F1117" s="468"/>
      <c r="G1117" s="468"/>
      <c r="H1117" s="468"/>
      <c r="I1117" s="468"/>
      <c r="J1117" s="469"/>
      <c r="L1117" s="476"/>
      <c r="M1117" s="476"/>
      <c r="N1117" s="476"/>
      <c r="O1117" s="476"/>
      <c r="P1117" s="476"/>
      <c r="Q1117" s="476"/>
      <c r="R1117" s="476"/>
      <c r="S1117" s="476"/>
      <c r="T1117" s="476"/>
      <c r="U1117" s="476"/>
      <c r="V1117" s="476"/>
      <c r="W1117" s="476"/>
      <c r="X1117" s="476"/>
      <c r="Y1117" s="476"/>
      <c r="Z1117" s="476"/>
      <c r="AA1117" s="476"/>
      <c r="AB1117" s="476"/>
      <c r="AC1117" s="476"/>
      <c r="AD1117" s="476"/>
      <c r="AE1117" s="476"/>
      <c r="AF1117" s="476"/>
      <c r="AG1117" s="476"/>
      <c r="AH1117" s="476"/>
      <c r="AI1117" s="476"/>
      <c r="AJ1117" s="476"/>
      <c r="AK1117" s="476"/>
      <c r="AL1117" s="476"/>
      <c r="AM1117" s="476"/>
      <c r="AN1117" s="476"/>
      <c r="AO1117" s="476"/>
      <c r="AP1117" s="476"/>
      <c r="AQ1117" s="476"/>
      <c r="AR1117" s="476"/>
      <c r="AS1117" s="476"/>
      <c r="AT1117" s="476"/>
      <c r="AU1117" s="476"/>
    </row>
    <row r="1118" spans="1:47" s="398" customFormat="1" ht="13.15" customHeight="1" x14ac:dyDescent="0.2">
      <c r="A1118" s="476"/>
      <c r="D1118" s="467"/>
      <c r="F1118" s="468"/>
      <c r="G1118" s="468"/>
      <c r="H1118" s="468"/>
      <c r="I1118" s="468"/>
      <c r="J1118" s="469"/>
      <c r="L1118" s="476"/>
      <c r="M1118" s="476"/>
      <c r="N1118" s="476"/>
      <c r="O1118" s="476"/>
      <c r="P1118" s="476"/>
      <c r="Q1118" s="476"/>
      <c r="R1118" s="476"/>
      <c r="S1118" s="476"/>
      <c r="T1118" s="476"/>
      <c r="U1118" s="476"/>
      <c r="V1118" s="476"/>
      <c r="W1118" s="476"/>
      <c r="X1118" s="476"/>
      <c r="Y1118" s="476"/>
      <c r="Z1118" s="476"/>
      <c r="AA1118" s="476"/>
      <c r="AB1118" s="476"/>
      <c r="AC1118" s="476"/>
      <c r="AD1118" s="476"/>
      <c r="AE1118" s="476"/>
      <c r="AF1118" s="476"/>
      <c r="AG1118" s="476"/>
      <c r="AH1118" s="476"/>
      <c r="AI1118" s="476"/>
      <c r="AJ1118" s="476"/>
      <c r="AK1118" s="476"/>
      <c r="AL1118" s="476"/>
      <c r="AM1118" s="476"/>
      <c r="AN1118" s="476"/>
      <c r="AO1118" s="476"/>
      <c r="AP1118" s="476"/>
      <c r="AQ1118" s="476"/>
      <c r="AR1118" s="476"/>
      <c r="AS1118" s="476"/>
      <c r="AT1118" s="476"/>
      <c r="AU1118" s="476"/>
    </row>
    <row r="1119" spans="1:47" s="398" customFormat="1" ht="13.15" customHeight="1" x14ac:dyDescent="0.2">
      <c r="A1119" s="476"/>
      <c r="D1119" s="467"/>
      <c r="F1119" s="468"/>
      <c r="G1119" s="468"/>
      <c r="H1119" s="468"/>
      <c r="I1119" s="468"/>
      <c r="J1119" s="469"/>
      <c r="L1119" s="476"/>
      <c r="M1119" s="476"/>
      <c r="N1119" s="476"/>
      <c r="O1119" s="476"/>
      <c r="P1119" s="476"/>
      <c r="Q1119" s="476"/>
      <c r="R1119" s="476"/>
      <c r="S1119" s="476"/>
      <c r="T1119" s="476"/>
      <c r="U1119" s="476"/>
      <c r="V1119" s="476"/>
      <c r="W1119" s="476"/>
      <c r="X1119" s="476"/>
      <c r="Y1119" s="476"/>
      <c r="Z1119" s="476"/>
      <c r="AA1119" s="476"/>
      <c r="AB1119" s="476"/>
      <c r="AC1119" s="476"/>
      <c r="AD1119" s="476"/>
      <c r="AE1119" s="476"/>
      <c r="AF1119" s="476"/>
      <c r="AG1119" s="476"/>
      <c r="AH1119" s="476"/>
      <c r="AI1119" s="476"/>
      <c r="AJ1119" s="476"/>
      <c r="AK1119" s="476"/>
      <c r="AL1119" s="476"/>
      <c r="AM1119" s="476"/>
      <c r="AN1119" s="476"/>
      <c r="AO1119" s="476"/>
      <c r="AP1119" s="476"/>
      <c r="AQ1119" s="476"/>
      <c r="AR1119" s="476"/>
      <c r="AS1119" s="476"/>
      <c r="AT1119" s="476"/>
      <c r="AU1119" s="476"/>
    </row>
    <row r="1120" spans="1:47" s="398" customFormat="1" ht="13.15" customHeight="1" x14ac:dyDescent="0.2">
      <c r="A1120" s="476"/>
      <c r="D1120" s="467"/>
      <c r="F1120" s="468"/>
      <c r="G1120" s="468"/>
      <c r="H1120" s="468"/>
      <c r="I1120" s="468"/>
      <c r="J1120" s="469"/>
      <c r="L1120" s="476"/>
      <c r="M1120" s="476"/>
      <c r="N1120" s="476"/>
      <c r="O1120" s="476"/>
      <c r="P1120" s="476"/>
      <c r="Q1120" s="476"/>
      <c r="R1120" s="476"/>
      <c r="S1120" s="476"/>
      <c r="T1120" s="476"/>
      <c r="U1120" s="476"/>
      <c r="V1120" s="476"/>
      <c r="W1120" s="476"/>
      <c r="X1120" s="476"/>
      <c r="Y1120" s="476"/>
      <c r="Z1120" s="476"/>
      <c r="AA1120" s="476"/>
      <c r="AB1120" s="476"/>
      <c r="AC1120" s="476"/>
      <c r="AD1120" s="476"/>
      <c r="AE1120" s="476"/>
      <c r="AF1120" s="476"/>
      <c r="AG1120" s="476"/>
      <c r="AH1120" s="476"/>
      <c r="AI1120" s="476"/>
      <c r="AJ1120" s="476"/>
      <c r="AK1120" s="476"/>
      <c r="AL1120" s="476"/>
      <c r="AM1120" s="476"/>
      <c r="AN1120" s="476"/>
      <c r="AO1120" s="476"/>
      <c r="AP1120" s="476"/>
      <c r="AQ1120" s="476"/>
      <c r="AR1120" s="476"/>
      <c r="AS1120" s="476"/>
      <c r="AT1120" s="476"/>
      <c r="AU1120" s="476"/>
    </row>
    <row r="1121" spans="1:47" s="398" customFormat="1" ht="13.15" customHeight="1" x14ac:dyDescent="0.2">
      <c r="A1121" s="476"/>
      <c r="D1121" s="467"/>
      <c r="F1121" s="468"/>
      <c r="G1121" s="468"/>
      <c r="H1121" s="468"/>
      <c r="I1121" s="468"/>
      <c r="J1121" s="469"/>
      <c r="L1121" s="476"/>
      <c r="M1121" s="476"/>
      <c r="N1121" s="476"/>
      <c r="O1121" s="476"/>
      <c r="P1121" s="476"/>
      <c r="Q1121" s="476"/>
      <c r="R1121" s="476"/>
      <c r="S1121" s="476"/>
      <c r="T1121" s="476"/>
      <c r="U1121" s="476"/>
      <c r="V1121" s="476"/>
      <c r="W1121" s="476"/>
      <c r="X1121" s="476"/>
      <c r="Y1121" s="476"/>
      <c r="Z1121" s="476"/>
      <c r="AA1121" s="476"/>
      <c r="AB1121" s="476"/>
      <c r="AC1121" s="476"/>
      <c r="AD1121" s="476"/>
      <c r="AE1121" s="476"/>
      <c r="AF1121" s="476"/>
      <c r="AG1121" s="476"/>
      <c r="AH1121" s="476"/>
      <c r="AI1121" s="476"/>
      <c r="AJ1121" s="476"/>
      <c r="AK1121" s="476"/>
      <c r="AL1121" s="476"/>
      <c r="AM1121" s="476"/>
      <c r="AN1121" s="476"/>
      <c r="AO1121" s="476"/>
      <c r="AP1121" s="476"/>
      <c r="AQ1121" s="476"/>
      <c r="AR1121" s="476"/>
      <c r="AS1121" s="476"/>
      <c r="AT1121" s="476"/>
      <c r="AU1121" s="476"/>
    </row>
    <row r="1122" spans="1:47" s="398" customFormat="1" ht="13.15" customHeight="1" x14ac:dyDescent="0.2">
      <c r="A1122" s="476"/>
      <c r="D1122" s="467"/>
      <c r="F1122" s="468"/>
      <c r="G1122" s="468"/>
      <c r="H1122" s="468"/>
      <c r="I1122" s="468"/>
      <c r="J1122" s="469"/>
      <c r="L1122" s="476"/>
      <c r="M1122" s="476"/>
      <c r="N1122" s="476"/>
      <c r="O1122" s="476"/>
      <c r="P1122" s="476"/>
      <c r="Q1122" s="476"/>
      <c r="R1122" s="476"/>
      <c r="S1122" s="476"/>
      <c r="T1122" s="476"/>
      <c r="U1122" s="476"/>
      <c r="V1122" s="476"/>
      <c r="W1122" s="476"/>
      <c r="X1122" s="476"/>
      <c r="Y1122" s="476"/>
      <c r="Z1122" s="476"/>
      <c r="AA1122" s="476"/>
      <c r="AB1122" s="476"/>
      <c r="AC1122" s="476"/>
      <c r="AD1122" s="476"/>
      <c r="AE1122" s="476"/>
      <c r="AF1122" s="476"/>
      <c r="AG1122" s="476"/>
      <c r="AH1122" s="476"/>
      <c r="AI1122" s="476"/>
      <c r="AJ1122" s="476"/>
      <c r="AK1122" s="476"/>
      <c r="AL1122" s="476"/>
      <c r="AM1122" s="476"/>
      <c r="AN1122" s="476"/>
      <c r="AO1122" s="476"/>
      <c r="AP1122" s="476"/>
      <c r="AQ1122" s="476"/>
      <c r="AR1122" s="476"/>
      <c r="AS1122" s="476"/>
      <c r="AT1122" s="476"/>
      <c r="AU1122" s="476"/>
    </row>
    <row r="1123" spans="1:47" s="398" customFormat="1" ht="13.15" customHeight="1" x14ac:dyDescent="0.2">
      <c r="A1123" s="476"/>
      <c r="D1123" s="467"/>
      <c r="F1123" s="468"/>
      <c r="G1123" s="468"/>
      <c r="H1123" s="468"/>
      <c r="I1123" s="468"/>
      <c r="J1123" s="469"/>
      <c r="L1123" s="476"/>
      <c r="M1123" s="476"/>
      <c r="N1123" s="476"/>
      <c r="O1123" s="476"/>
      <c r="P1123" s="476"/>
      <c r="Q1123" s="476"/>
      <c r="R1123" s="476"/>
      <c r="S1123" s="476"/>
      <c r="T1123" s="476"/>
      <c r="U1123" s="476"/>
      <c r="V1123" s="476"/>
      <c r="W1123" s="476"/>
      <c r="X1123" s="476"/>
      <c r="Y1123" s="476"/>
      <c r="Z1123" s="476"/>
      <c r="AA1123" s="476"/>
      <c r="AB1123" s="476"/>
      <c r="AC1123" s="476"/>
      <c r="AD1123" s="476"/>
      <c r="AE1123" s="476"/>
      <c r="AF1123" s="476"/>
      <c r="AG1123" s="476"/>
      <c r="AH1123" s="476"/>
      <c r="AI1123" s="476"/>
      <c r="AJ1123" s="476"/>
      <c r="AK1123" s="476"/>
      <c r="AL1123" s="476"/>
      <c r="AM1123" s="476"/>
      <c r="AN1123" s="476"/>
      <c r="AO1123" s="476"/>
      <c r="AP1123" s="476"/>
      <c r="AQ1123" s="476"/>
      <c r="AR1123" s="476"/>
      <c r="AS1123" s="476"/>
      <c r="AT1123" s="476"/>
      <c r="AU1123" s="476"/>
    </row>
    <row r="1124" spans="1:47" s="398" customFormat="1" ht="13.15" customHeight="1" x14ac:dyDescent="0.2">
      <c r="A1124" s="476"/>
      <c r="D1124" s="467"/>
      <c r="F1124" s="468"/>
      <c r="G1124" s="468"/>
      <c r="H1124" s="468"/>
      <c r="I1124" s="468"/>
      <c r="J1124" s="469"/>
      <c r="L1124" s="476"/>
      <c r="M1124" s="476"/>
      <c r="N1124" s="476"/>
      <c r="O1124" s="476"/>
      <c r="P1124" s="476"/>
      <c r="Q1124" s="476"/>
      <c r="R1124" s="476"/>
      <c r="S1124" s="476"/>
      <c r="T1124" s="476"/>
      <c r="U1124" s="476"/>
      <c r="V1124" s="476"/>
      <c r="W1124" s="476"/>
      <c r="X1124" s="476"/>
      <c r="Y1124" s="476"/>
      <c r="Z1124" s="476"/>
      <c r="AA1124" s="476"/>
      <c r="AB1124" s="476"/>
      <c r="AC1124" s="476"/>
      <c r="AD1124" s="476"/>
      <c r="AE1124" s="476"/>
      <c r="AF1124" s="476"/>
      <c r="AG1124" s="476"/>
      <c r="AH1124" s="476"/>
      <c r="AI1124" s="476"/>
      <c r="AJ1124" s="476"/>
      <c r="AK1124" s="476"/>
      <c r="AL1124" s="476"/>
      <c r="AM1124" s="476"/>
      <c r="AN1124" s="476"/>
      <c r="AO1124" s="476"/>
      <c r="AP1124" s="476"/>
      <c r="AQ1124" s="476"/>
      <c r="AR1124" s="476"/>
      <c r="AS1124" s="476"/>
      <c r="AT1124" s="476"/>
      <c r="AU1124" s="476"/>
    </row>
    <row r="1125" spans="1:47" s="398" customFormat="1" ht="13.15" customHeight="1" x14ac:dyDescent="0.2">
      <c r="A1125" s="476"/>
      <c r="D1125" s="467"/>
      <c r="F1125" s="468"/>
      <c r="G1125" s="468"/>
      <c r="H1125" s="468"/>
      <c r="I1125" s="468"/>
      <c r="J1125" s="469"/>
      <c r="L1125" s="476"/>
      <c r="M1125" s="476"/>
      <c r="N1125" s="476"/>
      <c r="O1125" s="476"/>
      <c r="P1125" s="476"/>
      <c r="Q1125" s="476"/>
      <c r="R1125" s="476"/>
      <c r="S1125" s="476"/>
      <c r="T1125" s="476"/>
      <c r="U1125" s="476"/>
      <c r="V1125" s="476"/>
      <c r="W1125" s="476"/>
      <c r="X1125" s="476"/>
      <c r="Y1125" s="476"/>
      <c r="Z1125" s="476"/>
      <c r="AA1125" s="476"/>
      <c r="AB1125" s="476"/>
      <c r="AC1125" s="476"/>
      <c r="AD1125" s="476"/>
      <c r="AE1125" s="476"/>
      <c r="AF1125" s="476"/>
      <c r="AG1125" s="476"/>
      <c r="AH1125" s="476"/>
      <c r="AI1125" s="476"/>
      <c r="AJ1125" s="476"/>
      <c r="AK1125" s="476"/>
      <c r="AL1125" s="476"/>
      <c r="AM1125" s="476"/>
      <c r="AN1125" s="476"/>
      <c r="AO1125" s="476"/>
      <c r="AP1125" s="476"/>
      <c r="AQ1125" s="476"/>
      <c r="AR1125" s="476"/>
      <c r="AS1125" s="476"/>
      <c r="AT1125" s="476"/>
      <c r="AU1125" s="476"/>
    </row>
    <row r="1126" spans="1:47" s="398" customFormat="1" ht="13.15" customHeight="1" x14ac:dyDescent="0.2">
      <c r="A1126" s="476"/>
      <c r="D1126" s="467"/>
      <c r="F1126" s="468"/>
      <c r="G1126" s="468"/>
      <c r="H1126" s="468"/>
      <c r="I1126" s="468"/>
      <c r="J1126" s="469"/>
      <c r="L1126" s="476"/>
      <c r="M1126" s="476"/>
      <c r="N1126" s="476"/>
      <c r="O1126" s="476"/>
      <c r="P1126" s="476"/>
      <c r="Q1126" s="476"/>
      <c r="R1126" s="476"/>
      <c r="S1126" s="476"/>
      <c r="T1126" s="476"/>
      <c r="U1126" s="476"/>
      <c r="V1126" s="476"/>
      <c r="W1126" s="476"/>
      <c r="X1126" s="476"/>
      <c r="Y1126" s="476"/>
      <c r="Z1126" s="476"/>
      <c r="AA1126" s="476"/>
      <c r="AB1126" s="476"/>
      <c r="AC1126" s="476"/>
      <c r="AD1126" s="476"/>
      <c r="AE1126" s="476"/>
      <c r="AF1126" s="476"/>
      <c r="AG1126" s="476"/>
      <c r="AH1126" s="476"/>
      <c r="AI1126" s="476"/>
      <c r="AJ1126" s="476"/>
      <c r="AK1126" s="476"/>
      <c r="AL1126" s="476"/>
      <c r="AM1126" s="476"/>
      <c r="AN1126" s="476"/>
      <c r="AO1126" s="476"/>
      <c r="AP1126" s="476"/>
      <c r="AQ1126" s="476"/>
      <c r="AR1126" s="476"/>
      <c r="AS1126" s="476"/>
      <c r="AT1126" s="476"/>
      <c r="AU1126" s="476"/>
    </row>
    <row r="1127" spans="1:47" s="398" customFormat="1" ht="13.15" customHeight="1" x14ac:dyDescent="0.2">
      <c r="A1127" s="476"/>
      <c r="D1127" s="467"/>
      <c r="F1127" s="468"/>
      <c r="G1127" s="468"/>
      <c r="H1127" s="468"/>
      <c r="I1127" s="468"/>
      <c r="J1127" s="469"/>
      <c r="L1127" s="476"/>
      <c r="M1127" s="476"/>
      <c r="N1127" s="476"/>
      <c r="O1127" s="476"/>
      <c r="P1127" s="476"/>
      <c r="Q1127" s="476"/>
      <c r="R1127" s="476"/>
      <c r="S1127" s="476"/>
      <c r="T1127" s="476"/>
      <c r="U1127" s="476"/>
      <c r="V1127" s="476"/>
      <c r="W1127" s="476"/>
      <c r="X1127" s="476"/>
      <c r="Y1127" s="476"/>
      <c r="Z1127" s="476"/>
      <c r="AA1127" s="476"/>
      <c r="AB1127" s="476"/>
      <c r="AC1127" s="476"/>
      <c r="AD1127" s="476"/>
      <c r="AE1127" s="476"/>
      <c r="AF1127" s="476"/>
      <c r="AG1127" s="476"/>
      <c r="AH1127" s="476"/>
      <c r="AI1127" s="476"/>
      <c r="AJ1127" s="476"/>
      <c r="AK1127" s="476"/>
      <c r="AL1127" s="476"/>
      <c r="AM1127" s="476"/>
      <c r="AN1127" s="476"/>
      <c r="AO1127" s="476"/>
      <c r="AP1127" s="476"/>
      <c r="AQ1127" s="476"/>
      <c r="AR1127" s="476"/>
      <c r="AS1127" s="476"/>
      <c r="AT1127" s="476"/>
      <c r="AU1127" s="476"/>
    </row>
    <row r="1128" spans="1:47" s="398" customFormat="1" ht="13.15" customHeight="1" x14ac:dyDescent="0.2">
      <c r="A1128" s="476"/>
      <c r="D1128" s="467"/>
      <c r="F1128" s="468"/>
      <c r="G1128" s="468"/>
      <c r="H1128" s="468"/>
      <c r="I1128" s="468"/>
      <c r="J1128" s="469"/>
      <c r="L1128" s="476"/>
      <c r="M1128" s="476"/>
      <c r="N1128" s="476"/>
      <c r="O1128" s="476"/>
      <c r="P1128" s="476"/>
      <c r="Q1128" s="476"/>
      <c r="R1128" s="476"/>
      <c r="S1128" s="476"/>
      <c r="T1128" s="476"/>
      <c r="U1128" s="476"/>
      <c r="V1128" s="476"/>
      <c r="W1128" s="476"/>
      <c r="X1128" s="476"/>
      <c r="Y1128" s="476"/>
      <c r="Z1128" s="476"/>
      <c r="AA1128" s="476"/>
      <c r="AB1128" s="476"/>
      <c r="AC1128" s="476"/>
      <c r="AD1128" s="476"/>
      <c r="AE1128" s="476"/>
      <c r="AF1128" s="476"/>
      <c r="AG1128" s="476"/>
      <c r="AH1128" s="476"/>
      <c r="AI1128" s="476"/>
      <c r="AJ1128" s="476"/>
      <c r="AK1128" s="476"/>
      <c r="AL1128" s="476"/>
      <c r="AM1128" s="476"/>
      <c r="AN1128" s="476"/>
      <c r="AO1128" s="476"/>
      <c r="AP1128" s="476"/>
      <c r="AQ1128" s="476"/>
      <c r="AR1128" s="476"/>
      <c r="AS1128" s="476"/>
      <c r="AT1128" s="476"/>
      <c r="AU1128" s="476"/>
    </row>
    <row r="1129" spans="1:47" s="398" customFormat="1" ht="13.15" customHeight="1" x14ac:dyDescent="0.2">
      <c r="A1129" s="476"/>
      <c r="D1129" s="467"/>
      <c r="F1129" s="468"/>
      <c r="G1129" s="468"/>
      <c r="H1129" s="468"/>
      <c r="I1129" s="468"/>
      <c r="J1129" s="469"/>
      <c r="L1129" s="476"/>
      <c r="M1129" s="476"/>
      <c r="N1129" s="476"/>
      <c r="O1129" s="476"/>
      <c r="P1129" s="476"/>
      <c r="Q1129" s="476"/>
      <c r="R1129" s="476"/>
      <c r="S1129" s="476"/>
      <c r="T1129" s="476"/>
      <c r="U1129" s="476"/>
      <c r="V1129" s="476"/>
      <c r="W1129" s="476"/>
      <c r="X1129" s="476"/>
      <c r="Y1129" s="476"/>
      <c r="Z1129" s="476"/>
      <c r="AA1129" s="476"/>
      <c r="AB1129" s="476"/>
      <c r="AC1129" s="476"/>
      <c r="AD1129" s="476"/>
      <c r="AE1129" s="476"/>
      <c r="AF1129" s="476"/>
      <c r="AG1129" s="476"/>
      <c r="AH1129" s="476"/>
      <c r="AI1129" s="476"/>
      <c r="AJ1129" s="476"/>
      <c r="AK1129" s="476"/>
      <c r="AL1129" s="476"/>
      <c r="AM1129" s="476"/>
      <c r="AN1129" s="476"/>
      <c r="AO1129" s="476"/>
      <c r="AP1129" s="476"/>
      <c r="AQ1129" s="476"/>
      <c r="AR1129" s="476"/>
      <c r="AS1129" s="476"/>
      <c r="AT1129" s="476"/>
      <c r="AU1129" s="476"/>
    </row>
    <row r="1130" spans="1:47" s="398" customFormat="1" ht="13.15" customHeight="1" x14ac:dyDescent="0.2">
      <c r="A1130" s="476"/>
      <c r="D1130" s="467"/>
      <c r="F1130" s="468"/>
      <c r="G1130" s="468"/>
      <c r="H1130" s="468"/>
      <c r="I1130" s="468"/>
      <c r="J1130" s="469"/>
      <c r="L1130" s="476"/>
      <c r="M1130" s="476"/>
      <c r="N1130" s="476"/>
      <c r="O1130" s="476"/>
      <c r="P1130" s="476"/>
      <c r="Q1130" s="476"/>
      <c r="R1130" s="476"/>
      <c r="S1130" s="476"/>
      <c r="T1130" s="476"/>
      <c r="U1130" s="476"/>
      <c r="V1130" s="476"/>
      <c r="W1130" s="476"/>
      <c r="X1130" s="476"/>
      <c r="Y1130" s="476"/>
      <c r="Z1130" s="476"/>
      <c r="AA1130" s="476"/>
      <c r="AB1130" s="476"/>
      <c r="AC1130" s="476"/>
      <c r="AD1130" s="476"/>
      <c r="AE1130" s="476"/>
      <c r="AF1130" s="476"/>
      <c r="AG1130" s="476"/>
      <c r="AH1130" s="476"/>
      <c r="AI1130" s="476"/>
      <c r="AJ1130" s="476"/>
      <c r="AK1130" s="476"/>
      <c r="AL1130" s="476"/>
      <c r="AM1130" s="476"/>
      <c r="AN1130" s="476"/>
      <c r="AO1130" s="476"/>
      <c r="AP1130" s="476"/>
      <c r="AQ1130" s="476"/>
      <c r="AR1130" s="476"/>
      <c r="AS1130" s="476"/>
      <c r="AT1130" s="476"/>
      <c r="AU1130" s="476"/>
    </row>
    <row r="1131" spans="1:47" s="398" customFormat="1" ht="13.15" customHeight="1" x14ac:dyDescent="0.2">
      <c r="A1131" s="476"/>
      <c r="D1131" s="467"/>
      <c r="F1131" s="468"/>
      <c r="G1131" s="468"/>
      <c r="H1131" s="468"/>
      <c r="I1131" s="468"/>
      <c r="J1131" s="469"/>
      <c r="L1131" s="476"/>
      <c r="M1131" s="476"/>
      <c r="N1131" s="476"/>
      <c r="O1131" s="476"/>
      <c r="P1131" s="476"/>
      <c r="Q1131" s="476"/>
      <c r="R1131" s="476"/>
      <c r="S1131" s="476"/>
      <c r="T1131" s="476"/>
      <c r="U1131" s="476"/>
      <c r="V1131" s="476"/>
      <c r="W1131" s="476"/>
      <c r="X1131" s="476"/>
      <c r="Y1131" s="476"/>
      <c r="Z1131" s="476"/>
      <c r="AA1131" s="476"/>
      <c r="AB1131" s="476"/>
      <c r="AC1131" s="476"/>
      <c r="AD1131" s="476"/>
      <c r="AE1131" s="476"/>
      <c r="AF1131" s="476"/>
      <c r="AG1131" s="476"/>
      <c r="AH1131" s="476"/>
      <c r="AI1131" s="476"/>
      <c r="AJ1131" s="476"/>
      <c r="AK1131" s="476"/>
      <c r="AL1131" s="476"/>
      <c r="AM1131" s="476"/>
      <c r="AN1131" s="476"/>
      <c r="AO1131" s="476"/>
      <c r="AP1131" s="476"/>
      <c r="AQ1131" s="476"/>
      <c r="AR1131" s="476"/>
      <c r="AS1131" s="476"/>
      <c r="AT1131" s="476"/>
      <c r="AU1131" s="476"/>
    </row>
    <row r="1132" spans="1:47" s="398" customFormat="1" ht="13.15" customHeight="1" x14ac:dyDescent="0.2">
      <c r="A1132" s="476"/>
      <c r="D1132" s="467"/>
      <c r="F1132" s="468"/>
      <c r="G1132" s="468"/>
      <c r="H1132" s="468"/>
      <c r="I1132" s="468"/>
      <c r="J1132" s="469"/>
      <c r="L1132" s="476"/>
      <c r="M1132" s="476"/>
      <c r="N1132" s="476"/>
      <c r="O1132" s="476"/>
      <c r="P1132" s="476"/>
      <c r="Q1132" s="476"/>
      <c r="R1132" s="476"/>
      <c r="S1132" s="476"/>
      <c r="T1132" s="476"/>
      <c r="U1132" s="476"/>
      <c r="V1132" s="476"/>
      <c r="W1132" s="476"/>
      <c r="X1132" s="476"/>
      <c r="Y1132" s="476"/>
      <c r="Z1132" s="476"/>
      <c r="AA1132" s="476"/>
      <c r="AB1132" s="476"/>
      <c r="AC1132" s="476"/>
      <c r="AD1132" s="476"/>
      <c r="AE1132" s="476"/>
      <c r="AF1132" s="476"/>
      <c r="AG1132" s="476"/>
      <c r="AH1132" s="476"/>
      <c r="AI1132" s="476"/>
      <c r="AJ1132" s="476"/>
      <c r="AK1132" s="476"/>
      <c r="AL1132" s="476"/>
      <c r="AM1132" s="476"/>
      <c r="AN1132" s="476"/>
      <c r="AO1132" s="476"/>
      <c r="AP1132" s="476"/>
      <c r="AQ1132" s="476"/>
      <c r="AR1132" s="476"/>
      <c r="AS1132" s="476"/>
      <c r="AT1132" s="476"/>
      <c r="AU1132" s="476"/>
    </row>
    <row r="1133" spans="1:47" s="398" customFormat="1" ht="13.15" customHeight="1" x14ac:dyDescent="0.2">
      <c r="A1133" s="476"/>
      <c r="D1133" s="467"/>
      <c r="F1133" s="468"/>
      <c r="G1133" s="468"/>
      <c r="H1133" s="468"/>
      <c r="I1133" s="468"/>
      <c r="J1133" s="469"/>
      <c r="L1133" s="476"/>
      <c r="M1133" s="476"/>
      <c r="N1133" s="476"/>
      <c r="O1133" s="476"/>
      <c r="P1133" s="476"/>
      <c r="Q1133" s="476"/>
      <c r="R1133" s="476"/>
      <c r="S1133" s="476"/>
      <c r="T1133" s="476"/>
      <c r="U1133" s="476"/>
      <c r="V1133" s="476"/>
      <c r="W1133" s="476"/>
      <c r="X1133" s="476"/>
      <c r="Y1133" s="476"/>
      <c r="Z1133" s="476"/>
      <c r="AA1133" s="476"/>
      <c r="AB1133" s="476"/>
      <c r="AC1133" s="476"/>
      <c r="AD1133" s="476"/>
      <c r="AE1133" s="476"/>
      <c r="AF1133" s="476"/>
      <c r="AG1133" s="476"/>
      <c r="AH1133" s="476"/>
      <c r="AI1133" s="476"/>
      <c r="AJ1133" s="476"/>
      <c r="AK1133" s="476"/>
      <c r="AL1133" s="476"/>
      <c r="AM1133" s="476"/>
      <c r="AN1133" s="476"/>
      <c r="AO1133" s="476"/>
      <c r="AP1133" s="476"/>
      <c r="AQ1133" s="476"/>
      <c r="AR1133" s="476"/>
      <c r="AS1133" s="476"/>
      <c r="AT1133" s="476"/>
      <c r="AU1133" s="476"/>
    </row>
    <row r="1134" spans="1:47" s="398" customFormat="1" ht="13.15" customHeight="1" x14ac:dyDescent="0.2">
      <c r="A1134" s="476"/>
      <c r="D1134" s="467"/>
      <c r="F1134" s="468"/>
      <c r="G1134" s="468"/>
      <c r="H1134" s="468"/>
      <c r="I1134" s="468"/>
      <c r="J1134" s="469"/>
      <c r="L1134" s="476"/>
      <c r="M1134" s="476"/>
      <c r="N1134" s="476"/>
      <c r="O1134" s="476"/>
      <c r="P1134" s="476"/>
      <c r="Q1134" s="476"/>
      <c r="R1134" s="476"/>
      <c r="S1134" s="476"/>
      <c r="T1134" s="476"/>
      <c r="U1134" s="476"/>
      <c r="V1134" s="476"/>
      <c r="W1134" s="476"/>
      <c r="X1134" s="476"/>
      <c r="Y1134" s="476"/>
      <c r="Z1134" s="476"/>
      <c r="AA1134" s="476"/>
      <c r="AB1134" s="476"/>
      <c r="AC1134" s="476"/>
      <c r="AD1134" s="476"/>
      <c r="AE1134" s="476"/>
      <c r="AF1134" s="476"/>
      <c r="AG1134" s="476"/>
      <c r="AH1134" s="476"/>
      <c r="AI1134" s="476"/>
      <c r="AJ1134" s="476"/>
      <c r="AK1134" s="476"/>
      <c r="AL1134" s="476"/>
      <c r="AM1134" s="476"/>
      <c r="AN1134" s="476"/>
      <c r="AO1134" s="476"/>
      <c r="AP1134" s="476"/>
      <c r="AQ1134" s="476"/>
      <c r="AR1134" s="476"/>
      <c r="AS1134" s="476"/>
      <c r="AT1134" s="476"/>
      <c r="AU1134" s="476"/>
    </row>
    <row r="1135" spans="1:47" s="398" customFormat="1" ht="13.15" customHeight="1" x14ac:dyDescent="0.2">
      <c r="A1135" s="476"/>
      <c r="D1135" s="467"/>
      <c r="F1135" s="468"/>
      <c r="G1135" s="468"/>
      <c r="H1135" s="468"/>
      <c r="I1135" s="468"/>
      <c r="J1135" s="469"/>
      <c r="L1135" s="476"/>
      <c r="M1135" s="476"/>
      <c r="N1135" s="476"/>
      <c r="O1135" s="476"/>
      <c r="P1135" s="476"/>
      <c r="Q1135" s="476"/>
      <c r="R1135" s="476"/>
      <c r="S1135" s="476"/>
      <c r="T1135" s="476"/>
      <c r="U1135" s="476"/>
      <c r="V1135" s="476"/>
      <c r="W1135" s="476"/>
      <c r="X1135" s="476"/>
      <c r="Y1135" s="476"/>
      <c r="Z1135" s="476"/>
      <c r="AA1135" s="476"/>
      <c r="AB1135" s="476"/>
      <c r="AC1135" s="476"/>
      <c r="AD1135" s="476"/>
      <c r="AE1135" s="476"/>
      <c r="AF1135" s="476"/>
      <c r="AG1135" s="476"/>
      <c r="AH1135" s="476"/>
      <c r="AI1135" s="476"/>
      <c r="AJ1135" s="476"/>
      <c r="AK1135" s="476"/>
      <c r="AL1135" s="476"/>
      <c r="AM1135" s="476"/>
      <c r="AN1135" s="476"/>
      <c r="AO1135" s="476"/>
      <c r="AP1135" s="476"/>
      <c r="AQ1135" s="476"/>
      <c r="AR1135" s="476"/>
      <c r="AS1135" s="476"/>
      <c r="AT1135" s="476"/>
      <c r="AU1135" s="476"/>
    </row>
    <row r="1136" spans="1:47" s="398" customFormat="1" ht="13.15" customHeight="1" x14ac:dyDescent="0.2">
      <c r="A1136" s="476"/>
      <c r="D1136" s="467"/>
      <c r="F1136" s="468"/>
      <c r="G1136" s="468"/>
      <c r="H1136" s="468"/>
      <c r="I1136" s="468"/>
      <c r="J1136" s="469"/>
      <c r="L1136" s="476"/>
      <c r="M1136" s="476"/>
      <c r="N1136" s="476"/>
      <c r="O1136" s="476"/>
      <c r="P1136" s="476"/>
      <c r="Q1136" s="476"/>
      <c r="R1136" s="476"/>
      <c r="S1136" s="476"/>
      <c r="T1136" s="476"/>
      <c r="U1136" s="476"/>
      <c r="V1136" s="476"/>
      <c r="W1136" s="476"/>
      <c r="X1136" s="476"/>
      <c r="Y1136" s="476"/>
      <c r="Z1136" s="476"/>
      <c r="AA1136" s="476"/>
      <c r="AB1136" s="476"/>
      <c r="AC1136" s="476"/>
      <c r="AD1136" s="476"/>
      <c r="AE1136" s="476"/>
      <c r="AF1136" s="476"/>
      <c r="AG1136" s="476"/>
      <c r="AH1136" s="476"/>
      <c r="AI1136" s="476"/>
      <c r="AJ1136" s="476"/>
      <c r="AK1136" s="476"/>
      <c r="AL1136" s="476"/>
      <c r="AM1136" s="476"/>
      <c r="AN1136" s="476"/>
      <c r="AO1136" s="476"/>
      <c r="AP1136" s="476"/>
      <c r="AQ1136" s="476"/>
      <c r="AR1136" s="476"/>
      <c r="AS1136" s="476"/>
      <c r="AT1136" s="476"/>
      <c r="AU1136" s="476"/>
    </row>
    <row r="1137" spans="1:47" s="398" customFormat="1" ht="13.15" customHeight="1" x14ac:dyDescent="0.2">
      <c r="A1137" s="476"/>
      <c r="D1137" s="467"/>
      <c r="F1137" s="468"/>
      <c r="G1137" s="468"/>
      <c r="H1137" s="468"/>
      <c r="I1137" s="468"/>
      <c r="J1137" s="469"/>
      <c r="L1137" s="476"/>
      <c r="M1137" s="476"/>
      <c r="N1137" s="476"/>
      <c r="O1137" s="476"/>
      <c r="P1137" s="476"/>
      <c r="Q1137" s="476"/>
      <c r="R1137" s="476"/>
      <c r="S1137" s="476"/>
      <c r="T1137" s="476"/>
      <c r="U1137" s="476"/>
      <c r="V1137" s="476"/>
      <c r="W1137" s="476"/>
      <c r="X1137" s="476"/>
      <c r="Y1137" s="476"/>
      <c r="Z1137" s="476"/>
      <c r="AA1137" s="476"/>
      <c r="AB1137" s="476"/>
      <c r="AC1137" s="476"/>
      <c r="AD1137" s="476"/>
      <c r="AE1137" s="476"/>
      <c r="AF1137" s="476"/>
      <c r="AG1137" s="476"/>
      <c r="AH1137" s="476"/>
      <c r="AI1137" s="476"/>
      <c r="AJ1137" s="476"/>
      <c r="AK1137" s="476"/>
      <c r="AL1137" s="476"/>
      <c r="AM1137" s="476"/>
      <c r="AN1137" s="476"/>
      <c r="AO1137" s="476"/>
      <c r="AP1137" s="476"/>
      <c r="AQ1137" s="476"/>
      <c r="AR1137" s="476"/>
      <c r="AS1137" s="476"/>
      <c r="AT1137" s="476"/>
      <c r="AU1137" s="476"/>
    </row>
    <row r="1138" spans="1:47" s="398" customFormat="1" ht="13.15" customHeight="1" x14ac:dyDescent="0.2">
      <c r="A1138" s="476"/>
      <c r="D1138" s="467"/>
      <c r="F1138" s="468"/>
      <c r="G1138" s="468"/>
      <c r="H1138" s="468"/>
      <c r="I1138" s="468"/>
      <c r="J1138" s="469"/>
      <c r="L1138" s="476"/>
      <c r="M1138" s="476"/>
      <c r="N1138" s="476"/>
      <c r="O1138" s="476"/>
      <c r="P1138" s="476"/>
      <c r="Q1138" s="476"/>
      <c r="R1138" s="476"/>
      <c r="S1138" s="476"/>
      <c r="T1138" s="476"/>
      <c r="U1138" s="476"/>
      <c r="V1138" s="476"/>
      <c r="W1138" s="476"/>
      <c r="X1138" s="476"/>
      <c r="Y1138" s="476"/>
      <c r="Z1138" s="476"/>
      <c r="AA1138" s="476"/>
      <c r="AB1138" s="476"/>
      <c r="AC1138" s="476"/>
      <c r="AD1138" s="476"/>
      <c r="AE1138" s="476"/>
      <c r="AF1138" s="476"/>
      <c r="AG1138" s="476"/>
      <c r="AH1138" s="476"/>
      <c r="AI1138" s="476"/>
      <c r="AJ1138" s="476"/>
      <c r="AK1138" s="476"/>
      <c r="AL1138" s="476"/>
      <c r="AM1138" s="476"/>
      <c r="AN1138" s="476"/>
      <c r="AO1138" s="476"/>
      <c r="AP1138" s="476"/>
      <c r="AQ1138" s="476"/>
      <c r="AR1138" s="476"/>
      <c r="AS1138" s="476"/>
      <c r="AT1138" s="476"/>
      <c r="AU1138" s="476"/>
    </row>
    <row r="1139" spans="1:47" s="398" customFormat="1" ht="13.15" customHeight="1" x14ac:dyDescent="0.2">
      <c r="A1139" s="476"/>
      <c r="D1139" s="467"/>
      <c r="F1139" s="468"/>
      <c r="G1139" s="468"/>
      <c r="H1139" s="468"/>
      <c r="I1139" s="468"/>
      <c r="J1139" s="469"/>
      <c r="L1139" s="476"/>
      <c r="M1139" s="476"/>
      <c r="N1139" s="476"/>
      <c r="O1139" s="476"/>
      <c r="P1139" s="476"/>
      <c r="Q1139" s="476"/>
      <c r="R1139" s="476"/>
      <c r="S1139" s="476"/>
      <c r="T1139" s="476"/>
      <c r="U1139" s="476"/>
      <c r="V1139" s="476"/>
      <c r="W1139" s="476"/>
      <c r="X1139" s="476"/>
      <c r="Y1139" s="476"/>
      <c r="Z1139" s="476"/>
      <c r="AA1139" s="476"/>
      <c r="AB1139" s="476"/>
      <c r="AC1139" s="476"/>
      <c r="AD1139" s="476"/>
      <c r="AE1139" s="476"/>
      <c r="AF1139" s="476"/>
      <c r="AG1139" s="476"/>
      <c r="AH1139" s="476"/>
      <c r="AI1139" s="476"/>
      <c r="AJ1139" s="476"/>
      <c r="AK1139" s="476"/>
      <c r="AL1139" s="476"/>
      <c r="AM1139" s="476"/>
      <c r="AN1139" s="476"/>
      <c r="AO1139" s="476"/>
      <c r="AP1139" s="476"/>
      <c r="AQ1139" s="476"/>
      <c r="AR1139" s="476"/>
      <c r="AS1139" s="476"/>
      <c r="AT1139" s="476"/>
      <c r="AU1139" s="476"/>
    </row>
    <row r="1140" spans="1:47" s="398" customFormat="1" ht="13.15" customHeight="1" x14ac:dyDescent="0.2">
      <c r="A1140" s="476"/>
      <c r="D1140" s="467"/>
      <c r="F1140" s="468"/>
      <c r="G1140" s="468"/>
      <c r="H1140" s="468"/>
      <c r="I1140" s="468"/>
      <c r="J1140" s="469"/>
      <c r="L1140" s="476"/>
      <c r="M1140" s="476"/>
      <c r="N1140" s="476"/>
      <c r="O1140" s="476"/>
      <c r="P1140" s="476"/>
      <c r="Q1140" s="476"/>
      <c r="R1140" s="476"/>
      <c r="S1140" s="476"/>
      <c r="T1140" s="476"/>
      <c r="U1140" s="476"/>
      <c r="V1140" s="476"/>
      <c r="W1140" s="476"/>
      <c r="X1140" s="476"/>
      <c r="Y1140" s="476"/>
      <c r="Z1140" s="476"/>
      <c r="AA1140" s="476"/>
      <c r="AB1140" s="476"/>
      <c r="AC1140" s="476"/>
      <c r="AD1140" s="476"/>
      <c r="AE1140" s="476"/>
      <c r="AF1140" s="476"/>
      <c r="AG1140" s="476"/>
      <c r="AH1140" s="476"/>
      <c r="AI1140" s="476"/>
      <c r="AJ1140" s="476"/>
      <c r="AK1140" s="476"/>
      <c r="AL1140" s="476"/>
      <c r="AM1140" s="476"/>
      <c r="AN1140" s="476"/>
      <c r="AO1140" s="476"/>
      <c r="AP1140" s="476"/>
      <c r="AQ1140" s="476"/>
      <c r="AR1140" s="476"/>
      <c r="AS1140" s="476"/>
      <c r="AT1140" s="476"/>
      <c r="AU1140" s="476"/>
    </row>
    <row r="1141" spans="1:47" s="398" customFormat="1" ht="13.15" customHeight="1" x14ac:dyDescent="0.2">
      <c r="A1141" s="476"/>
      <c r="D1141" s="467"/>
      <c r="F1141" s="468"/>
      <c r="G1141" s="468"/>
      <c r="H1141" s="468"/>
      <c r="I1141" s="468"/>
      <c r="J1141" s="469"/>
      <c r="L1141" s="476"/>
      <c r="M1141" s="476"/>
      <c r="N1141" s="476"/>
      <c r="O1141" s="476"/>
      <c r="P1141" s="476"/>
      <c r="Q1141" s="476"/>
      <c r="R1141" s="476"/>
      <c r="S1141" s="476"/>
      <c r="T1141" s="476"/>
      <c r="U1141" s="476"/>
      <c r="V1141" s="476"/>
      <c r="W1141" s="476"/>
      <c r="X1141" s="476"/>
      <c r="Y1141" s="476"/>
      <c r="Z1141" s="476"/>
      <c r="AA1141" s="476"/>
      <c r="AB1141" s="476"/>
      <c r="AC1141" s="476"/>
      <c r="AD1141" s="476"/>
      <c r="AE1141" s="476"/>
      <c r="AF1141" s="476"/>
      <c r="AG1141" s="476"/>
      <c r="AH1141" s="476"/>
      <c r="AI1141" s="476"/>
      <c r="AJ1141" s="476"/>
      <c r="AK1141" s="476"/>
      <c r="AL1141" s="476"/>
      <c r="AM1141" s="476"/>
      <c r="AN1141" s="476"/>
      <c r="AO1141" s="476"/>
      <c r="AP1141" s="476"/>
      <c r="AQ1141" s="476"/>
      <c r="AR1141" s="476"/>
      <c r="AS1141" s="476"/>
      <c r="AT1141" s="476"/>
      <c r="AU1141" s="476"/>
    </row>
    <row r="1142" spans="1:47" s="398" customFormat="1" ht="13.15" customHeight="1" x14ac:dyDescent="0.2">
      <c r="A1142" s="476"/>
      <c r="D1142" s="467"/>
      <c r="F1142" s="468"/>
      <c r="G1142" s="468"/>
      <c r="H1142" s="468"/>
      <c r="I1142" s="468"/>
      <c r="J1142" s="469"/>
      <c r="L1142" s="476"/>
      <c r="M1142" s="476"/>
      <c r="N1142" s="476"/>
      <c r="O1142" s="476"/>
      <c r="P1142" s="476"/>
      <c r="Q1142" s="476"/>
      <c r="R1142" s="476"/>
      <c r="S1142" s="476"/>
      <c r="T1142" s="476"/>
      <c r="U1142" s="476"/>
      <c r="V1142" s="476"/>
      <c r="W1142" s="476"/>
      <c r="X1142" s="476"/>
      <c r="Y1142" s="476"/>
      <c r="Z1142" s="476"/>
      <c r="AA1142" s="476"/>
      <c r="AB1142" s="476"/>
      <c r="AC1142" s="476"/>
      <c r="AD1142" s="476"/>
      <c r="AE1142" s="476"/>
      <c r="AF1142" s="476"/>
      <c r="AG1142" s="476"/>
      <c r="AH1142" s="476"/>
      <c r="AI1142" s="476"/>
      <c r="AJ1142" s="476"/>
      <c r="AK1142" s="476"/>
      <c r="AL1142" s="476"/>
      <c r="AM1142" s="476"/>
      <c r="AN1142" s="476"/>
      <c r="AO1142" s="476"/>
      <c r="AP1142" s="476"/>
      <c r="AQ1142" s="476"/>
      <c r="AR1142" s="476"/>
      <c r="AS1142" s="476"/>
      <c r="AT1142" s="476"/>
      <c r="AU1142" s="476"/>
    </row>
    <row r="1143" spans="1:47" s="398" customFormat="1" ht="13.15" customHeight="1" x14ac:dyDescent="0.2">
      <c r="A1143" s="476"/>
      <c r="D1143" s="467"/>
      <c r="F1143" s="468"/>
      <c r="G1143" s="468"/>
      <c r="H1143" s="468"/>
      <c r="I1143" s="468"/>
      <c r="J1143" s="469"/>
      <c r="L1143" s="476"/>
      <c r="M1143" s="476"/>
      <c r="N1143" s="476"/>
      <c r="O1143" s="476"/>
      <c r="P1143" s="476"/>
      <c r="Q1143" s="476"/>
      <c r="R1143" s="476"/>
      <c r="S1143" s="476"/>
      <c r="T1143" s="476"/>
      <c r="U1143" s="476"/>
      <c r="V1143" s="476"/>
      <c r="W1143" s="476"/>
      <c r="X1143" s="476"/>
      <c r="Y1143" s="476"/>
      <c r="Z1143" s="476"/>
      <c r="AA1143" s="476"/>
      <c r="AB1143" s="476"/>
      <c r="AC1143" s="476"/>
      <c r="AD1143" s="476"/>
      <c r="AE1143" s="476"/>
      <c r="AF1143" s="476"/>
      <c r="AG1143" s="476"/>
      <c r="AH1143" s="476"/>
      <c r="AI1143" s="476"/>
      <c r="AJ1143" s="476"/>
      <c r="AK1143" s="476"/>
      <c r="AL1143" s="476"/>
      <c r="AM1143" s="476"/>
      <c r="AN1143" s="476"/>
      <c r="AO1143" s="476"/>
      <c r="AP1143" s="476"/>
      <c r="AQ1143" s="476"/>
      <c r="AR1143" s="476"/>
      <c r="AS1143" s="476"/>
      <c r="AT1143" s="476"/>
      <c r="AU1143" s="476"/>
    </row>
    <row r="1144" spans="1:47" s="398" customFormat="1" ht="13.15" customHeight="1" x14ac:dyDescent="0.2">
      <c r="A1144" s="476"/>
      <c r="D1144" s="467"/>
      <c r="F1144" s="468"/>
      <c r="G1144" s="468"/>
      <c r="H1144" s="468"/>
      <c r="I1144" s="468"/>
      <c r="J1144" s="469"/>
      <c r="L1144" s="476"/>
      <c r="M1144" s="476"/>
      <c r="N1144" s="476"/>
      <c r="O1144" s="476"/>
      <c r="P1144" s="476"/>
      <c r="Q1144" s="476"/>
      <c r="R1144" s="476"/>
      <c r="S1144" s="476"/>
      <c r="T1144" s="476"/>
      <c r="U1144" s="476"/>
      <c r="V1144" s="476"/>
      <c r="W1144" s="476"/>
      <c r="X1144" s="476"/>
      <c r="Y1144" s="476"/>
      <c r="Z1144" s="476"/>
      <c r="AA1144" s="476"/>
      <c r="AB1144" s="476"/>
      <c r="AC1144" s="476"/>
      <c r="AD1144" s="476"/>
      <c r="AE1144" s="476"/>
      <c r="AF1144" s="476"/>
      <c r="AG1144" s="476"/>
      <c r="AH1144" s="476"/>
      <c r="AI1144" s="476"/>
      <c r="AJ1144" s="476"/>
      <c r="AK1144" s="476"/>
      <c r="AL1144" s="476"/>
      <c r="AM1144" s="476"/>
      <c r="AN1144" s="476"/>
      <c r="AO1144" s="476"/>
      <c r="AP1144" s="476"/>
      <c r="AQ1144" s="476"/>
      <c r="AR1144" s="476"/>
      <c r="AS1144" s="476"/>
      <c r="AT1144" s="476"/>
      <c r="AU1144" s="476"/>
    </row>
    <row r="1145" spans="1:47" s="398" customFormat="1" ht="13.15" customHeight="1" x14ac:dyDescent="0.2">
      <c r="A1145" s="476"/>
      <c r="D1145" s="467"/>
      <c r="F1145" s="468"/>
      <c r="G1145" s="468"/>
      <c r="H1145" s="468"/>
      <c r="I1145" s="468"/>
      <c r="J1145" s="469"/>
      <c r="L1145" s="476"/>
      <c r="M1145" s="476"/>
      <c r="N1145" s="476"/>
      <c r="O1145" s="476"/>
      <c r="P1145" s="476"/>
      <c r="Q1145" s="476"/>
      <c r="R1145" s="476"/>
      <c r="S1145" s="476"/>
      <c r="T1145" s="476"/>
      <c r="U1145" s="476"/>
      <c r="V1145" s="476"/>
      <c r="W1145" s="476"/>
      <c r="X1145" s="476"/>
      <c r="Y1145" s="476"/>
      <c r="Z1145" s="476"/>
      <c r="AA1145" s="476"/>
      <c r="AB1145" s="476"/>
      <c r="AC1145" s="476"/>
      <c r="AD1145" s="476"/>
      <c r="AE1145" s="476"/>
      <c r="AF1145" s="476"/>
      <c r="AG1145" s="476"/>
      <c r="AH1145" s="476"/>
      <c r="AI1145" s="476"/>
      <c r="AJ1145" s="476"/>
      <c r="AK1145" s="476"/>
      <c r="AL1145" s="476"/>
      <c r="AM1145" s="476"/>
      <c r="AN1145" s="476"/>
      <c r="AO1145" s="476"/>
      <c r="AP1145" s="476"/>
      <c r="AQ1145" s="476"/>
      <c r="AR1145" s="476"/>
      <c r="AS1145" s="476"/>
      <c r="AT1145" s="476"/>
      <c r="AU1145" s="476"/>
    </row>
    <row r="1146" spans="1:47" s="398" customFormat="1" ht="13.15" customHeight="1" x14ac:dyDescent="0.2">
      <c r="A1146" s="476"/>
      <c r="D1146" s="467"/>
      <c r="F1146" s="468"/>
      <c r="G1146" s="468"/>
      <c r="H1146" s="468"/>
      <c r="I1146" s="468"/>
      <c r="J1146" s="469"/>
      <c r="L1146" s="476"/>
      <c r="M1146" s="476"/>
      <c r="N1146" s="476"/>
      <c r="O1146" s="476"/>
      <c r="P1146" s="476"/>
      <c r="Q1146" s="476"/>
      <c r="R1146" s="476"/>
      <c r="S1146" s="476"/>
      <c r="T1146" s="476"/>
      <c r="U1146" s="476"/>
      <c r="V1146" s="476"/>
      <c r="W1146" s="476"/>
      <c r="X1146" s="476"/>
      <c r="Y1146" s="476"/>
      <c r="Z1146" s="476"/>
      <c r="AA1146" s="476"/>
      <c r="AB1146" s="476"/>
      <c r="AC1146" s="476"/>
      <c r="AD1146" s="476"/>
      <c r="AE1146" s="476"/>
      <c r="AF1146" s="476"/>
      <c r="AG1146" s="476"/>
      <c r="AH1146" s="476"/>
      <c r="AI1146" s="476"/>
      <c r="AJ1146" s="476"/>
      <c r="AK1146" s="476"/>
      <c r="AL1146" s="476"/>
      <c r="AM1146" s="476"/>
      <c r="AN1146" s="476"/>
      <c r="AO1146" s="476"/>
      <c r="AP1146" s="476"/>
      <c r="AQ1146" s="476"/>
      <c r="AR1146" s="476"/>
      <c r="AS1146" s="476"/>
      <c r="AT1146" s="476"/>
      <c r="AU1146" s="476"/>
    </row>
    <row r="1147" spans="1:47" s="398" customFormat="1" ht="13.15" customHeight="1" x14ac:dyDescent="0.2">
      <c r="A1147" s="476"/>
      <c r="D1147" s="467"/>
      <c r="F1147" s="468"/>
      <c r="G1147" s="468"/>
      <c r="H1147" s="468"/>
      <c r="I1147" s="468"/>
      <c r="J1147" s="469"/>
      <c r="L1147" s="476"/>
      <c r="M1147" s="476"/>
      <c r="N1147" s="476"/>
      <c r="O1147" s="476"/>
      <c r="P1147" s="476"/>
      <c r="Q1147" s="476"/>
      <c r="R1147" s="476"/>
      <c r="S1147" s="476"/>
      <c r="T1147" s="476"/>
      <c r="U1147" s="476"/>
      <c r="V1147" s="476"/>
      <c r="W1147" s="476"/>
      <c r="X1147" s="476"/>
      <c r="Y1147" s="476"/>
      <c r="Z1147" s="476"/>
      <c r="AA1147" s="476"/>
      <c r="AB1147" s="476"/>
      <c r="AC1147" s="476"/>
      <c r="AD1147" s="476"/>
      <c r="AE1147" s="476"/>
      <c r="AF1147" s="476"/>
      <c r="AG1147" s="476"/>
      <c r="AH1147" s="476"/>
      <c r="AI1147" s="476"/>
      <c r="AJ1147" s="476"/>
      <c r="AK1147" s="476"/>
      <c r="AL1147" s="476"/>
      <c r="AM1147" s="476"/>
      <c r="AN1147" s="476"/>
      <c r="AO1147" s="476"/>
      <c r="AP1147" s="476"/>
      <c r="AQ1147" s="476"/>
      <c r="AR1147" s="476"/>
      <c r="AS1147" s="476"/>
      <c r="AT1147" s="476"/>
      <c r="AU1147" s="476"/>
    </row>
    <row r="1148" spans="1:47" s="398" customFormat="1" ht="13.15" customHeight="1" x14ac:dyDescent="0.2">
      <c r="A1148" s="476"/>
      <c r="D1148" s="467"/>
      <c r="F1148" s="468"/>
      <c r="G1148" s="468"/>
      <c r="H1148" s="468"/>
      <c r="I1148" s="468"/>
      <c r="J1148" s="469"/>
      <c r="L1148" s="476"/>
      <c r="M1148" s="476"/>
      <c r="N1148" s="476"/>
      <c r="O1148" s="476"/>
      <c r="P1148" s="476"/>
      <c r="Q1148" s="476"/>
      <c r="R1148" s="476"/>
      <c r="S1148" s="476"/>
      <c r="T1148" s="476"/>
      <c r="U1148" s="476"/>
      <c r="V1148" s="476"/>
      <c r="W1148" s="476"/>
      <c r="X1148" s="476"/>
      <c r="Y1148" s="476"/>
      <c r="Z1148" s="476"/>
      <c r="AA1148" s="476"/>
      <c r="AB1148" s="476"/>
      <c r="AC1148" s="476"/>
      <c r="AD1148" s="476"/>
      <c r="AE1148" s="476"/>
      <c r="AF1148" s="476"/>
      <c r="AG1148" s="476"/>
      <c r="AH1148" s="476"/>
      <c r="AI1148" s="476"/>
      <c r="AJ1148" s="476"/>
      <c r="AK1148" s="476"/>
      <c r="AL1148" s="476"/>
      <c r="AM1148" s="476"/>
      <c r="AN1148" s="476"/>
      <c r="AO1148" s="476"/>
      <c r="AP1148" s="476"/>
      <c r="AQ1148" s="476"/>
      <c r="AR1148" s="476"/>
      <c r="AS1148" s="476"/>
      <c r="AT1148" s="476"/>
      <c r="AU1148" s="476"/>
    </row>
    <row r="1149" spans="1:47" s="398" customFormat="1" ht="13.15" customHeight="1" x14ac:dyDescent="0.2">
      <c r="A1149" s="476"/>
      <c r="D1149" s="467"/>
      <c r="F1149" s="468"/>
      <c r="G1149" s="468"/>
      <c r="H1149" s="468"/>
      <c r="I1149" s="468"/>
      <c r="J1149" s="469"/>
      <c r="L1149" s="476"/>
      <c r="M1149" s="476"/>
      <c r="N1149" s="476"/>
      <c r="O1149" s="476"/>
      <c r="P1149" s="476"/>
      <c r="Q1149" s="476"/>
      <c r="R1149" s="476"/>
      <c r="S1149" s="476"/>
      <c r="T1149" s="476"/>
      <c r="U1149" s="476"/>
      <c r="V1149" s="476"/>
      <c r="W1149" s="476"/>
      <c r="X1149" s="476"/>
      <c r="Y1149" s="476"/>
      <c r="Z1149" s="476"/>
      <c r="AA1149" s="476"/>
      <c r="AB1149" s="476"/>
      <c r="AC1149" s="476"/>
      <c r="AD1149" s="476"/>
      <c r="AE1149" s="476"/>
      <c r="AF1149" s="476"/>
      <c r="AG1149" s="476"/>
      <c r="AH1149" s="476"/>
      <c r="AI1149" s="476"/>
      <c r="AJ1149" s="476"/>
      <c r="AK1149" s="476"/>
      <c r="AL1149" s="476"/>
      <c r="AM1149" s="476"/>
      <c r="AN1149" s="476"/>
      <c r="AO1149" s="476"/>
      <c r="AP1149" s="476"/>
      <c r="AQ1149" s="476"/>
      <c r="AR1149" s="476"/>
      <c r="AS1149" s="476"/>
      <c r="AT1149" s="476"/>
      <c r="AU1149" s="476"/>
    </row>
    <row r="1150" spans="1:47" s="398" customFormat="1" ht="13.15" customHeight="1" x14ac:dyDescent="0.2">
      <c r="A1150" s="476"/>
      <c r="D1150" s="467"/>
      <c r="F1150" s="468"/>
      <c r="G1150" s="468"/>
      <c r="H1150" s="468"/>
      <c r="I1150" s="468"/>
      <c r="J1150" s="469"/>
      <c r="L1150" s="476"/>
      <c r="M1150" s="476"/>
      <c r="N1150" s="476"/>
      <c r="O1150" s="476"/>
      <c r="P1150" s="476"/>
      <c r="Q1150" s="476"/>
      <c r="R1150" s="476"/>
      <c r="S1150" s="476"/>
      <c r="T1150" s="476"/>
      <c r="U1150" s="476"/>
      <c r="V1150" s="476"/>
      <c r="W1150" s="476"/>
      <c r="X1150" s="476"/>
      <c r="Y1150" s="476"/>
      <c r="Z1150" s="476"/>
      <c r="AA1150" s="476"/>
      <c r="AB1150" s="476"/>
      <c r="AC1150" s="476"/>
      <c r="AD1150" s="476"/>
      <c r="AE1150" s="476"/>
      <c r="AF1150" s="476"/>
      <c r="AG1150" s="476"/>
      <c r="AH1150" s="476"/>
      <c r="AI1150" s="476"/>
      <c r="AJ1150" s="476"/>
      <c r="AK1150" s="476"/>
      <c r="AL1150" s="476"/>
      <c r="AM1150" s="476"/>
      <c r="AN1150" s="476"/>
      <c r="AO1150" s="476"/>
      <c r="AP1150" s="476"/>
      <c r="AQ1150" s="476"/>
      <c r="AR1150" s="476"/>
      <c r="AS1150" s="476"/>
      <c r="AT1150" s="476"/>
      <c r="AU1150" s="476"/>
    </row>
    <row r="1151" spans="1:47" s="398" customFormat="1" ht="13.15" customHeight="1" x14ac:dyDescent="0.2">
      <c r="A1151" s="476"/>
      <c r="D1151" s="467"/>
      <c r="F1151" s="468"/>
      <c r="G1151" s="468"/>
      <c r="H1151" s="468"/>
      <c r="I1151" s="468"/>
      <c r="J1151" s="469"/>
      <c r="L1151" s="476"/>
      <c r="M1151" s="476"/>
      <c r="N1151" s="476"/>
      <c r="O1151" s="476"/>
      <c r="P1151" s="476"/>
      <c r="Q1151" s="476"/>
      <c r="R1151" s="476"/>
      <c r="S1151" s="476"/>
      <c r="T1151" s="476"/>
      <c r="U1151" s="476"/>
      <c r="V1151" s="476"/>
      <c r="W1151" s="476"/>
      <c r="X1151" s="476"/>
      <c r="Y1151" s="476"/>
      <c r="Z1151" s="476"/>
      <c r="AA1151" s="476"/>
      <c r="AB1151" s="476"/>
      <c r="AC1151" s="476"/>
      <c r="AD1151" s="476"/>
      <c r="AE1151" s="476"/>
      <c r="AF1151" s="476"/>
      <c r="AG1151" s="476"/>
      <c r="AH1151" s="476"/>
      <c r="AI1151" s="476"/>
      <c r="AJ1151" s="476"/>
      <c r="AK1151" s="476"/>
      <c r="AL1151" s="476"/>
      <c r="AM1151" s="476"/>
      <c r="AN1151" s="476"/>
      <c r="AO1151" s="476"/>
      <c r="AP1151" s="476"/>
      <c r="AQ1151" s="476"/>
      <c r="AR1151" s="476"/>
      <c r="AS1151" s="476"/>
      <c r="AT1151" s="476"/>
      <c r="AU1151" s="476"/>
    </row>
    <row r="1152" spans="1:47" s="398" customFormat="1" ht="13.15" customHeight="1" x14ac:dyDescent="0.2">
      <c r="A1152" s="476"/>
      <c r="D1152" s="467"/>
      <c r="F1152" s="468"/>
      <c r="G1152" s="468"/>
      <c r="H1152" s="468"/>
      <c r="I1152" s="468"/>
      <c r="J1152" s="469"/>
      <c r="L1152" s="476"/>
      <c r="M1152" s="476"/>
      <c r="N1152" s="476"/>
      <c r="O1152" s="476"/>
      <c r="P1152" s="476"/>
      <c r="Q1152" s="476"/>
      <c r="R1152" s="476"/>
      <c r="S1152" s="476"/>
      <c r="T1152" s="476"/>
      <c r="U1152" s="476"/>
      <c r="V1152" s="476"/>
      <c r="W1152" s="476"/>
      <c r="X1152" s="476"/>
      <c r="Y1152" s="476"/>
      <c r="Z1152" s="476"/>
      <c r="AA1152" s="476"/>
      <c r="AB1152" s="476"/>
      <c r="AC1152" s="476"/>
      <c r="AD1152" s="476"/>
      <c r="AE1152" s="476"/>
      <c r="AF1152" s="476"/>
      <c r="AG1152" s="476"/>
      <c r="AH1152" s="476"/>
      <c r="AI1152" s="476"/>
      <c r="AJ1152" s="476"/>
      <c r="AK1152" s="476"/>
      <c r="AL1152" s="476"/>
      <c r="AM1152" s="476"/>
      <c r="AN1152" s="476"/>
      <c r="AO1152" s="476"/>
      <c r="AP1152" s="476"/>
      <c r="AQ1152" s="476"/>
      <c r="AR1152" s="476"/>
      <c r="AS1152" s="476"/>
      <c r="AT1152" s="476"/>
      <c r="AU1152" s="476"/>
    </row>
    <row r="1153" spans="1:47" s="398" customFormat="1" ht="13.15" customHeight="1" x14ac:dyDescent="0.2">
      <c r="A1153" s="476"/>
      <c r="D1153" s="467"/>
      <c r="F1153" s="468"/>
      <c r="G1153" s="468"/>
      <c r="H1153" s="468"/>
      <c r="I1153" s="468"/>
      <c r="J1153" s="469"/>
      <c r="L1153" s="476"/>
      <c r="M1153" s="476"/>
      <c r="N1153" s="476"/>
      <c r="O1153" s="476"/>
      <c r="P1153" s="476"/>
      <c r="Q1153" s="476"/>
      <c r="R1153" s="476"/>
      <c r="S1153" s="476"/>
      <c r="T1153" s="476"/>
      <c r="U1153" s="476"/>
      <c r="V1153" s="476"/>
      <c r="W1153" s="476"/>
      <c r="X1153" s="476"/>
      <c r="Y1153" s="476"/>
      <c r="Z1153" s="476"/>
      <c r="AA1153" s="476"/>
      <c r="AB1153" s="476"/>
      <c r="AC1153" s="476"/>
      <c r="AD1153" s="476"/>
      <c r="AE1153" s="476"/>
      <c r="AF1153" s="476"/>
      <c r="AG1153" s="476"/>
      <c r="AH1153" s="476"/>
      <c r="AI1153" s="476"/>
      <c r="AJ1153" s="476"/>
      <c r="AK1153" s="476"/>
      <c r="AL1153" s="476"/>
      <c r="AM1153" s="476"/>
      <c r="AN1153" s="476"/>
      <c r="AO1153" s="476"/>
      <c r="AP1153" s="476"/>
      <c r="AQ1153" s="476"/>
      <c r="AR1153" s="476"/>
      <c r="AS1153" s="476"/>
      <c r="AT1153" s="476"/>
      <c r="AU1153" s="476"/>
    </row>
    <row r="1154" spans="1:47" s="398" customFormat="1" ht="13.15" customHeight="1" x14ac:dyDescent="0.2">
      <c r="A1154" s="476"/>
      <c r="D1154" s="467"/>
      <c r="F1154" s="468"/>
      <c r="G1154" s="468"/>
      <c r="H1154" s="468"/>
      <c r="I1154" s="468"/>
      <c r="J1154" s="469"/>
      <c r="L1154" s="476"/>
      <c r="M1154" s="476"/>
      <c r="N1154" s="476"/>
      <c r="O1154" s="476"/>
      <c r="P1154" s="476"/>
      <c r="Q1154" s="476"/>
      <c r="R1154" s="476"/>
      <c r="S1154" s="476"/>
      <c r="T1154" s="476"/>
      <c r="U1154" s="476"/>
      <c r="V1154" s="476"/>
      <c r="W1154" s="476"/>
      <c r="X1154" s="476"/>
      <c r="Y1154" s="476"/>
      <c r="Z1154" s="476"/>
      <c r="AA1154" s="476"/>
      <c r="AB1154" s="476"/>
      <c r="AC1154" s="476"/>
      <c r="AD1154" s="476"/>
      <c r="AE1154" s="476"/>
      <c r="AF1154" s="476"/>
      <c r="AG1154" s="476"/>
      <c r="AH1154" s="476"/>
      <c r="AI1154" s="476"/>
      <c r="AJ1154" s="476"/>
      <c r="AK1154" s="476"/>
      <c r="AL1154" s="476"/>
      <c r="AM1154" s="476"/>
      <c r="AN1154" s="476"/>
      <c r="AO1154" s="476"/>
      <c r="AP1154" s="476"/>
      <c r="AQ1154" s="476"/>
      <c r="AR1154" s="476"/>
      <c r="AS1154" s="476"/>
      <c r="AT1154" s="476"/>
      <c r="AU1154" s="476"/>
    </row>
    <row r="1155" spans="1:47" s="398" customFormat="1" ht="13.15" customHeight="1" x14ac:dyDescent="0.2">
      <c r="A1155" s="476"/>
      <c r="D1155" s="467"/>
      <c r="F1155" s="468"/>
      <c r="G1155" s="468"/>
      <c r="H1155" s="468"/>
      <c r="I1155" s="468"/>
      <c r="J1155" s="469"/>
      <c r="L1155" s="476"/>
      <c r="M1155" s="476"/>
      <c r="N1155" s="476"/>
      <c r="O1155" s="476"/>
      <c r="P1155" s="476"/>
      <c r="Q1155" s="476"/>
      <c r="R1155" s="476"/>
      <c r="S1155" s="476"/>
      <c r="T1155" s="476"/>
      <c r="U1155" s="476"/>
      <c r="V1155" s="476"/>
      <c r="W1155" s="476"/>
      <c r="X1155" s="476"/>
      <c r="Y1155" s="476"/>
      <c r="Z1155" s="476"/>
      <c r="AA1155" s="476"/>
      <c r="AB1155" s="476"/>
      <c r="AC1155" s="476"/>
      <c r="AD1155" s="476"/>
      <c r="AE1155" s="476"/>
      <c r="AF1155" s="476"/>
      <c r="AG1155" s="476"/>
      <c r="AH1155" s="476"/>
      <c r="AI1155" s="476"/>
      <c r="AJ1155" s="476"/>
      <c r="AK1155" s="476"/>
      <c r="AL1155" s="476"/>
      <c r="AM1155" s="476"/>
      <c r="AN1155" s="476"/>
      <c r="AO1155" s="476"/>
      <c r="AP1155" s="476"/>
      <c r="AQ1155" s="476"/>
      <c r="AR1155" s="476"/>
      <c r="AS1155" s="476"/>
      <c r="AT1155" s="476"/>
      <c r="AU1155" s="476"/>
    </row>
    <row r="1156" spans="1:47" s="398" customFormat="1" ht="13.15" customHeight="1" x14ac:dyDescent="0.2">
      <c r="A1156" s="476"/>
      <c r="D1156" s="467"/>
      <c r="F1156" s="468"/>
      <c r="G1156" s="468"/>
      <c r="H1156" s="468"/>
      <c r="I1156" s="468"/>
      <c r="J1156" s="469"/>
      <c r="L1156" s="476"/>
      <c r="M1156" s="476"/>
      <c r="N1156" s="476"/>
      <c r="O1156" s="476"/>
      <c r="P1156" s="476"/>
      <c r="Q1156" s="476"/>
      <c r="R1156" s="476"/>
      <c r="S1156" s="476"/>
      <c r="T1156" s="476"/>
      <c r="U1156" s="476"/>
      <c r="V1156" s="476"/>
      <c r="W1156" s="476"/>
      <c r="X1156" s="476"/>
      <c r="Y1156" s="476"/>
      <c r="Z1156" s="476"/>
      <c r="AA1156" s="476"/>
      <c r="AB1156" s="476"/>
      <c r="AC1156" s="476"/>
      <c r="AD1156" s="476"/>
      <c r="AE1156" s="476"/>
      <c r="AF1156" s="476"/>
      <c r="AG1156" s="476"/>
      <c r="AH1156" s="476"/>
      <c r="AI1156" s="476"/>
      <c r="AJ1156" s="476"/>
      <c r="AK1156" s="476"/>
      <c r="AL1156" s="476"/>
      <c r="AM1156" s="476"/>
      <c r="AN1156" s="476"/>
      <c r="AO1156" s="476"/>
      <c r="AP1156" s="476"/>
      <c r="AQ1156" s="476"/>
      <c r="AR1156" s="476"/>
      <c r="AS1156" s="476"/>
      <c r="AT1156" s="476"/>
      <c r="AU1156" s="476"/>
    </row>
    <row r="1157" spans="1:47" s="398" customFormat="1" ht="13.15" customHeight="1" x14ac:dyDescent="0.2">
      <c r="A1157" s="476"/>
      <c r="D1157" s="467"/>
      <c r="F1157" s="468"/>
      <c r="G1157" s="468"/>
      <c r="H1157" s="468"/>
      <c r="I1157" s="468"/>
      <c r="J1157" s="469"/>
      <c r="L1157" s="476"/>
      <c r="M1157" s="476"/>
      <c r="N1157" s="476"/>
      <c r="O1157" s="476"/>
      <c r="P1157" s="476"/>
      <c r="Q1157" s="476"/>
      <c r="R1157" s="476"/>
      <c r="S1157" s="476"/>
      <c r="T1157" s="476"/>
      <c r="U1157" s="476"/>
      <c r="V1157" s="476"/>
      <c r="W1157" s="476"/>
      <c r="X1157" s="476"/>
      <c r="Y1157" s="476"/>
      <c r="Z1157" s="476"/>
      <c r="AA1157" s="476"/>
      <c r="AB1157" s="476"/>
      <c r="AC1157" s="476"/>
      <c r="AD1157" s="476"/>
      <c r="AE1157" s="476"/>
      <c r="AF1157" s="476"/>
      <c r="AG1157" s="476"/>
      <c r="AH1157" s="476"/>
      <c r="AI1157" s="476"/>
      <c r="AJ1157" s="476"/>
      <c r="AK1157" s="476"/>
      <c r="AL1157" s="476"/>
      <c r="AM1157" s="476"/>
      <c r="AN1157" s="476"/>
      <c r="AO1157" s="476"/>
      <c r="AP1157" s="476"/>
      <c r="AQ1157" s="476"/>
      <c r="AR1157" s="476"/>
      <c r="AS1157" s="476"/>
      <c r="AT1157" s="476"/>
      <c r="AU1157" s="476"/>
    </row>
    <row r="1158" spans="1:47" s="398" customFormat="1" ht="13.15" customHeight="1" x14ac:dyDescent="0.2">
      <c r="A1158" s="476"/>
      <c r="D1158" s="467"/>
      <c r="F1158" s="468"/>
      <c r="G1158" s="468"/>
      <c r="H1158" s="468"/>
      <c r="I1158" s="468"/>
      <c r="J1158" s="469"/>
      <c r="L1158" s="476"/>
      <c r="M1158" s="476"/>
      <c r="N1158" s="476"/>
      <c r="O1158" s="476"/>
      <c r="P1158" s="476"/>
      <c r="Q1158" s="476"/>
      <c r="R1158" s="476"/>
      <c r="S1158" s="476"/>
      <c r="T1158" s="476"/>
      <c r="U1158" s="476"/>
      <c r="V1158" s="476"/>
      <c r="W1158" s="476"/>
      <c r="X1158" s="476"/>
      <c r="Y1158" s="476"/>
      <c r="Z1158" s="476"/>
      <c r="AA1158" s="476"/>
      <c r="AB1158" s="476"/>
      <c r="AC1158" s="476"/>
      <c r="AD1158" s="476"/>
      <c r="AE1158" s="476"/>
      <c r="AF1158" s="476"/>
      <c r="AG1158" s="476"/>
      <c r="AH1158" s="476"/>
      <c r="AI1158" s="476"/>
      <c r="AJ1158" s="476"/>
      <c r="AK1158" s="476"/>
      <c r="AL1158" s="476"/>
      <c r="AM1158" s="476"/>
      <c r="AN1158" s="476"/>
      <c r="AO1158" s="476"/>
      <c r="AP1158" s="476"/>
      <c r="AQ1158" s="476"/>
      <c r="AR1158" s="476"/>
      <c r="AS1158" s="476"/>
      <c r="AT1158" s="476"/>
      <c r="AU1158" s="476"/>
    </row>
    <row r="1159" spans="1:47" s="398" customFormat="1" ht="13.15" customHeight="1" x14ac:dyDescent="0.2">
      <c r="A1159" s="476"/>
      <c r="D1159" s="467"/>
      <c r="F1159" s="468"/>
      <c r="G1159" s="468"/>
      <c r="H1159" s="468"/>
      <c r="I1159" s="468"/>
      <c r="J1159" s="469"/>
      <c r="L1159" s="476"/>
      <c r="M1159" s="476"/>
      <c r="N1159" s="476"/>
      <c r="O1159" s="476"/>
      <c r="P1159" s="476"/>
      <c r="Q1159" s="476"/>
      <c r="R1159" s="476"/>
      <c r="S1159" s="476"/>
      <c r="T1159" s="476"/>
      <c r="U1159" s="476"/>
      <c r="V1159" s="476"/>
      <c r="W1159" s="476"/>
      <c r="X1159" s="476"/>
      <c r="Y1159" s="476"/>
      <c r="Z1159" s="476"/>
      <c r="AA1159" s="476"/>
      <c r="AB1159" s="476"/>
      <c r="AC1159" s="476"/>
      <c r="AD1159" s="476"/>
      <c r="AE1159" s="476"/>
      <c r="AF1159" s="476"/>
      <c r="AG1159" s="476"/>
      <c r="AH1159" s="476"/>
      <c r="AI1159" s="476"/>
      <c r="AJ1159" s="476"/>
      <c r="AK1159" s="476"/>
      <c r="AL1159" s="476"/>
      <c r="AM1159" s="476"/>
      <c r="AN1159" s="476"/>
      <c r="AO1159" s="476"/>
      <c r="AP1159" s="476"/>
      <c r="AQ1159" s="476"/>
      <c r="AR1159" s="476"/>
      <c r="AS1159" s="476"/>
      <c r="AT1159" s="476"/>
      <c r="AU1159" s="476"/>
    </row>
    <row r="1160" spans="1:47" s="398" customFormat="1" ht="13.15" customHeight="1" x14ac:dyDescent="0.2">
      <c r="A1160" s="476"/>
      <c r="D1160" s="467"/>
      <c r="F1160" s="468"/>
      <c r="G1160" s="468"/>
      <c r="H1160" s="468"/>
      <c r="I1160" s="468"/>
      <c r="J1160" s="469"/>
      <c r="L1160" s="476"/>
      <c r="M1160" s="476"/>
      <c r="N1160" s="476"/>
      <c r="O1160" s="476"/>
      <c r="P1160" s="476"/>
      <c r="Q1160" s="476"/>
      <c r="R1160" s="476"/>
      <c r="S1160" s="476"/>
      <c r="T1160" s="476"/>
      <c r="U1160" s="476"/>
      <c r="V1160" s="476"/>
      <c r="W1160" s="476"/>
      <c r="X1160" s="476"/>
      <c r="Y1160" s="476"/>
      <c r="Z1160" s="476"/>
      <c r="AA1160" s="476"/>
      <c r="AB1160" s="476"/>
      <c r="AC1160" s="476"/>
      <c r="AD1160" s="476"/>
      <c r="AE1160" s="476"/>
      <c r="AF1160" s="476"/>
      <c r="AG1160" s="476"/>
      <c r="AH1160" s="476"/>
      <c r="AI1160" s="476"/>
      <c r="AJ1160" s="476"/>
      <c r="AK1160" s="476"/>
      <c r="AL1160" s="476"/>
      <c r="AM1160" s="476"/>
      <c r="AN1160" s="476"/>
      <c r="AO1160" s="476"/>
      <c r="AP1160" s="476"/>
      <c r="AQ1160" s="476"/>
      <c r="AR1160" s="476"/>
      <c r="AS1160" s="476"/>
      <c r="AT1160" s="476"/>
      <c r="AU1160" s="476"/>
    </row>
    <row r="1161" spans="1:47" s="398" customFormat="1" ht="13.15" customHeight="1" x14ac:dyDescent="0.2">
      <c r="A1161" s="476"/>
      <c r="D1161" s="467"/>
      <c r="F1161" s="468"/>
      <c r="G1161" s="468"/>
      <c r="H1161" s="468"/>
      <c r="I1161" s="468"/>
      <c r="J1161" s="469"/>
      <c r="L1161" s="476"/>
      <c r="M1161" s="476"/>
      <c r="N1161" s="476"/>
      <c r="O1161" s="476"/>
      <c r="P1161" s="476"/>
      <c r="Q1161" s="476"/>
      <c r="R1161" s="476"/>
      <c r="S1161" s="476"/>
      <c r="T1161" s="476"/>
      <c r="U1161" s="476"/>
      <c r="V1161" s="476"/>
      <c r="W1161" s="476"/>
      <c r="X1161" s="476"/>
      <c r="Y1161" s="476"/>
      <c r="Z1161" s="476"/>
      <c r="AA1161" s="476"/>
      <c r="AB1161" s="476"/>
      <c r="AC1161" s="476"/>
      <c r="AD1161" s="476"/>
      <c r="AE1161" s="476"/>
      <c r="AF1161" s="476"/>
      <c r="AG1161" s="476"/>
      <c r="AH1161" s="476"/>
      <c r="AI1161" s="476"/>
      <c r="AJ1161" s="476"/>
      <c r="AK1161" s="476"/>
      <c r="AL1161" s="476"/>
      <c r="AM1161" s="476"/>
      <c r="AN1161" s="476"/>
      <c r="AO1161" s="476"/>
      <c r="AP1161" s="476"/>
      <c r="AQ1161" s="476"/>
      <c r="AR1161" s="476"/>
      <c r="AS1161" s="476"/>
      <c r="AT1161" s="476"/>
      <c r="AU1161" s="476"/>
    </row>
    <row r="1162" spans="1:47" s="398" customFormat="1" ht="13.15" customHeight="1" x14ac:dyDescent="0.2">
      <c r="A1162" s="476"/>
      <c r="D1162" s="467"/>
      <c r="F1162" s="468"/>
      <c r="G1162" s="468"/>
      <c r="H1162" s="468"/>
      <c r="I1162" s="468"/>
      <c r="J1162" s="469"/>
      <c r="L1162" s="476"/>
      <c r="M1162" s="476"/>
      <c r="N1162" s="476"/>
      <c r="O1162" s="476"/>
      <c r="P1162" s="476"/>
      <c r="Q1162" s="476"/>
      <c r="R1162" s="476"/>
      <c r="S1162" s="476"/>
      <c r="T1162" s="476"/>
      <c r="U1162" s="476"/>
      <c r="V1162" s="476"/>
      <c r="W1162" s="476"/>
      <c r="X1162" s="476"/>
      <c r="Y1162" s="476"/>
      <c r="Z1162" s="476"/>
      <c r="AA1162" s="476"/>
      <c r="AB1162" s="476"/>
      <c r="AC1162" s="476"/>
      <c r="AD1162" s="476"/>
      <c r="AE1162" s="476"/>
      <c r="AF1162" s="476"/>
      <c r="AG1162" s="476"/>
      <c r="AH1162" s="476"/>
      <c r="AI1162" s="476"/>
      <c r="AJ1162" s="476"/>
      <c r="AK1162" s="476"/>
      <c r="AL1162" s="476"/>
      <c r="AM1162" s="476"/>
      <c r="AN1162" s="476"/>
      <c r="AO1162" s="476"/>
      <c r="AP1162" s="476"/>
      <c r="AQ1162" s="476"/>
      <c r="AR1162" s="476"/>
      <c r="AS1162" s="476"/>
      <c r="AT1162" s="476"/>
      <c r="AU1162" s="476"/>
    </row>
    <row r="1163" spans="1:47" s="398" customFormat="1" ht="13.15" customHeight="1" x14ac:dyDescent="0.2">
      <c r="A1163" s="476"/>
      <c r="D1163" s="467"/>
      <c r="F1163" s="468"/>
      <c r="G1163" s="468"/>
      <c r="H1163" s="468"/>
      <c r="I1163" s="468"/>
      <c r="J1163" s="469"/>
      <c r="L1163" s="476"/>
      <c r="M1163" s="476"/>
      <c r="N1163" s="476"/>
      <c r="O1163" s="476"/>
      <c r="P1163" s="476"/>
      <c r="Q1163" s="476"/>
      <c r="R1163" s="476"/>
      <c r="S1163" s="476"/>
      <c r="T1163" s="476"/>
      <c r="U1163" s="476"/>
      <c r="V1163" s="476"/>
      <c r="W1163" s="476"/>
      <c r="X1163" s="476"/>
      <c r="Y1163" s="476"/>
      <c r="Z1163" s="476"/>
      <c r="AA1163" s="476"/>
      <c r="AB1163" s="476"/>
      <c r="AC1163" s="476"/>
      <c r="AD1163" s="476"/>
      <c r="AE1163" s="476"/>
      <c r="AF1163" s="476"/>
      <c r="AG1163" s="476"/>
      <c r="AH1163" s="476"/>
      <c r="AI1163" s="476"/>
      <c r="AJ1163" s="476"/>
      <c r="AK1163" s="476"/>
      <c r="AL1163" s="476"/>
      <c r="AM1163" s="476"/>
      <c r="AN1163" s="476"/>
      <c r="AO1163" s="476"/>
      <c r="AP1163" s="476"/>
      <c r="AQ1163" s="476"/>
      <c r="AR1163" s="476"/>
      <c r="AS1163" s="476"/>
      <c r="AT1163" s="476"/>
      <c r="AU1163" s="476"/>
    </row>
    <row r="1164" spans="1:47" s="398" customFormat="1" ht="13.15" customHeight="1" x14ac:dyDescent="0.2">
      <c r="A1164" s="476"/>
      <c r="D1164" s="467"/>
      <c r="F1164" s="468"/>
      <c r="G1164" s="468"/>
      <c r="H1164" s="468"/>
      <c r="I1164" s="468"/>
      <c r="J1164" s="469"/>
      <c r="L1164" s="476"/>
      <c r="M1164" s="476"/>
      <c r="N1164" s="476"/>
      <c r="O1164" s="476"/>
      <c r="P1164" s="476"/>
      <c r="Q1164" s="476"/>
      <c r="R1164" s="476"/>
      <c r="S1164" s="476"/>
      <c r="T1164" s="476"/>
      <c r="U1164" s="476"/>
      <c r="V1164" s="476"/>
      <c r="W1164" s="476"/>
      <c r="X1164" s="476"/>
      <c r="Y1164" s="476"/>
      <c r="Z1164" s="476"/>
      <c r="AA1164" s="476"/>
      <c r="AB1164" s="476"/>
      <c r="AC1164" s="476"/>
      <c r="AD1164" s="476"/>
      <c r="AE1164" s="476"/>
      <c r="AF1164" s="476"/>
      <c r="AG1164" s="476"/>
      <c r="AH1164" s="476"/>
      <c r="AI1164" s="476"/>
      <c r="AJ1164" s="476"/>
      <c r="AK1164" s="476"/>
      <c r="AL1164" s="476"/>
      <c r="AM1164" s="476"/>
      <c r="AN1164" s="476"/>
      <c r="AO1164" s="476"/>
      <c r="AP1164" s="476"/>
      <c r="AQ1164" s="476"/>
      <c r="AR1164" s="476"/>
      <c r="AS1164" s="476"/>
      <c r="AT1164" s="476"/>
      <c r="AU1164" s="476"/>
    </row>
    <row r="1165" spans="1:47" s="398" customFormat="1" ht="13.15" customHeight="1" x14ac:dyDescent="0.2">
      <c r="A1165" s="476"/>
      <c r="D1165" s="467"/>
      <c r="F1165" s="468"/>
      <c r="G1165" s="468"/>
      <c r="H1165" s="468"/>
      <c r="I1165" s="468"/>
      <c r="J1165" s="469"/>
      <c r="L1165" s="476"/>
      <c r="M1165" s="476"/>
      <c r="N1165" s="476"/>
      <c r="O1165" s="476"/>
      <c r="P1165" s="476"/>
      <c r="Q1165" s="476"/>
      <c r="R1165" s="476"/>
      <c r="S1165" s="476"/>
      <c r="T1165" s="476"/>
      <c r="U1165" s="476"/>
      <c r="V1165" s="476"/>
      <c r="W1165" s="476"/>
      <c r="X1165" s="476"/>
      <c r="Y1165" s="476"/>
      <c r="Z1165" s="476"/>
      <c r="AA1165" s="476"/>
      <c r="AB1165" s="476"/>
      <c r="AC1165" s="476"/>
      <c r="AD1165" s="476"/>
      <c r="AE1165" s="476"/>
      <c r="AF1165" s="476"/>
      <c r="AG1165" s="476"/>
      <c r="AH1165" s="476"/>
      <c r="AI1165" s="476"/>
      <c r="AJ1165" s="476"/>
      <c r="AK1165" s="476"/>
      <c r="AL1165" s="476"/>
      <c r="AM1165" s="476"/>
      <c r="AN1165" s="476"/>
      <c r="AO1165" s="476"/>
      <c r="AP1165" s="476"/>
      <c r="AQ1165" s="476"/>
      <c r="AR1165" s="476"/>
      <c r="AS1165" s="476"/>
      <c r="AT1165" s="476"/>
      <c r="AU1165" s="476"/>
    </row>
    <row r="1166" spans="1:47" s="398" customFormat="1" ht="13.15" customHeight="1" x14ac:dyDescent="0.2">
      <c r="A1166" s="476"/>
      <c r="D1166" s="467"/>
      <c r="F1166" s="468"/>
      <c r="G1166" s="468"/>
      <c r="H1166" s="468"/>
      <c r="I1166" s="468"/>
      <c r="J1166" s="469"/>
      <c r="L1166" s="476"/>
      <c r="M1166" s="476"/>
      <c r="N1166" s="476"/>
      <c r="O1166" s="476"/>
      <c r="P1166" s="476"/>
      <c r="Q1166" s="476"/>
      <c r="R1166" s="476"/>
      <c r="S1166" s="476"/>
      <c r="T1166" s="476"/>
      <c r="U1166" s="476"/>
      <c r="V1166" s="476"/>
      <c r="W1166" s="476"/>
      <c r="X1166" s="476"/>
      <c r="Y1166" s="476"/>
      <c r="Z1166" s="476"/>
      <c r="AA1166" s="476"/>
      <c r="AB1166" s="476"/>
      <c r="AC1166" s="476"/>
      <c r="AD1166" s="476"/>
      <c r="AE1166" s="476"/>
      <c r="AF1166" s="476"/>
      <c r="AG1166" s="476"/>
      <c r="AH1166" s="476"/>
      <c r="AI1166" s="476"/>
      <c r="AJ1166" s="476"/>
      <c r="AK1166" s="476"/>
      <c r="AL1166" s="476"/>
      <c r="AM1166" s="476"/>
      <c r="AN1166" s="476"/>
      <c r="AO1166" s="476"/>
      <c r="AP1166" s="476"/>
      <c r="AQ1166" s="476"/>
      <c r="AR1166" s="476"/>
      <c r="AS1166" s="476"/>
      <c r="AT1166" s="476"/>
      <c r="AU1166" s="476"/>
    </row>
    <row r="1167" spans="1:47" s="398" customFormat="1" ht="13.15" customHeight="1" x14ac:dyDescent="0.2">
      <c r="A1167" s="476"/>
      <c r="D1167" s="467"/>
      <c r="F1167" s="468"/>
      <c r="G1167" s="468"/>
      <c r="H1167" s="468"/>
      <c r="I1167" s="468"/>
      <c r="J1167" s="469"/>
      <c r="L1167" s="476"/>
      <c r="M1167" s="476"/>
      <c r="N1167" s="476"/>
      <c r="O1167" s="476"/>
      <c r="P1167" s="476"/>
      <c r="Q1167" s="476"/>
      <c r="R1167" s="476"/>
      <c r="S1167" s="476"/>
      <c r="T1167" s="476"/>
      <c r="U1167" s="476"/>
      <c r="V1167" s="476"/>
      <c r="W1167" s="476"/>
      <c r="X1167" s="476"/>
      <c r="Y1167" s="476"/>
      <c r="Z1167" s="476"/>
      <c r="AA1167" s="476"/>
      <c r="AB1167" s="476"/>
      <c r="AC1167" s="476"/>
      <c r="AD1167" s="476"/>
      <c r="AE1167" s="476"/>
      <c r="AF1167" s="476"/>
      <c r="AG1167" s="476"/>
      <c r="AH1167" s="476"/>
      <c r="AI1167" s="476"/>
      <c r="AJ1167" s="476"/>
      <c r="AK1167" s="476"/>
      <c r="AL1167" s="476"/>
      <c r="AM1167" s="476"/>
      <c r="AN1167" s="476"/>
      <c r="AO1167" s="476"/>
      <c r="AP1167" s="476"/>
      <c r="AQ1167" s="476"/>
      <c r="AR1167" s="476"/>
      <c r="AS1167" s="476"/>
      <c r="AT1167" s="476"/>
      <c r="AU1167" s="476"/>
    </row>
    <row r="1168" spans="1:47" s="398" customFormat="1" ht="13.15" customHeight="1" x14ac:dyDescent="0.2">
      <c r="A1168" s="476"/>
      <c r="D1168" s="467"/>
      <c r="F1168" s="468"/>
      <c r="G1168" s="468"/>
      <c r="H1168" s="468"/>
      <c r="I1168" s="468"/>
      <c r="J1168" s="469"/>
      <c r="L1168" s="476"/>
      <c r="M1168" s="476"/>
      <c r="N1168" s="476"/>
      <c r="O1168" s="476"/>
      <c r="P1168" s="476"/>
      <c r="Q1168" s="476"/>
      <c r="R1168" s="476"/>
      <c r="S1168" s="476"/>
      <c r="T1168" s="476"/>
      <c r="U1168" s="476"/>
      <c r="V1168" s="476"/>
      <c r="W1168" s="476"/>
      <c r="X1168" s="476"/>
      <c r="Y1168" s="476"/>
      <c r="Z1168" s="476"/>
      <c r="AA1168" s="476"/>
      <c r="AB1168" s="476"/>
      <c r="AC1168" s="476"/>
      <c r="AD1168" s="476"/>
      <c r="AE1168" s="476"/>
      <c r="AF1168" s="476"/>
      <c r="AG1168" s="476"/>
      <c r="AH1168" s="476"/>
      <c r="AI1168" s="476"/>
      <c r="AJ1168" s="476"/>
      <c r="AK1168" s="476"/>
      <c r="AL1168" s="476"/>
      <c r="AM1168" s="476"/>
      <c r="AN1168" s="476"/>
      <c r="AO1168" s="476"/>
      <c r="AP1168" s="476"/>
      <c r="AQ1168" s="476"/>
      <c r="AR1168" s="476"/>
      <c r="AS1168" s="476"/>
      <c r="AT1168" s="476"/>
      <c r="AU1168" s="476"/>
    </row>
    <row r="1169" spans="1:47" s="398" customFormat="1" ht="13.15" customHeight="1" x14ac:dyDescent="0.2">
      <c r="A1169" s="476"/>
      <c r="D1169" s="467"/>
      <c r="F1169" s="468"/>
      <c r="G1169" s="468"/>
      <c r="H1169" s="468"/>
      <c r="I1169" s="468"/>
      <c r="J1169" s="469"/>
      <c r="L1169" s="476"/>
      <c r="M1169" s="476"/>
      <c r="N1169" s="476"/>
      <c r="O1169" s="476"/>
      <c r="P1169" s="476"/>
      <c r="Q1169" s="476"/>
      <c r="R1169" s="476"/>
      <c r="S1169" s="476"/>
      <c r="T1169" s="476"/>
      <c r="U1169" s="476"/>
      <c r="V1169" s="476"/>
      <c r="W1169" s="476"/>
      <c r="X1169" s="476"/>
      <c r="Y1169" s="476"/>
      <c r="Z1169" s="476"/>
      <c r="AA1169" s="476"/>
      <c r="AB1169" s="476"/>
      <c r="AC1169" s="476"/>
      <c r="AD1169" s="476"/>
      <c r="AE1169" s="476"/>
      <c r="AF1169" s="476"/>
      <c r="AG1169" s="476"/>
      <c r="AH1169" s="476"/>
      <c r="AI1169" s="476"/>
      <c r="AJ1169" s="476"/>
      <c r="AK1169" s="476"/>
      <c r="AL1169" s="476"/>
      <c r="AM1169" s="476"/>
      <c r="AN1169" s="476"/>
      <c r="AO1169" s="476"/>
      <c r="AP1169" s="476"/>
      <c r="AQ1169" s="476"/>
      <c r="AR1169" s="476"/>
      <c r="AS1169" s="476"/>
      <c r="AT1169" s="476"/>
      <c r="AU1169" s="476"/>
    </row>
    <row r="1170" spans="1:47" s="398" customFormat="1" ht="13.15" customHeight="1" x14ac:dyDescent="0.2">
      <c r="A1170" s="476"/>
      <c r="D1170" s="467"/>
      <c r="F1170" s="468"/>
      <c r="G1170" s="468"/>
      <c r="H1170" s="468"/>
      <c r="I1170" s="468"/>
      <c r="J1170" s="469"/>
      <c r="L1170" s="476"/>
      <c r="M1170" s="476"/>
      <c r="N1170" s="476"/>
      <c r="O1170" s="476"/>
      <c r="P1170" s="476"/>
      <c r="Q1170" s="476"/>
      <c r="R1170" s="476"/>
      <c r="S1170" s="476"/>
      <c r="T1170" s="476"/>
      <c r="U1170" s="476"/>
      <c r="V1170" s="476"/>
      <c r="W1170" s="476"/>
      <c r="X1170" s="476"/>
      <c r="Y1170" s="476"/>
      <c r="Z1170" s="476"/>
      <c r="AA1170" s="476"/>
      <c r="AB1170" s="476"/>
      <c r="AC1170" s="476"/>
      <c r="AD1170" s="476"/>
      <c r="AE1170" s="476"/>
      <c r="AF1170" s="476"/>
      <c r="AG1170" s="476"/>
      <c r="AH1170" s="476"/>
      <c r="AI1170" s="476"/>
      <c r="AJ1170" s="476"/>
      <c r="AK1170" s="476"/>
      <c r="AL1170" s="476"/>
      <c r="AM1170" s="476"/>
      <c r="AN1170" s="476"/>
      <c r="AO1170" s="476"/>
      <c r="AP1170" s="476"/>
      <c r="AQ1170" s="476"/>
      <c r="AR1170" s="476"/>
      <c r="AS1170" s="476"/>
      <c r="AT1170" s="476"/>
      <c r="AU1170" s="476"/>
    </row>
    <row r="1171" spans="1:47" s="398" customFormat="1" ht="13.15" customHeight="1" x14ac:dyDescent="0.2">
      <c r="A1171" s="476"/>
      <c r="D1171" s="467"/>
      <c r="F1171" s="468"/>
      <c r="G1171" s="468"/>
      <c r="H1171" s="468"/>
      <c r="I1171" s="468"/>
      <c r="J1171" s="469"/>
      <c r="L1171" s="476"/>
      <c r="M1171" s="476"/>
      <c r="N1171" s="476"/>
      <c r="O1171" s="476"/>
      <c r="P1171" s="476"/>
      <c r="Q1171" s="476"/>
      <c r="R1171" s="476"/>
      <c r="S1171" s="476"/>
      <c r="T1171" s="476"/>
      <c r="U1171" s="476"/>
      <c r="V1171" s="476"/>
      <c r="W1171" s="476"/>
      <c r="X1171" s="476"/>
      <c r="Y1171" s="476"/>
      <c r="Z1171" s="476"/>
      <c r="AA1171" s="476"/>
      <c r="AB1171" s="476"/>
      <c r="AC1171" s="476"/>
      <c r="AD1171" s="476"/>
      <c r="AE1171" s="476"/>
      <c r="AF1171" s="476"/>
      <c r="AG1171" s="476"/>
      <c r="AH1171" s="476"/>
      <c r="AI1171" s="476"/>
      <c r="AJ1171" s="476"/>
      <c r="AK1171" s="476"/>
      <c r="AL1171" s="476"/>
      <c r="AM1171" s="476"/>
      <c r="AN1171" s="476"/>
      <c r="AO1171" s="476"/>
      <c r="AP1171" s="476"/>
      <c r="AQ1171" s="476"/>
      <c r="AR1171" s="476"/>
      <c r="AS1171" s="476"/>
      <c r="AT1171" s="476"/>
      <c r="AU1171" s="476"/>
    </row>
    <row r="1172" spans="1:47" s="398" customFormat="1" ht="13.15" customHeight="1" x14ac:dyDescent="0.2">
      <c r="A1172" s="476"/>
      <c r="D1172" s="467"/>
      <c r="F1172" s="468"/>
      <c r="G1172" s="468"/>
      <c r="H1172" s="468"/>
      <c r="I1172" s="468"/>
      <c r="J1172" s="469"/>
      <c r="L1172" s="476"/>
      <c r="M1172" s="476"/>
      <c r="N1172" s="476"/>
      <c r="O1172" s="476"/>
      <c r="P1172" s="476"/>
      <c r="Q1172" s="476"/>
      <c r="R1172" s="476"/>
      <c r="S1172" s="476"/>
      <c r="T1172" s="476"/>
      <c r="U1172" s="476"/>
      <c r="V1172" s="476"/>
      <c r="W1172" s="476"/>
      <c r="X1172" s="476"/>
      <c r="Y1172" s="476"/>
      <c r="Z1172" s="476"/>
      <c r="AA1172" s="476"/>
      <c r="AB1172" s="476"/>
      <c r="AC1172" s="476"/>
      <c r="AD1172" s="476"/>
      <c r="AE1172" s="476"/>
      <c r="AF1172" s="476"/>
      <c r="AG1172" s="476"/>
      <c r="AH1172" s="476"/>
      <c r="AI1172" s="476"/>
      <c r="AJ1172" s="476"/>
      <c r="AK1172" s="476"/>
      <c r="AL1172" s="476"/>
      <c r="AM1172" s="476"/>
      <c r="AN1172" s="476"/>
      <c r="AO1172" s="476"/>
      <c r="AP1172" s="476"/>
      <c r="AQ1172" s="476"/>
      <c r="AR1172" s="476"/>
      <c r="AS1172" s="476"/>
      <c r="AT1172" s="476"/>
      <c r="AU1172" s="476"/>
    </row>
    <row r="1173" spans="1:47" s="398" customFormat="1" ht="13.15" customHeight="1" x14ac:dyDescent="0.2">
      <c r="A1173" s="476"/>
      <c r="D1173" s="467"/>
      <c r="F1173" s="468"/>
      <c r="G1173" s="468"/>
      <c r="H1173" s="468"/>
      <c r="I1173" s="468"/>
      <c r="J1173" s="469"/>
      <c r="L1173" s="476"/>
      <c r="M1173" s="476"/>
      <c r="N1173" s="476"/>
      <c r="O1173" s="476"/>
      <c r="P1173" s="476"/>
      <c r="Q1173" s="476"/>
      <c r="R1173" s="476"/>
      <c r="S1173" s="476"/>
      <c r="T1173" s="476"/>
      <c r="U1173" s="476"/>
      <c r="V1173" s="476"/>
      <c r="W1173" s="476"/>
      <c r="X1173" s="476"/>
      <c r="Y1173" s="476"/>
      <c r="Z1173" s="476"/>
      <c r="AA1173" s="476"/>
      <c r="AB1173" s="476"/>
      <c r="AC1173" s="476"/>
      <c r="AD1173" s="476"/>
      <c r="AE1173" s="476"/>
      <c r="AF1173" s="476"/>
      <c r="AG1173" s="476"/>
      <c r="AH1173" s="476"/>
      <c r="AI1173" s="476"/>
      <c r="AJ1173" s="476"/>
      <c r="AK1173" s="476"/>
      <c r="AL1173" s="476"/>
      <c r="AM1173" s="476"/>
      <c r="AN1173" s="476"/>
      <c r="AO1173" s="476"/>
      <c r="AP1173" s="476"/>
      <c r="AQ1173" s="476"/>
      <c r="AR1173" s="476"/>
      <c r="AS1173" s="476"/>
      <c r="AT1173" s="476"/>
      <c r="AU1173" s="476"/>
    </row>
    <row r="1174" spans="1:47" s="398" customFormat="1" ht="13.15" customHeight="1" x14ac:dyDescent="0.2">
      <c r="A1174" s="476"/>
      <c r="D1174" s="467"/>
      <c r="F1174" s="468"/>
      <c r="G1174" s="468"/>
      <c r="H1174" s="468"/>
      <c r="I1174" s="468"/>
      <c r="J1174" s="469"/>
      <c r="L1174" s="476"/>
      <c r="M1174" s="476"/>
      <c r="N1174" s="476"/>
      <c r="O1174" s="476"/>
      <c r="P1174" s="476"/>
      <c r="Q1174" s="476"/>
      <c r="R1174" s="476"/>
      <c r="S1174" s="476"/>
      <c r="T1174" s="476"/>
      <c r="U1174" s="476"/>
      <c r="V1174" s="476"/>
      <c r="W1174" s="476"/>
      <c r="X1174" s="476"/>
      <c r="Y1174" s="476"/>
      <c r="Z1174" s="476"/>
      <c r="AA1174" s="476"/>
      <c r="AB1174" s="476"/>
      <c r="AC1174" s="476"/>
      <c r="AD1174" s="476"/>
      <c r="AE1174" s="476"/>
      <c r="AF1174" s="476"/>
      <c r="AG1174" s="476"/>
      <c r="AH1174" s="476"/>
      <c r="AI1174" s="476"/>
      <c r="AJ1174" s="476"/>
      <c r="AK1174" s="476"/>
      <c r="AL1174" s="476"/>
      <c r="AM1174" s="476"/>
      <c r="AN1174" s="476"/>
      <c r="AO1174" s="476"/>
      <c r="AP1174" s="476"/>
      <c r="AQ1174" s="476"/>
      <c r="AR1174" s="476"/>
      <c r="AS1174" s="476"/>
      <c r="AT1174" s="476"/>
      <c r="AU1174" s="476"/>
    </row>
    <row r="1175" spans="1:47" s="398" customFormat="1" ht="13.15" customHeight="1" x14ac:dyDescent="0.2">
      <c r="A1175" s="476"/>
      <c r="D1175" s="467"/>
      <c r="F1175" s="468"/>
      <c r="G1175" s="468"/>
      <c r="H1175" s="468"/>
      <c r="I1175" s="468"/>
      <c r="J1175" s="469"/>
      <c r="L1175" s="476"/>
      <c r="M1175" s="476"/>
      <c r="N1175" s="476"/>
      <c r="O1175" s="476"/>
      <c r="P1175" s="476"/>
      <c r="Q1175" s="476"/>
      <c r="R1175" s="476"/>
      <c r="S1175" s="476"/>
      <c r="T1175" s="476"/>
      <c r="U1175" s="476"/>
      <c r="V1175" s="476"/>
      <c r="W1175" s="476"/>
      <c r="X1175" s="476"/>
      <c r="Y1175" s="476"/>
      <c r="Z1175" s="476"/>
      <c r="AA1175" s="476"/>
      <c r="AB1175" s="476"/>
      <c r="AC1175" s="476"/>
      <c r="AD1175" s="476"/>
      <c r="AE1175" s="476"/>
      <c r="AF1175" s="476"/>
      <c r="AG1175" s="476"/>
      <c r="AH1175" s="476"/>
      <c r="AI1175" s="476"/>
      <c r="AJ1175" s="476"/>
      <c r="AK1175" s="476"/>
      <c r="AL1175" s="476"/>
      <c r="AM1175" s="476"/>
      <c r="AN1175" s="476"/>
      <c r="AO1175" s="476"/>
      <c r="AP1175" s="476"/>
      <c r="AQ1175" s="476"/>
      <c r="AR1175" s="476"/>
      <c r="AS1175" s="476"/>
      <c r="AT1175" s="476"/>
      <c r="AU1175" s="476"/>
    </row>
    <row r="1176" spans="1:47" s="398" customFormat="1" ht="13.15" customHeight="1" x14ac:dyDescent="0.2">
      <c r="A1176" s="476"/>
      <c r="D1176" s="467"/>
      <c r="F1176" s="468"/>
      <c r="G1176" s="468"/>
      <c r="H1176" s="468"/>
      <c r="I1176" s="468"/>
      <c r="J1176" s="469"/>
      <c r="L1176" s="476"/>
      <c r="M1176" s="476"/>
      <c r="N1176" s="476"/>
      <c r="O1176" s="476"/>
      <c r="P1176" s="476"/>
      <c r="Q1176" s="476"/>
      <c r="R1176" s="476"/>
      <c r="S1176" s="476"/>
      <c r="T1176" s="476"/>
      <c r="U1176" s="476"/>
      <c r="V1176" s="476"/>
      <c r="W1176" s="476"/>
      <c r="X1176" s="476"/>
      <c r="Y1176" s="476"/>
      <c r="Z1176" s="476"/>
      <c r="AA1176" s="476"/>
      <c r="AB1176" s="476"/>
      <c r="AC1176" s="476"/>
      <c r="AD1176" s="476"/>
      <c r="AE1176" s="476"/>
      <c r="AF1176" s="476"/>
      <c r="AG1176" s="476"/>
      <c r="AH1176" s="476"/>
      <c r="AI1176" s="476"/>
      <c r="AJ1176" s="476"/>
      <c r="AK1176" s="476"/>
      <c r="AL1176" s="476"/>
      <c r="AM1176" s="476"/>
      <c r="AN1176" s="476"/>
      <c r="AO1176" s="476"/>
      <c r="AP1176" s="476"/>
      <c r="AQ1176" s="476"/>
      <c r="AR1176" s="476"/>
      <c r="AS1176" s="476"/>
      <c r="AT1176" s="476"/>
      <c r="AU1176" s="476"/>
    </row>
    <row r="1177" spans="1:47" s="398" customFormat="1" ht="13.15" customHeight="1" x14ac:dyDescent="0.2">
      <c r="A1177" s="476"/>
      <c r="D1177" s="467"/>
      <c r="F1177" s="468"/>
      <c r="G1177" s="468"/>
      <c r="H1177" s="468"/>
      <c r="I1177" s="468"/>
      <c r="J1177" s="469"/>
      <c r="L1177" s="476"/>
      <c r="M1177" s="476"/>
      <c r="N1177" s="476"/>
      <c r="O1177" s="476"/>
      <c r="P1177" s="476"/>
      <c r="Q1177" s="476"/>
      <c r="R1177" s="476"/>
      <c r="S1177" s="476"/>
      <c r="T1177" s="476"/>
      <c r="U1177" s="476"/>
      <c r="V1177" s="476"/>
      <c r="W1177" s="476"/>
      <c r="X1177" s="476"/>
      <c r="Y1177" s="476"/>
      <c r="Z1177" s="476"/>
      <c r="AA1177" s="476"/>
      <c r="AB1177" s="476"/>
      <c r="AC1177" s="476"/>
      <c r="AD1177" s="476"/>
      <c r="AE1177" s="476"/>
      <c r="AF1177" s="476"/>
      <c r="AG1177" s="476"/>
      <c r="AH1177" s="476"/>
      <c r="AI1177" s="476"/>
      <c r="AJ1177" s="476"/>
      <c r="AK1177" s="476"/>
      <c r="AL1177" s="476"/>
      <c r="AM1177" s="476"/>
      <c r="AN1177" s="476"/>
      <c r="AO1177" s="476"/>
      <c r="AP1177" s="476"/>
      <c r="AQ1177" s="476"/>
      <c r="AR1177" s="476"/>
      <c r="AS1177" s="476"/>
      <c r="AT1177" s="476"/>
      <c r="AU1177" s="476"/>
    </row>
    <row r="1178" spans="1:47" s="398" customFormat="1" ht="13.15" customHeight="1" x14ac:dyDescent="0.2">
      <c r="A1178" s="476"/>
      <c r="D1178" s="467"/>
      <c r="F1178" s="468"/>
      <c r="G1178" s="468"/>
      <c r="H1178" s="468"/>
      <c r="I1178" s="468"/>
      <c r="J1178" s="469"/>
      <c r="L1178" s="476"/>
      <c r="M1178" s="476"/>
      <c r="N1178" s="476"/>
      <c r="O1178" s="476"/>
      <c r="P1178" s="476"/>
      <c r="Q1178" s="476"/>
      <c r="R1178" s="476"/>
      <c r="S1178" s="476"/>
      <c r="T1178" s="476"/>
      <c r="U1178" s="476"/>
      <c r="V1178" s="476"/>
      <c r="W1178" s="476"/>
      <c r="X1178" s="476"/>
      <c r="Y1178" s="476"/>
      <c r="Z1178" s="476"/>
      <c r="AA1178" s="476"/>
      <c r="AB1178" s="476"/>
      <c r="AC1178" s="476"/>
      <c r="AD1178" s="476"/>
      <c r="AE1178" s="476"/>
      <c r="AF1178" s="476"/>
      <c r="AG1178" s="476"/>
      <c r="AH1178" s="476"/>
      <c r="AI1178" s="476"/>
      <c r="AJ1178" s="476"/>
      <c r="AK1178" s="476"/>
      <c r="AL1178" s="476"/>
      <c r="AM1178" s="476"/>
      <c r="AN1178" s="476"/>
      <c r="AO1178" s="476"/>
      <c r="AP1178" s="476"/>
      <c r="AQ1178" s="476"/>
      <c r="AR1178" s="476"/>
      <c r="AS1178" s="476"/>
      <c r="AT1178" s="476"/>
      <c r="AU1178" s="476"/>
    </row>
    <row r="1179" spans="1:47" s="398" customFormat="1" ht="13.15" customHeight="1" x14ac:dyDescent="0.2">
      <c r="A1179" s="476"/>
      <c r="D1179" s="467"/>
      <c r="F1179" s="468"/>
      <c r="G1179" s="468"/>
      <c r="H1179" s="468"/>
      <c r="I1179" s="468"/>
      <c r="J1179" s="469"/>
      <c r="L1179" s="476"/>
      <c r="M1179" s="476"/>
      <c r="N1179" s="476"/>
      <c r="O1179" s="476"/>
      <c r="P1179" s="476"/>
      <c r="Q1179" s="476"/>
      <c r="R1179" s="476"/>
      <c r="S1179" s="476"/>
      <c r="T1179" s="476"/>
      <c r="U1179" s="476"/>
      <c r="V1179" s="476"/>
      <c r="W1179" s="476"/>
      <c r="X1179" s="476"/>
      <c r="Y1179" s="476"/>
      <c r="Z1179" s="476"/>
      <c r="AA1179" s="476"/>
      <c r="AB1179" s="476"/>
      <c r="AC1179" s="476"/>
      <c r="AD1179" s="476"/>
      <c r="AE1179" s="476"/>
      <c r="AF1179" s="476"/>
      <c r="AG1179" s="476"/>
      <c r="AH1179" s="476"/>
      <c r="AI1179" s="476"/>
      <c r="AJ1179" s="476"/>
      <c r="AK1179" s="476"/>
      <c r="AL1179" s="476"/>
      <c r="AM1179" s="476"/>
      <c r="AN1179" s="476"/>
      <c r="AO1179" s="476"/>
      <c r="AP1179" s="476"/>
      <c r="AQ1179" s="476"/>
      <c r="AR1179" s="476"/>
      <c r="AS1179" s="476"/>
      <c r="AT1179" s="476"/>
      <c r="AU1179" s="476"/>
    </row>
    <row r="1180" spans="1:47" s="398" customFormat="1" ht="13.15" customHeight="1" x14ac:dyDescent="0.2">
      <c r="A1180" s="476"/>
      <c r="D1180" s="467"/>
      <c r="F1180" s="468"/>
      <c r="G1180" s="468"/>
      <c r="H1180" s="468"/>
      <c r="I1180" s="468"/>
      <c r="J1180" s="469"/>
      <c r="L1180" s="476"/>
      <c r="M1180" s="476"/>
      <c r="N1180" s="476"/>
      <c r="O1180" s="476"/>
      <c r="P1180" s="476"/>
      <c r="Q1180" s="476"/>
      <c r="R1180" s="476"/>
      <c r="S1180" s="476"/>
      <c r="T1180" s="476"/>
      <c r="U1180" s="476"/>
      <c r="V1180" s="476"/>
      <c r="W1180" s="476"/>
      <c r="X1180" s="476"/>
      <c r="Y1180" s="476"/>
      <c r="Z1180" s="476"/>
      <c r="AA1180" s="476"/>
      <c r="AB1180" s="476"/>
      <c r="AC1180" s="476"/>
      <c r="AD1180" s="476"/>
      <c r="AE1180" s="476"/>
      <c r="AF1180" s="476"/>
      <c r="AG1180" s="476"/>
      <c r="AH1180" s="476"/>
      <c r="AI1180" s="476"/>
      <c r="AJ1180" s="476"/>
      <c r="AK1180" s="476"/>
      <c r="AL1180" s="476"/>
      <c r="AM1180" s="476"/>
      <c r="AN1180" s="476"/>
      <c r="AO1180" s="476"/>
      <c r="AP1180" s="476"/>
      <c r="AQ1180" s="476"/>
      <c r="AR1180" s="476"/>
      <c r="AS1180" s="476"/>
      <c r="AT1180" s="476"/>
      <c r="AU1180" s="476"/>
    </row>
    <row r="1181" spans="1:47" s="398" customFormat="1" ht="13.15" customHeight="1" x14ac:dyDescent="0.2">
      <c r="A1181" s="476"/>
      <c r="D1181" s="467"/>
      <c r="F1181" s="468"/>
      <c r="G1181" s="468"/>
      <c r="H1181" s="468"/>
      <c r="I1181" s="468"/>
      <c r="J1181" s="469"/>
      <c r="L1181" s="476"/>
      <c r="M1181" s="476"/>
      <c r="N1181" s="476"/>
      <c r="O1181" s="476"/>
      <c r="P1181" s="476"/>
      <c r="Q1181" s="476"/>
      <c r="R1181" s="476"/>
      <c r="S1181" s="476"/>
      <c r="T1181" s="476"/>
      <c r="U1181" s="476"/>
      <c r="V1181" s="476"/>
      <c r="W1181" s="476"/>
      <c r="X1181" s="476"/>
      <c r="Y1181" s="476"/>
      <c r="Z1181" s="476"/>
      <c r="AA1181" s="476"/>
      <c r="AB1181" s="476"/>
      <c r="AC1181" s="476"/>
      <c r="AD1181" s="476"/>
      <c r="AE1181" s="476"/>
      <c r="AF1181" s="476"/>
      <c r="AG1181" s="476"/>
      <c r="AH1181" s="476"/>
      <c r="AI1181" s="476"/>
      <c r="AJ1181" s="476"/>
      <c r="AK1181" s="476"/>
      <c r="AL1181" s="476"/>
      <c r="AM1181" s="476"/>
      <c r="AN1181" s="476"/>
      <c r="AO1181" s="476"/>
      <c r="AP1181" s="476"/>
      <c r="AQ1181" s="476"/>
      <c r="AR1181" s="476"/>
      <c r="AS1181" s="476"/>
      <c r="AT1181" s="476"/>
      <c r="AU1181" s="476"/>
    </row>
    <row r="1182" spans="1:47" s="398" customFormat="1" ht="13.15" customHeight="1" x14ac:dyDescent="0.2">
      <c r="A1182" s="476"/>
      <c r="D1182" s="467"/>
      <c r="F1182" s="468"/>
      <c r="G1182" s="468"/>
      <c r="H1182" s="468"/>
      <c r="I1182" s="468"/>
      <c r="J1182" s="469"/>
      <c r="L1182" s="476"/>
      <c r="M1182" s="476"/>
      <c r="N1182" s="476"/>
      <c r="O1182" s="476"/>
      <c r="P1182" s="476"/>
      <c r="Q1182" s="476"/>
      <c r="R1182" s="476"/>
      <c r="S1182" s="476"/>
      <c r="T1182" s="476"/>
      <c r="U1182" s="476"/>
      <c r="V1182" s="476"/>
      <c r="W1182" s="476"/>
      <c r="X1182" s="476"/>
      <c r="Y1182" s="476"/>
      <c r="Z1182" s="476"/>
      <c r="AA1182" s="476"/>
      <c r="AB1182" s="476"/>
      <c r="AC1182" s="476"/>
      <c r="AD1182" s="476"/>
      <c r="AE1182" s="476"/>
      <c r="AF1182" s="476"/>
      <c r="AG1182" s="476"/>
      <c r="AH1182" s="476"/>
      <c r="AI1182" s="476"/>
      <c r="AJ1182" s="476"/>
      <c r="AK1182" s="476"/>
      <c r="AL1182" s="476"/>
      <c r="AM1182" s="476"/>
      <c r="AN1182" s="476"/>
      <c r="AO1182" s="476"/>
      <c r="AP1182" s="476"/>
      <c r="AQ1182" s="476"/>
      <c r="AR1182" s="476"/>
      <c r="AS1182" s="476"/>
      <c r="AT1182" s="476"/>
      <c r="AU1182" s="476"/>
    </row>
    <row r="1183" spans="1:47" s="398" customFormat="1" ht="13.15" customHeight="1" x14ac:dyDescent="0.2">
      <c r="A1183" s="476"/>
      <c r="D1183" s="467"/>
      <c r="F1183" s="468"/>
      <c r="G1183" s="468"/>
      <c r="H1183" s="468"/>
      <c r="I1183" s="468"/>
      <c r="J1183" s="469"/>
      <c r="L1183" s="476"/>
      <c r="M1183" s="476"/>
      <c r="N1183" s="476"/>
      <c r="O1183" s="476"/>
      <c r="P1183" s="476"/>
      <c r="Q1183" s="476"/>
      <c r="R1183" s="476"/>
      <c r="S1183" s="476"/>
      <c r="T1183" s="476"/>
      <c r="U1183" s="476"/>
      <c r="V1183" s="476"/>
      <c r="W1183" s="476"/>
      <c r="X1183" s="476"/>
      <c r="Y1183" s="476"/>
      <c r="Z1183" s="476"/>
      <c r="AA1183" s="476"/>
      <c r="AB1183" s="476"/>
      <c r="AC1183" s="476"/>
      <c r="AD1183" s="476"/>
      <c r="AE1183" s="476"/>
      <c r="AF1183" s="476"/>
      <c r="AG1183" s="476"/>
      <c r="AH1183" s="476"/>
      <c r="AI1183" s="476"/>
      <c r="AJ1183" s="476"/>
      <c r="AK1183" s="476"/>
      <c r="AL1183" s="476"/>
      <c r="AM1183" s="476"/>
      <c r="AN1183" s="476"/>
      <c r="AO1183" s="476"/>
      <c r="AP1183" s="476"/>
      <c r="AQ1183" s="476"/>
      <c r="AR1183" s="476"/>
      <c r="AS1183" s="476"/>
      <c r="AT1183" s="476"/>
      <c r="AU1183" s="476"/>
    </row>
    <row r="1184" spans="1:47" s="398" customFormat="1" ht="13.15" customHeight="1" x14ac:dyDescent="0.2">
      <c r="A1184" s="476"/>
      <c r="D1184" s="467"/>
      <c r="F1184" s="468"/>
      <c r="G1184" s="468"/>
      <c r="H1184" s="468"/>
      <c r="I1184" s="468"/>
      <c r="J1184" s="469"/>
      <c r="L1184" s="476"/>
      <c r="M1184" s="476"/>
      <c r="N1184" s="476"/>
      <c r="O1184" s="476"/>
      <c r="P1184" s="476"/>
      <c r="Q1184" s="476"/>
      <c r="R1184" s="476"/>
      <c r="S1184" s="476"/>
      <c r="T1184" s="476"/>
      <c r="U1184" s="476"/>
      <c r="V1184" s="476"/>
      <c r="W1184" s="476"/>
      <c r="X1184" s="476"/>
      <c r="Y1184" s="476"/>
      <c r="Z1184" s="476"/>
      <c r="AA1184" s="476"/>
      <c r="AB1184" s="476"/>
      <c r="AC1184" s="476"/>
      <c r="AD1184" s="476"/>
      <c r="AE1184" s="476"/>
      <c r="AF1184" s="476"/>
      <c r="AG1184" s="476"/>
      <c r="AH1184" s="476"/>
      <c r="AI1184" s="476"/>
      <c r="AJ1184" s="476"/>
      <c r="AK1184" s="476"/>
      <c r="AL1184" s="476"/>
      <c r="AM1184" s="476"/>
      <c r="AN1184" s="476"/>
      <c r="AO1184" s="476"/>
      <c r="AP1184" s="476"/>
      <c r="AQ1184" s="476"/>
      <c r="AR1184" s="476"/>
      <c r="AS1184" s="476"/>
      <c r="AT1184" s="476"/>
      <c r="AU1184" s="476"/>
    </row>
    <row r="1185" spans="1:47" s="398" customFormat="1" ht="13.15" customHeight="1" x14ac:dyDescent="0.2">
      <c r="A1185" s="476"/>
      <c r="D1185" s="467"/>
      <c r="F1185" s="468"/>
      <c r="G1185" s="468"/>
      <c r="H1185" s="468"/>
      <c r="I1185" s="468"/>
      <c r="J1185" s="469"/>
      <c r="L1185" s="476"/>
      <c r="M1185" s="476"/>
      <c r="N1185" s="476"/>
      <c r="O1185" s="476"/>
      <c r="P1185" s="476"/>
      <c r="Q1185" s="476"/>
      <c r="R1185" s="476"/>
      <c r="S1185" s="476"/>
      <c r="T1185" s="476"/>
      <c r="U1185" s="476"/>
      <c r="V1185" s="476"/>
      <c r="W1185" s="476"/>
      <c r="X1185" s="476"/>
      <c r="Y1185" s="476"/>
      <c r="Z1185" s="476"/>
      <c r="AA1185" s="476"/>
      <c r="AB1185" s="476"/>
      <c r="AC1185" s="476"/>
      <c r="AD1185" s="476"/>
      <c r="AE1185" s="476"/>
      <c r="AF1185" s="476"/>
      <c r="AG1185" s="476"/>
      <c r="AH1185" s="476"/>
      <c r="AI1185" s="476"/>
      <c r="AJ1185" s="476"/>
      <c r="AK1185" s="476"/>
      <c r="AL1185" s="476"/>
      <c r="AM1185" s="476"/>
      <c r="AN1185" s="476"/>
      <c r="AO1185" s="476"/>
      <c r="AP1185" s="476"/>
      <c r="AQ1185" s="476"/>
      <c r="AR1185" s="476"/>
      <c r="AS1185" s="476"/>
      <c r="AT1185" s="476"/>
      <c r="AU1185" s="476"/>
    </row>
    <row r="1186" spans="1:47" s="398" customFormat="1" ht="13.15" customHeight="1" x14ac:dyDescent="0.2">
      <c r="A1186" s="476"/>
      <c r="D1186" s="467"/>
      <c r="F1186" s="468"/>
      <c r="G1186" s="468"/>
      <c r="H1186" s="468"/>
      <c r="I1186" s="468"/>
      <c r="J1186" s="469"/>
      <c r="L1186" s="476"/>
      <c r="M1186" s="476"/>
      <c r="N1186" s="476"/>
      <c r="O1186" s="476"/>
      <c r="P1186" s="476"/>
      <c r="Q1186" s="476"/>
      <c r="R1186" s="476"/>
      <c r="S1186" s="476"/>
      <c r="T1186" s="476"/>
      <c r="U1186" s="476"/>
      <c r="V1186" s="476"/>
      <c r="W1186" s="476"/>
      <c r="X1186" s="476"/>
      <c r="Y1186" s="476"/>
      <c r="Z1186" s="476"/>
      <c r="AA1186" s="476"/>
      <c r="AB1186" s="476"/>
      <c r="AC1186" s="476"/>
      <c r="AD1186" s="476"/>
      <c r="AE1186" s="476"/>
      <c r="AF1186" s="476"/>
      <c r="AG1186" s="476"/>
      <c r="AH1186" s="476"/>
      <c r="AI1186" s="476"/>
      <c r="AJ1186" s="476"/>
      <c r="AK1186" s="476"/>
      <c r="AL1186" s="476"/>
      <c r="AM1186" s="476"/>
      <c r="AN1186" s="476"/>
      <c r="AO1186" s="476"/>
      <c r="AP1186" s="476"/>
      <c r="AQ1186" s="476"/>
      <c r="AR1186" s="476"/>
      <c r="AS1186" s="476"/>
      <c r="AT1186" s="476"/>
      <c r="AU1186" s="476"/>
    </row>
    <row r="1187" spans="1:47" s="398" customFormat="1" ht="13.15" customHeight="1" x14ac:dyDescent="0.2">
      <c r="A1187" s="476"/>
      <c r="D1187" s="467"/>
      <c r="F1187" s="468"/>
      <c r="G1187" s="468"/>
      <c r="H1187" s="468"/>
      <c r="I1187" s="468"/>
      <c r="J1187" s="469"/>
      <c r="L1187" s="476"/>
      <c r="M1187" s="476"/>
      <c r="N1187" s="476"/>
      <c r="O1187" s="476"/>
      <c r="P1187" s="476"/>
      <c r="Q1187" s="476"/>
      <c r="R1187" s="476"/>
      <c r="S1187" s="476"/>
      <c r="T1187" s="476"/>
      <c r="U1187" s="476"/>
      <c r="V1187" s="476"/>
      <c r="W1187" s="476"/>
      <c r="X1187" s="476"/>
      <c r="Y1187" s="476"/>
      <c r="Z1187" s="476"/>
      <c r="AA1187" s="476"/>
      <c r="AB1187" s="476"/>
      <c r="AC1187" s="476"/>
      <c r="AD1187" s="476"/>
      <c r="AE1187" s="476"/>
      <c r="AF1187" s="476"/>
      <c r="AG1187" s="476"/>
      <c r="AH1187" s="476"/>
      <c r="AI1187" s="476"/>
      <c r="AJ1187" s="476"/>
      <c r="AK1187" s="476"/>
      <c r="AL1187" s="476"/>
      <c r="AM1187" s="476"/>
      <c r="AN1187" s="476"/>
      <c r="AO1187" s="476"/>
      <c r="AP1187" s="476"/>
      <c r="AQ1187" s="476"/>
      <c r="AR1187" s="476"/>
      <c r="AS1187" s="476"/>
      <c r="AT1187" s="476"/>
      <c r="AU1187" s="476"/>
    </row>
    <row r="1188" spans="1:47" s="398" customFormat="1" ht="13.15" customHeight="1" x14ac:dyDescent="0.2">
      <c r="A1188" s="476"/>
      <c r="D1188" s="467"/>
      <c r="F1188" s="468"/>
      <c r="G1188" s="468"/>
      <c r="H1188" s="468"/>
      <c r="I1188" s="468"/>
      <c r="J1188" s="469"/>
      <c r="L1188" s="476"/>
      <c r="M1188" s="476"/>
      <c r="N1188" s="476"/>
      <c r="O1188" s="476"/>
      <c r="P1188" s="476"/>
      <c r="Q1188" s="476"/>
      <c r="R1188" s="476"/>
      <c r="S1188" s="476"/>
      <c r="T1188" s="476"/>
      <c r="U1188" s="476"/>
      <c r="V1188" s="476"/>
      <c r="W1188" s="476"/>
      <c r="X1188" s="476"/>
      <c r="Y1188" s="476"/>
      <c r="Z1188" s="476"/>
      <c r="AA1188" s="476"/>
      <c r="AB1188" s="476"/>
      <c r="AC1188" s="476"/>
      <c r="AD1188" s="476"/>
      <c r="AE1188" s="476"/>
      <c r="AF1188" s="476"/>
      <c r="AG1188" s="476"/>
      <c r="AH1188" s="476"/>
      <c r="AI1188" s="476"/>
      <c r="AJ1188" s="476"/>
      <c r="AK1188" s="476"/>
      <c r="AL1188" s="476"/>
      <c r="AM1188" s="476"/>
      <c r="AN1188" s="476"/>
      <c r="AO1188" s="476"/>
      <c r="AP1188" s="476"/>
      <c r="AQ1188" s="476"/>
      <c r="AR1188" s="476"/>
      <c r="AS1188" s="476"/>
      <c r="AT1188" s="476"/>
      <c r="AU1188" s="476"/>
    </row>
    <row r="1189" spans="1:47" s="398" customFormat="1" ht="13.15" customHeight="1" x14ac:dyDescent="0.2">
      <c r="A1189" s="476"/>
      <c r="D1189" s="467"/>
      <c r="F1189" s="468"/>
      <c r="G1189" s="468"/>
      <c r="H1189" s="468"/>
      <c r="I1189" s="468"/>
      <c r="J1189" s="469"/>
      <c r="L1189" s="476"/>
      <c r="M1189" s="476"/>
      <c r="N1189" s="476"/>
      <c r="O1189" s="476"/>
      <c r="P1189" s="476"/>
      <c r="Q1189" s="476"/>
      <c r="R1189" s="476"/>
      <c r="S1189" s="476"/>
      <c r="T1189" s="476"/>
      <c r="U1189" s="476"/>
      <c r="V1189" s="476"/>
      <c r="W1189" s="476"/>
      <c r="X1189" s="476"/>
      <c r="Y1189" s="476"/>
      <c r="Z1189" s="476"/>
      <c r="AA1189" s="476"/>
      <c r="AB1189" s="476"/>
      <c r="AC1189" s="476"/>
      <c r="AD1189" s="476"/>
      <c r="AE1189" s="476"/>
      <c r="AF1189" s="476"/>
      <c r="AG1189" s="476"/>
      <c r="AH1189" s="476"/>
      <c r="AI1189" s="476"/>
      <c r="AJ1189" s="476"/>
      <c r="AK1189" s="476"/>
      <c r="AL1189" s="476"/>
      <c r="AM1189" s="476"/>
      <c r="AN1189" s="476"/>
      <c r="AO1189" s="476"/>
      <c r="AP1189" s="476"/>
      <c r="AQ1189" s="476"/>
      <c r="AR1189" s="476"/>
      <c r="AS1189" s="476"/>
      <c r="AT1189" s="476"/>
      <c r="AU1189" s="476"/>
    </row>
    <row r="1190" spans="1:47" s="398" customFormat="1" ht="13.15" customHeight="1" x14ac:dyDescent="0.2">
      <c r="A1190" s="476"/>
      <c r="D1190" s="467"/>
      <c r="F1190" s="468"/>
      <c r="G1190" s="468"/>
      <c r="H1190" s="468"/>
      <c r="I1190" s="468"/>
      <c r="J1190" s="469"/>
      <c r="L1190" s="476"/>
      <c r="M1190" s="476"/>
      <c r="N1190" s="476"/>
      <c r="O1190" s="476"/>
      <c r="P1190" s="476"/>
      <c r="Q1190" s="476"/>
      <c r="R1190" s="476"/>
      <c r="S1190" s="476"/>
      <c r="T1190" s="476"/>
      <c r="U1190" s="476"/>
      <c r="V1190" s="476"/>
      <c r="W1190" s="476"/>
      <c r="X1190" s="476"/>
      <c r="Y1190" s="476"/>
      <c r="Z1190" s="476"/>
      <c r="AA1190" s="476"/>
      <c r="AB1190" s="476"/>
      <c r="AC1190" s="476"/>
      <c r="AD1190" s="476"/>
      <c r="AE1190" s="476"/>
      <c r="AF1190" s="476"/>
      <c r="AG1190" s="476"/>
      <c r="AH1190" s="476"/>
      <c r="AI1190" s="476"/>
      <c r="AJ1190" s="476"/>
      <c r="AK1190" s="476"/>
      <c r="AL1190" s="476"/>
      <c r="AM1190" s="476"/>
      <c r="AN1190" s="476"/>
      <c r="AO1190" s="476"/>
      <c r="AP1190" s="476"/>
      <c r="AQ1190" s="476"/>
      <c r="AR1190" s="476"/>
      <c r="AS1190" s="476"/>
      <c r="AT1190" s="476"/>
      <c r="AU1190" s="476"/>
    </row>
    <row r="1191" spans="1:47" s="398" customFormat="1" ht="13.15" customHeight="1" x14ac:dyDescent="0.2">
      <c r="A1191" s="476"/>
      <c r="D1191" s="467"/>
      <c r="F1191" s="468"/>
      <c r="G1191" s="468"/>
      <c r="H1191" s="468"/>
      <c r="I1191" s="468"/>
      <c r="J1191" s="469"/>
      <c r="L1191" s="476"/>
      <c r="M1191" s="476"/>
      <c r="N1191" s="476"/>
      <c r="O1191" s="476"/>
      <c r="P1191" s="476"/>
      <c r="Q1191" s="476"/>
      <c r="R1191" s="476"/>
      <c r="S1191" s="476"/>
      <c r="T1191" s="476"/>
      <c r="U1191" s="476"/>
      <c r="V1191" s="476"/>
      <c r="W1191" s="476"/>
      <c r="X1191" s="476"/>
      <c r="Y1191" s="476"/>
      <c r="Z1191" s="476"/>
      <c r="AA1191" s="476"/>
      <c r="AB1191" s="476"/>
      <c r="AC1191" s="476"/>
      <c r="AD1191" s="476"/>
      <c r="AE1191" s="476"/>
      <c r="AF1191" s="476"/>
      <c r="AG1191" s="476"/>
      <c r="AH1191" s="476"/>
      <c r="AI1191" s="476"/>
      <c r="AJ1191" s="476"/>
      <c r="AK1191" s="476"/>
      <c r="AL1191" s="476"/>
      <c r="AM1191" s="476"/>
      <c r="AN1191" s="476"/>
      <c r="AO1191" s="476"/>
      <c r="AP1191" s="476"/>
      <c r="AQ1191" s="476"/>
      <c r="AR1191" s="476"/>
      <c r="AS1191" s="476"/>
      <c r="AT1191" s="476"/>
      <c r="AU1191" s="476"/>
    </row>
    <row r="1192" spans="1:47" s="398" customFormat="1" ht="13.15" customHeight="1" x14ac:dyDescent="0.2">
      <c r="A1192" s="476"/>
      <c r="D1192" s="467"/>
      <c r="F1192" s="468"/>
      <c r="G1192" s="468"/>
      <c r="H1192" s="468"/>
      <c r="I1192" s="468"/>
      <c r="J1192" s="469"/>
      <c r="L1192" s="476"/>
      <c r="M1192" s="476"/>
      <c r="N1192" s="476"/>
      <c r="O1192" s="476"/>
      <c r="P1192" s="476"/>
      <c r="Q1192" s="476"/>
      <c r="R1192" s="476"/>
      <c r="S1192" s="476"/>
      <c r="T1192" s="476"/>
      <c r="U1192" s="476"/>
      <c r="V1192" s="476"/>
      <c r="W1192" s="476"/>
      <c r="X1192" s="476"/>
      <c r="Y1192" s="476"/>
      <c r="Z1192" s="476"/>
      <c r="AA1192" s="476"/>
      <c r="AB1192" s="476"/>
      <c r="AC1192" s="476"/>
      <c r="AD1192" s="476"/>
      <c r="AE1192" s="476"/>
      <c r="AF1192" s="476"/>
      <c r="AG1192" s="476"/>
      <c r="AH1192" s="476"/>
      <c r="AI1192" s="476"/>
      <c r="AJ1192" s="476"/>
      <c r="AK1192" s="476"/>
      <c r="AL1192" s="476"/>
      <c r="AM1192" s="476"/>
      <c r="AN1192" s="476"/>
      <c r="AO1192" s="476"/>
      <c r="AP1192" s="476"/>
      <c r="AQ1192" s="476"/>
      <c r="AR1192" s="476"/>
      <c r="AS1192" s="476"/>
      <c r="AT1192" s="476"/>
      <c r="AU1192" s="476"/>
    </row>
    <row r="1193" spans="1:47" s="398" customFormat="1" ht="13.15" customHeight="1" x14ac:dyDescent="0.2">
      <c r="A1193" s="476"/>
      <c r="D1193" s="467"/>
      <c r="F1193" s="468"/>
      <c r="G1193" s="468"/>
      <c r="H1193" s="468"/>
      <c r="I1193" s="468"/>
      <c r="J1193" s="469"/>
      <c r="L1193" s="476"/>
      <c r="M1193" s="476"/>
      <c r="N1193" s="476"/>
      <c r="O1193" s="476"/>
      <c r="P1193" s="476"/>
      <c r="Q1193" s="476"/>
      <c r="R1193" s="476"/>
      <c r="S1193" s="476"/>
      <c r="T1193" s="476"/>
      <c r="U1193" s="476"/>
      <c r="V1193" s="476"/>
      <c r="W1193" s="476"/>
      <c r="X1193" s="476"/>
      <c r="Y1193" s="476"/>
      <c r="Z1193" s="476"/>
      <c r="AA1193" s="476"/>
      <c r="AB1193" s="476"/>
      <c r="AC1193" s="476"/>
      <c r="AD1193" s="476"/>
      <c r="AE1193" s="476"/>
      <c r="AF1193" s="476"/>
      <c r="AG1193" s="476"/>
      <c r="AH1193" s="476"/>
      <c r="AI1193" s="476"/>
      <c r="AJ1193" s="476"/>
      <c r="AK1193" s="476"/>
      <c r="AL1193" s="476"/>
      <c r="AM1193" s="476"/>
      <c r="AN1193" s="476"/>
      <c r="AO1193" s="476"/>
      <c r="AP1193" s="476"/>
      <c r="AQ1193" s="476"/>
      <c r="AR1193" s="476"/>
      <c r="AS1193" s="476"/>
      <c r="AT1193" s="476"/>
      <c r="AU1193" s="476"/>
    </row>
    <row r="1194" spans="1:47" s="398" customFormat="1" ht="13.15" customHeight="1" x14ac:dyDescent="0.2">
      <c r="A1194" s="476"/>
      <c r="D1194" s="467"/>
      <c r="F1194" s="468"/>
      <c r="G1194" s="468"/>
      <c r="H1194" s="468"/>
      <c r="I1194" s="468"/>
      <c r="J1194" s="469"/>
      <c r="L1194" s="476"/>
      <c r="M1194" s="476"/>
      <c r="N1194" s="476"/>
      <c r="O1194" s="476"/>
      <c r="P1194" s="476"/>
      <c r="Q1194" s="476"/>
      <c r="R1194" s="476"/>
      <c r="S1194" s="476"/>
      <c r="T1194" s="476"/>
      <c r="U1194" s="476"/>
      <c r="V1194" s="476"/>
      <c r="W1194" s="476"/>
      <c r="X1194" s="476"/>
      <c r="Y1194" s="476"/>
      <c r="Z1194" s="476"/>
      <c r="AA1194" s="476"/>
      <c r="AB1194" s="476"/>
      <c r="AC1194" s="476"/>
      <c r="AD1194" s="476"/>
      <c r="AE1194" s="476"/>
      <c r="AF1194" s="476"/>
      <c r="AG1194" s="476"/>
      <c r="AH1194" s="476"/>
      <c r="AI1194" s="476"/>
      <c r="AJ1194" s="476"/>
      <c r="AK1194" s="476"/>
      <c r="AL1194" s="476"/>
      <c r="AM1194" s="476"/>
      <c r="AN1194" s="476"/>
      <c r="AO1194" s="476"/>
      <c r="AP1194" s="476"/>
      <c r="AQ1194" s="476"/>
      <c r="AR1194" s="476"/>
      <c r="AS1194" s="476"/>
      <c r="AT1194" s="476"/>
      <c r="AU1194" s="476"/>
    </row>
    <row r="1195" spans="1:47" s="398" customFormat="1" ht="13.15" customHeight="1" x14ac:dyDescent="0.2">
      <c r="A1195" s="476"/>
      <c r="D1195" s="467"/>
      <c r="F1195" s="468"/>
      <c r="G1195" s="468"/>
      <c r="H1195" s="468"/>
      <c r="I1195" s="468"/>
      <c r="J1195" s="469"/>
      <c r="L1195" s="476"/>
      <c r="M1195" s="476"/>
      <c r="N1195" s="476"/>
      <c r="O1195" s="476"/>
      <c r="P1195" s="476"/>
      <c r="Q1195" s="476"/>
      <c r="R1195" s="476"/>
      <c r="S1195" s="476"/>
      <c r="T1195" s="476"/>
      <c r="U1195" s="476"/>
      <c r="V1195" s="476"/>
      <c r="W1195" s="476"/>
      <c r="X1195" s="476"/>
      <c r="Y1195" s="476"/>
      <c r="Z1195" s="476"/>
      <c r="AA1195" s="476"/>
      <c r="AB1195" s="476"/>
      <c r="AC1195" s="476"/>
      <c r="AD1195" s="476"/>
      <c r="AE1195" s="476"/>
      <c r="AF1195" s="476"/>
      <c r="AG1195" s="476"/>
      <c r="AH1195" s="476"/>
      <c r="AI1195" s="476"/>
      <c r="AJ1195" s="476"/>
      <c r="AK1195" s="476"/>
      <c r="AL1195" s="476"/>
      <c r="AM1195" s="476"/>
      <c r="AN1195" s="476"/>
      <c r="AO1195" s="476"/>
      <c r="AP1195" s="476"/>
      <c r="AQ1195" s="476"/>
      <c r="AR1195" s="476"/>
      <c r="AS1195" s="476"/>
      <c r="AT1195" s="476"/>
      <c r="AU1195" s="476"/>
    </row>
    <row r="1196" spans="1:47" s="398" customFormat="1" ht="13.15" customHeight="1" x14ac:dyDescent="0.2">
      <c r="A1196" s="476"/>
      <c r="D1196" s="467"/>
      <c r="F1196" s="468"/>
      <c r="G1196" s="468"/>
      <c r="H1196" s="468"/>
      <c r="I1196" s="468"/>
      <c r="J1196" s="469"/>
      <c r="L1196" s="476"/>
      <c r="M1196" s="476"/>
      <c r="N1196" s="476"/>
      <c r="O1196" s="476"/>
      <c r="P1196" s="476"/>
      <c r="Q1196" s="476"/>
      <c r="R1196" s="476"/>
      <c r="S1196" s="476"/>
      <c r="T1196" s="476"/>
      <c r="U1196" s="476"/>
      <c r="V1196" s="476"/>
      <c r="W1196" s="476"/>
      <c r="X1196" s="476"/>
      <c r="Y1196" s="476"/>
      <c r="Z1196" s="476"/>
      <c r="AA1196" s="476"/>
      <c r="AB1196" s="476"/>
      <c r="AC1196" s="476"/>
      <c r="AD1196" s="476"/>
      <c r="AE1196" s="476"/>
      <c r="AF1196" s="476"/>
      <c r="AG1196" s="476"/>
      <c r="AH1196" s="476"/>
      <c r="AI1196" s="476"/>
      <c r="AJ1196" s="476"/>
      <c r="AK1196" s="476"/>
      <c r="AL1196" s="476"/>
      <c r="AM1196" s="476"/>
      <c r="AN1196" s="476"/>
      <c r="AO1196" s="476"/>
      <c r="AP1196" s="476"/>
      <c r="AQ1196" s="476"/>
      <c r="AR1196" s="476"/>
      <c r="AS1196" s="476"/>
      <c r="AT1196" s="476"/>
      <c r="AU1196" s="476"/>
    </row>
    <row r="1197" spans="1:47" s="398" customFormat="1" ht="13.15" customHeight="1" x14ac:dyDescent="0.2">
      <c r="A1197" s="476"/>
      <c r="D1197" s="467"/>
      <c r="F1197" s="468"/>
      <c r="G1197" s="468"/>
      <c r="H1197" s="468"/>
      <c r="I1197" s="468"/>
      <c r="J1197" s="469"/>
      <c r="L1197" s="476"/>
      <c r="M1197" s="476"/>
      <c r="N1197" s="476"/>
      <c r="O1197" s="476"/>
      <c r="P1197" s="476"/>
      <c r="Q1197" s="476"/>
      <c r="R1197" s="476"/>
      <c r="S1197" s="476"/>
      <c r="T1197" s="476"/>
      <c r="U1197" s="476"/>
      <c r="V1197" s="476"/>
      <c r="W1197" s="476"/>
      <c r="X1197" s="476"/>
      <c r="Y1197" s="476"/>
      <c r="Z1197" s="476"/>
      <c r="AA1197" s="476"/>
      <c r="AB1197" s="476"/>
      <c r="AC1197" s="476"/>
      <c r="AD1197" s="476"/>
      <c r="AE1197" s="476"/>
      <c r="AF1197" s="476"/>
      <c r="AG1197" s="476"/>
      <c r="AH1197" s="476"/>
      <c r="AI1197" s="476"/>
      <c r="AJ1197" s="476"/>
      <c r="AK1197" s="476"/>
      <c r="AL1197" s="476"/>
      <c r="AM1197" s="476"/>
      <c r="AN1197" s="476"/>
      <c r="AO1197" s="476"/>
      <c r="AP1197" s="476"/>
      <c r="AQ1197" s="476"/>
      <c r="AR1197" s="476"/>
      <c r="AS1197" s="476"/>
      <c r="AT1197" s="476"/>
      <c r="AU1197" s="476"/>
    </row>
    <row r="1198" spans="1:47" s="398" customFormat="1" ht="13.15" customHeight="1" x14ac:dyDescent="0.2">
      <c r="A1198" s="476"/>
      <c r="D1198" s="467"/>
      <c r="F1198" s="468"/>
      <c r="G1198" s="468"/>
      <c r="H1198" s="468"/>
      <c r="I1198" s="468"/>
      <c r="J1198" s="469"/>
      <c r="L1198" s="476"/>
      <c r="M1198" s="476"/>
      <c r="N1198" s="476"/>
      <c r="O1198" s="476"/>
      <c r="P1198" s="476"/>
      <c r="Q1198" s="476"/>
      <c r="R1198" s="476"/>
      <c r="S1198" s="476"/>
      <c r="T1198" s="476"/>
      <c r="U1198" s="476"/>
      <c r="V1198" s="476"/>
      <c r="W1198" s="476"/>
      <c r="X1198" s="476"/>
      <c r="Y1198" s="476"/>
      <c r="Z1198" s="476"/>
      <c r="AA1198" s="476"/>
      <c r="AB1198" s="476"/>
      <c r="AC1198" s="476"/>
      <c r="AD1198" s="476"/>
      <c r="AE1198" s="476"/>
      <c r="AF1198" s="476"/>
      <c r="AG1198" s="476"/>
      <c r="AH1198" s="476"/>
      <c r="AI1198" s="476"/>
      <c r="AJ1198" s="476"/>
      <c r="AK1198" s="476"/>
      <c r="AL1198" s="476"/>
      <c r="AM1198" s="476"/>
      <c r="AN1198" s="476"/>
      <c r="AO1198" s="476"/>
      <c r="AP1198" s="476"/>
      <c r="AQ1198" s="476"/>
      <c r="AR1198" s="476"/>
      <c r="AS1198" s="476"/>
      <c r="AT1198" s="476"/>
      <c r="AU1198" s="476"/>
    </row>
    <row r="1199" spans="1:47" s="398" customFormat="1" ht="13.15" customHeight="1" x14ac:dyDescent="0.2">
      <c r="A1199" s="476"/>
      <c r="D1199" s="467"/>
      <c r="F1199" s="468"/>
      <c r="G1199" s="468"/>
      <c r="H1199" s="468"/>
      <c r="I1199" s="468"/>
      <c r="J1199" s="469"/>
      <c r="L1199" s="476"/>
      <c r="M1199" s="476"/>
      <c r="N1199" s="476"/>
      <c r="O1199" s="476"/>
      <c r="P1199" s="476"/>
      <c r="Q1199" s="476"/>
      <c r="R1199" s="476"/>
      <c r="S1199" s="476"/>
      <c r="T1199" s="476"/>
      <c r="U1199" s="476"/>
      <c r="V1199" s="476"/>
      <c r="W1199" s="476"/>
      <c r="X1199" s="476"/>
      <c r="Y1199" s="476"/>
      <c r="Z1199" s="476"/>
      <c r="AA1199" s="476"/>
      <c r="AB1199" s="476"/>
      <c r="AC1199" s="476"/>
      <c r="AD1199" s="476"/>
      <c r="AE1199" s="476"/>
      <c r="AF1199" s="476"/>
      <c r="AG1199" s="476"/>
      <c r="AH1199" s="476"/>
      <c r="AI1199" s="476"/>
      <c r="AJ1199" s="476"/>
      <c r="AK1199" s="476"/>
      <c r="AL1199" s="476"/>
      <c r="AM1199" s="476"/>
      <c r="AN1199" s="476"/>
      <c r="AO1199" s="476"/>
      <c r="AP1199" s="476"/>
      <c r="AQ1199" s="476"/>
      <c r="AR1199" s="476"/>
      <c r="AS1199" s="476"/>
      <c r="AT1199" s="476"/>
      <c r="AU1199" s="476"/>
    </row>
    <row r="1200" spans="1:47" s="398" customFormat="1" ht="13.15" customHeight="1" x14ac:dyDescent="0.2">
      <c r="A1200" s="476"/>
      <c r="D1200" s="467"/>
      <c r="F1200" s="468"/>
      <c r="G1200" s="468"/>
      <c r="H1200" s="468"/>
      <c r="I1200" s="468"/>
      <c r="J1200" s="469"/>
      <c r="L1200" s="476"/>
      <c r="M1200" s="476"/>
      <c r="N1200" s="476"/>
      <c r="O1200" s="476"/>
      <c r="P1200" s="476"/>
      <c r="Q1200" s="476"/>
      <c r="R1200" s="476"/>
      <c r="S1200" s="476"/>
      <c r="T1200" s="476"/>
      <c r="U1200" s="476"/>
      <c r="V1200" s="476"/>
      <c r="W1200" s="476"/>
      <c r="X1200" s="476"/>
      <c r="Y1200" s="476"/>
      <c r="Z1200" s="476"/>
      <c r="AA1200" s="476"/>
      <c r="AB1200" s="476"/>
      <c r="AC1200" s="476"/>
      <c r="AD1200" s="476"/>
      <c r="AE1200" s="476"/>
      <c r="AF1200" s="476"/>
      <c r="AG1200" s="476"/>
      <c r="AH1200" s="476"/>
      <c r="AI1200" s="476"/>
      <c r="AJ1200" s="476"/>
      <c r="AK1200" s="476"/>
      <c r="AL1200" s="476"/>
      <c r="AM1200" s="476"/>
      <c r="AN1200" s="476"/>
      <c r="AO1200" s="476"/>
      <c r="AP1200" s="476"/>
      <c r="AQ1200" s="476"/>
      <c r="AR1200" s="476"/>
      <c r="AS1200" s="476"/>
      <c r="AT1200" s="476"/>
      <c r="AU1200" s="476"/>
    </row>
    <row r="1201" spans="1:47" s="398" customFormat="1" ht="13.15" customHeight="1" x14ac:dyDescent="0.2">
      <c r="A1201" s="476"/>
      <c r="D1201" s="467"/>
      <c r="F1201" s="468"/>
      <c r="G1201" s="468"/>
      <c r="H1201" s="468"/>
      <c r="I1201" s="468"/>
      <c r="J1201" s="469"/>
      <c r="L1201" s="476"/>
      <c r="M1201" s="476"/>
      <c r="N1201" s="476"/>
      <c r="O1201" s="476"/>
      <c r="P1201" s="476"/>
      <c r="Q1201" s="476"/>
      <c r="R1201" s="476"/>
      <c r="S1201" s="476"/>
      <c r="T1201" s="476"/>
      <c r="U1201" s="476"/>
      <c r="V1201" s="476"/>
      <c r="W1201" s="476"/>
      <c r="X1201" s="476"/>
      <c r="Y1201" s="476"/>
      <c r="Z1201" s="476"/>
      <c r="AA1201" s="476"/>
      <c r="AB1201" s="476"/>
      <c r="AC1201" s="476"/>
      <c r="AD1201" s="476"/>
      <c r="AE1201" s="476"/>
      <c r="AF1201" s="476"/>
      <c r="AG1201" s="476"/>
      <c r="AH1201" s="476"/>
      <c r="AI1201" s="476"/>
      <c r="AJ1201" s="476"/>
      <c r="AK1201" s="476"/>
      <c r="AL1201" s="476"/>
      <c r="AM1201" s="476"/>
      <c r="AN1201" s="476"/>
      <c r="AO1201" s="476"/>
      <c r="AP1201" s="476"/>
      <c r="AQ1201" s="476"/>
      <c r="AR1201" s="476"/>
      <c r="AS1201" s="476"/>
      <c r="AT1201" s="476"/>
      <c r="AU1201" s="476"/>
    </row>
    <row r="1202" spans="1:47" s="398" customFormat="1" ht="13.15" customHeight="1" x14ac:dyDescent="0.2">
      <c r="A1202" s="476"/>
      <c r="D1202" s="467"/>
      <c r="F1202" s="468"/>
      <c r="G1202" s="468"/>
      <c r="H1202" s="468"/>
      <c r="I1202" s="468"/>
      <c r="J1202" s="469"/>
      <c r="L1202" s="476"/>
      <c r="M1202" s="476"/>
      <c r="N1202" s="476"/>
      <c r="O1202" s="476"/>
      <c r="P1202" s="476"/>
      <c r="Q1202" s="476"/>
      <c r="R1202" s="476"/>
      <c r="S1202" s="476"/>
      <c r="T1202" s="476"/>
      <c r="U1202" s="476"/>
      <c r="V1202" s="476"/>
      <c r="W1202" s="476"/>
      <c r="X1202" s="476"/>
      <c r="Y1202" s="476"/>
      <c r="Z1202" s="476"/>
      <c r="AA1202" s="476"/>
      <c r="AB1202" s="476"/>
      <c r="AC1202" s="476"/>
      <c r="AD1202" s="476"/>
      <c r="AE1202" s="476"/>
      <c r="AF1202" s="476"/>
      <c r="AG1202" s="476"/>
      <c r="AH1202" s="476"/>
      <c r="AI1202" s="476"/>
      <c r="AJ1202" s="476"/>
      <c r="AK1202" s="476"/>
      <c r="AL1202" s="476"/>
      <c r="AM1202" s="476"/>
      <c r="AN1202" s="476"/>
      <c r="AO1202" s="476"/>
      <c r="AP1202" s="476"/>
      <c r="AQ1202" s="476"/>
      <c r="AR1202" s="476"/>
      <c r="AS1202" s="476"/>
      <c r="AT1202" s="476"/>
      <c r="AU1202" s="476"/>
    </row>
    <row r="1203" spans="1:47" s="398" customFormat="1" ht="13.15" customHeight="1" x14ac:dyDescent="0.2">
      <c r="A1203" s="476"/>
      <c r="D1203" s="467"/>
      <c r="F1203" s="468"/>
      <c r="G1203" s="468"/>
      <c r="H1203" s="468"/>
      <c r="I1203" s="468"/>
      <c r="J1203" s="469"/>
      <c r="L1203" s="476"/>
      <c r="M1203" s="476"/>
      <c r="N1203" s="476"/>
      <c r="O1203" s="476"/>
      <c r="P1203" s="476"/>
      <c r="Q1203" s="476"/>
      <c r="R1203" s="476"/>
      <c r="S1203" s="476"/>
      <c r="T1203" s="476"/>
      <c r="U1203" s="476"/>
      <c r="V1203" s="476"/>
      <c r="W1203" s="476"/>
      <c r="X1203" s="476"/>
      <c r="Y1203" s="476"/>
      <c r="Z1203" s="476"/>
      <c r="AA1203" s="476"/>
      <c r="AB1203" s="476"/>
      <c r="AC1203" s="476"/>
      <c r="AD1203" s="476"/>
      <c r="AE1203" s="476"/>
      <c r="AF1203" s="476"/>
      <c r="AG1203" s="476"/>
      <c r="AH1203" s="476"/>
      <c r="AI1203" s="476"/>
      <c r="AJ1203" s="476"/>
      <c r="AK1203" s="476"/>
      <c r="AL1203" s="476"/>
      <c r="AM1203" s="476"/>
      <c r="AN1203" s="476"/>
      <c r="AO1203" s="476"/>
      <c r="AP1203" s="476"/>
      <c r="AQ1203" s="476"/>
      <c r="AR1203" s="476"/>
      <c r="AS1203" s="476"/>
      <c r="AT1203" s="476"/>
      <c r="AU1203" s="476"/>
    </row>
    <row r="1204" spans="1:47" s="398" customFormat="1" ht="13.15" customHeight="1" x14ac:dyDescent="0.2">
      <c r="A1204" s="476"/>
      <c r="D1204" s="467"/>
      <c r="F1204" s="468"/>
      <c r="G1204" s="468"/>
      <c r="H1204" s="468"/>
      <c r="I1204" s="468"/>
      <c r="J1204" s="469"/>
      <c r="L1204" s="476"/>
      <c r="M1204" s="476"/>
      <c r="N1204" s="476"/>
      <c r="O1204" s="476"/>
      <c r="P1204" s="476"/>
      <c r="Q1204" s="476"/>
      <c r="R1204" s="476"/>
      <c r="S1204" s="476"/>
      <c r="T1204" s="476"/>
      <c r="U1204" s="476"/>
      <c r="V1204" s="476"/>
      <c r="W1204" s="476"/>
      <c r="X1204" s="476"/>
      <c r="Y1204" s="476"/>
      <c r="Z1204" s="476"/>
      <c r="AA1204" s="476"/>
      <c r="AB1204" s="476"/>
      <c r="AC1204" s="476"/>
      <c r="AD1204" s="476"/>
      <c r="AE1204" s="476"/>
      <c r="AF1204" s="476"/>
      <c r="AG1204" s="476"/>
      <c r="AH1204" s="476"/>
      <c r="AI1204" s="476"/>
      <c r="AJ1204" s="476"/>
      <c r="AK1204" s="476"/>
      <c r="AL1204" s="476"/>
      <c r="AM1204" s="476"/>
      <c r="AN1204" s="476"/>
      <c r="AO1204" s="476"/>
      <c r="AP1204" s="476"/>
      <c r="AQ1204" s="476"/>
      <c r="AR1204" s="476"/>
      <c r="AS1204" s="476"/>
      <c r="AT1204" s="476"/>
      <c r="AU1204" s="476"/>
    </row>
    <row r="1205" spans="1:47" s="398" customFormat="1" ht="13.15" customHeight="1" x14ac:dyDescent="0.2">
      <c r="A1205" s="476"/>
      <c r="D1205" s="467"/>
      <c r="F1205" s="468"/>
      <c r="G1205" s="468"/>
      <c r="H1205" s="468"/>
      <c r="I1205" s="468"/>
      <c r="J1205" s="469"/>
      <c r="L1205" s="476"/>
      <c r="M1205" s="476"/>
      <c r="N1205" s="476"/>
      <c r="O1205" s="476"/>
      <c r="P1205" s="476"/>
      <c r="Q1205" s="476"/>
      <c r="R1205" s="476"/>
      <c r="S1205" s="476"/>
      <c r="T1205" s="476"/>
      <c r="U1205" s="476"/>
      <c r="V1205" s="476"/>
      <c r="W1205" s="476"/>
      <c r="X1205" s="476"/>
      <c r="Y1205" s="476"/>
      <c r="Z1205" s="476"/>
      <c r="AA1205" s="476"/>
      <c r="AB1205" s="476"/>
      <c r="AC1205" s="476"/>
      <c r="AD1205" s="476"/>
      <c r="AE1205" s="476"/>
      <c r="AF1205" s="476"/>
      <c r="AG1205" s="476"/>
      <c r="AH1205" s="476"/>
      <c r="AI1205" s="476"/>
      <c r="AJ1205" s="476"/>
      <c r="AK1205" s="476"/>
      <c r="AL1205" s="476"/>
      <c r="AM1205" s="476"/>
      <c r="AN1205" s="476"/>
      <c r="AO1205" s="476"/>
      <c r="AP1205" s="476"/>
      <c r="AQ1205" s="476"/>
      <c r="AR1205" s="476"/>
      <c r="AS1205" s="476"/>
      <c r="AT1205" s="476"/>
      <c r="AU1205" s="476"/>
    </row>
    <row r="1206" spans="1:47" s="398" customFormat="1" ht="13.15" customHeight="1" x14ac:dyDescent="0.2">
      <c r="A1206" s="476"/>
      <c r="D1206" s="467"/>
      <c r="F1206" s="468"/>
      <c r="G1206" s="468"/>
      <c r="H1206" s="468"/>
      <c r="I1206" s="468"/>
      <c r="J1206" s="469"/>
      <c r="L1206" s="476"/>
      <c r="M1206" s="476"/>
      <c r="N1206" s="476"/>
      <c r="O1206" s="476"/>
      <c r="P1206" s="476"/>
      <c r="Q1206" s="476"/>
      <c r="R1206" s="476"/>
      <c r="S1206" s="476"/>
      <c r="T1206" s="476"/>
      <c r="U1206" s="476"/>
      <c r="V1206" s="476"/>
      <c r="W1206" s="476"/>
      <c r="X1206" s="476"/>
      <c r="Y1206" s="476"/>
      <c r="Z1206" s="476"/>
      <c r="AA1206" s="476"/>
      <c r="AB1206" s="476"/>
      <c r="AC1206" s="476"/>
      <c r="AD1206" s="476"/>
      <c r="AE1206" s="476"/>
      <c r="AF1206" s="476"/>
      <c r="AG1206" s="476"/>
      <c r="AH1206" s="476"/>
      <c r="AI1206" s="476"/>
      <c r="AJ1206" s="476"/>
      <c r="AK1206" s="476"/>
      <c r="AL1206" s="476"/>
      <c r="AM1206" s="476"/>
      <c r="AN1206" s="476"/>
      <c r="AO1206" s="476"/>
      <c r="AP1206" s="476"/>
      <c r="AQ1206" s="476"/>
      <c r="AR1206" s="476"/>
      <c r="AS1206" s="476"/>
      <c r="AT1206" s="476"/>
      <c r="AU1206" s="476"/>
    </row>
    <row r="1207" spans="1:47" s="398" customFormat="1" ht="13.15" customHeight="1" x14ac:dyDescent="0.2">
      <c r="A1207" s="476"/>
      <c r="D1207" s="467"/>
      <c r="F1207" s="468"/>
      <c r="G1207" s="468"/>
      <c r="H1207" s="468"/>
      <c r="I1207" s="468"/>
      <c r="J1207" s="469"/>
      <c r="L1207" s="476"/>
      <c r="M1207" s="476"/>
      <c r="N1207" s="476"/>
      <c r="O1207" s="476"/>
      <c r="P1207" s="476"/>
      <c r="Q1207" s="476"/>
      <c r="R1207" s="476"/>
      <c r="S1207" s="476"/>
      <c r="T1207" s="476"/>
      <c r="U1207" s="476"/>
      <c r="V1207" s="476"/>
      <c r="W1207" s="476"/>
      <c r="X1207" s="476"/>
      <c r="Y1207" s="476"/>
      <c r="Z1207" s="476"/>
      <c r="AA1207" s="476"/>
      <c r="AB1207" s="476"/>
      <c r="AC1207" s="476"/>
      <c r="AD1207" s="476"/>
      <c r="AE1207" s="476"/>
      <c r="AF1207" s="476"/>
      <c r="AG1207" s="476"/>
      <c r="AH1207" s="476"/>
      <c r="AI1207" s="476"/>
      <c r="AJ1207" s="476"/>
      <c r="AK1207" s="476"/>
      <c r="AL1207" s="476"/>
      <c r="AM1207" s="476"/>
      <c r="AN1207" s="476"/>
      <c r="AO1207" s="476"/>
      <c r="AP1207" s="476"/>
      <c r="AQ1207" s="476"/>
      <c r="AR1207" s="476"/>
      <c r="AS1207" s="476"/>
      <c r="AT1207" s="476"/>
      <c r="AU1207" s="476"/>
    </row>
    <row r="1208" spans="1:47" s="398" customFormat="1" ht="13.15" customHeight="1" x14ac:dyDescent="0.2">
      <c r="A1208" s="476"/>
      <c r="D1208" s="467"/>
      <c r="F1208" s="468"/>
      <c r="G1208" s="468"/>
      <c r="H1208" s="468"/>
      <c r="I1208" s="468"/>
      <c r="J1208" s="469"/>
      <c r="L1208" s="476"/>
      <c r="M1208" s="476"/>
      <c r="N1208" s="476"/>
      <c r="O1208" s="476"/>
      <c r="P1208" s="476"/>
      <c r="Q1208" s="476"/>
      <c r="R1208" s="476"/>
      <c r="S1208" s="476"/>
      <c r="T1208" s="476"/>
      <c r="U1208" s="476"/>
      <c r="V1208" s="476"/>
      <c r="W1208" s="476"/>
      <c r="X1208" s="476"/>
      <c r="Y1208" s="476"/>
      <c r="Z1208" s="476"/>
      <c r="AA1208" s="476"/>
      <c r="AB1208" s="476"/>
      <c r="AC1208" s="476"/>
      <c r="AD1208" s="476"/>
      <c r="AE1208" s="476"/>
      <c r="AF1208" s="476"/>
      <c r="AG1208" s="476"/>
      <c r="AH1208" s="476"/>
      <c r="AI1208" s="476"/>
      <c r="AJ1208" s="476"/>
      <c r="AK1208" s="476"/>
      <c r="AL1208" s="476"/>
      <c r="AM1208" s="476"/>
      <c r="AN1208" s="476"/>
      <c r="AO1208" s="476"/>
      <c r="AP1208" s="476"/>
      <c r="AQ1208" s="476"/>
      <c r="AR1208" s="476"/>
      <c r="AS1208" s="476"/>
      <c r="AT1208" s="476"/>
      <c r="AU1208" s="476"/>
    </row>
    <row r="1209" spans="1:47" s="398" customFormat="1" ht="13.15" customHeight="1" x14ac:dyDescent="0.2">
      <c r="A1209" s="476"/>
      <c r="D1209" s="467"/>
      <c r="F1209" s="468"/>
      <c r="G1209" s="468"/>
      <c r="H1209" s="468"/>
      <c r="I1209" s="468"/>
      <c r="J1209" s="469"/>
      <c r="L1209" s="476"/>
      <c r="M1209" s="476"/>
      <c r="N1209" s="476"/>
      <c r="O1209" s="476"/>
      <c r="P1209" s="476"/>
      <c r="Q1209" s="476"/>
      <c r="R1209" s="476"/>
      <c r="S1209" s="476"/>
      <c r="T1209" s="476"/>
      <c r="U1209" s="476"/>
      <c r="V1209" s="476"/>
      <c r="W1209" s="476"/>
      <c r="X1209" s="476"/>
      <c r="Y1209" s="476"/>
      <c r="Z1209" s="476"/>
      <c r="AA1209" s="476"/>
      <c r="AB1209" s="476"/>
      <c r="AC1209" s="476"/>
      <c r="AD1209" s="476"/>
      <c r="AE1209" s="476"/>
      <c r="AF1209" s="476"/>
      <c r="AG1209" s="476"/>
      <c r="AH1209" s="476"/>
      <c r="AI1209" s="476"/>
      <c r="AJ1209" s="476"/>
      <c r="AK1209" s="476"/>
      <c r="AL1209" s="476"/>
      <c r="AM1209" s="476"/>
      <c r="AN1209" s="476"/>
      <c r="AO1209" s="476"/>
      <c r="AP1209" s="476"/>
      <c r="AQ1209" s="476"/>
      <c r="AR1209" s="476"/>
      <c r="AS1209" s="476"/>
      <c r="AT1209" s="476"/>
      <c r="AU1209" s="476"/>
    </row>
    <row r="1210" spans="1:47" s="398" customFormat="1" ht="13.15" customHeight="1" x14ac:dyDescent="0.2">
      <c r="A1210" s="476"/>
      <c r="D1210" s="467"/>
      <c r="F1210" s="468"/>
      <c r="G1210" s="468"/>
      <c r="H1210" s="468"/>
      <c r="I1210" s="468"/>
      <c r="J1210" s="469"/>
      <c r="L1210" s="476"/>
      <c r="M1210" s="476"/>
      <c r="N1210" s="476"/>
      <c r="O1210" s="476"/>
      <c r="P1210" s="476"/>
      <c r="Q1210" s="476"/>
      <c r="R1210" s="476"/>
      <c r="S1210" s="476"/>
      <c r="T1210" s="476"/>
      <c r="U1210" s="476"/>
      <c r="V1210" s="476"/>
      <c r="W1210" s="476"/>
      <c r="X1210" s="476"/>
      <c r="Y1210" s="476"/>
      <c r="Z1210" s="476"/>
      <c r="AA1210" s="476"/>
      <c r="AB1210" s="476"/>
      <c r="AC1210" s="476"/>
      <c r="AD1210" s="476"/>
      <c r="AE1210" s="476"/>
      <c r="AF1210" s="476"/>
      <c r="AG1210" s="476"/>
      <c r="AH1210" s="476"/>
      <c r="AI1210" s="476"/>
      <c r="AJ1210" s="476"/>
      <c r="AK1210" s="476"/>
      <c r="AL1210" s="476"/>
      <c r="AM1210" s="476"/>
      <c r="AN1210" s="476"/>
      <c r="AO1210" s="476"/>
      <c r="AP1210" s="476"/>
      <c r="AQ1210" s="476"/>
      <c r="AR1210" s="476"/>
      <c r="AS1210" s="476"/>
      <c r="AT1210" s="476"/>
      <c r="AU1210" s="476"/>
    </row>
    <row r="1211" spans="1:47" s="398" customFormat="1" ht="13.15" customHeight="1" x14ac:dyDescent="0.2">
      <c r="A1211" s="476"/>
      <c r="D1211" s="467"/>
      <c r="F1211" s="468"/>
      <c r="G1211" s="468"/>
      <c r="H1211" s="468"/>
      <c r="I1211" s="468"/>
      <c r="J1211" s="469"/>
      <c r="L1211" s="476"/>
      <c r="M1211" s="476"/>
      <c r="N1211" s="476"/>
      <c r="O1211" s="476"/>
      <c r="P1211" s="476"/>
      <c r="Q1211" s="476"/>
      <c r="R1211" s="476"/>
      <c r="S1211" s="476"/>
      <c r="T1211" s="476"/>
      <c r="U1211" s="476"/>
      <c r="V1211" s="476"/>
      <c r="W1211" s="476"/>
      <c r="X1211" s="476"/>
      <c r="Y1211" s="476"/>
      <c r="Z1211" s="476"/>
      <c r="AA1211" s="476"/>
      <c r="AB1211" s="476"/>
      <c r="AC1211" s="476"/>
      <c r="AD1211" s="476"/>
      <c r="AE1211" s="476"/>
      <c r="AF1211" s="476"/>
      <c r="AG1211" s="476"/>
      <c r="AH1211" s="476"/>
      <c r="AI1211" s="476"/>
      <c r="AJ1211" s="476"/>
      <c r="AK1211" s="476"/>
      <c r="AL1211" s="476"/>
      <c r="AM1211" s="476"/>
      <c r="AN1211" s="476"/>
      <c r="AO1211" s="476"/>
      <c r="AP1211" s="476"/>
      <c r="AQ1211" s="476"/>
      <c r="AR1211" s="476"/>
      <c r="AS1211" s="476"/>
      <c r="AT1211" s="476"/>
      <c r="AU1211" s="476"/>
    </row>
    <row r="1212" spans="1:47" s="398" customFormat="1" ht="13.15" customHeight="1" x14ac:dyDescent="0.2">
      <c r="A1212" s="476"/>
      <c r="D1212" s="467"/>
      <c r="F1212" s="468"/>
      <c r="G1212" s="468"/>
      <c r="H1212" s="468"/>
      <c r="I1212" s="468"/>
      <c r="J1212" s="469"/>
      <c r="L1212" s="476"/>
      <c r="M1212" s="476"/>
      <c r="N1212" s="476"/>
      <c r="O1212" s="476"/>
      <c r="P1212" s="476"/>
      <c r="Q1212" s="476"/>
      <c r="R1212" s="476"/>
      <c r="S1212" s="476"/>
      <c r="T1212" s="476"/>
      <c r="U1212" s="476"/>
      <c r="V1212" s="476"/>
      <c r="W1212" s="476"/>
      <c r="X1212" s="476"/>
      <c r="Y1212" s="476"/>
      <c r="Z1212" s="476"/>
      <c r="AA1212" s="476"/>
      <c r="AB1212" s="476"/>
      <c r="AC1212" s="476"/>
      <c r="AD1212" s="476"/>
      <c r="AE1212" s="476"/>
      <c r="AF1212" s="476"/>
      <c r="AG1212" s="476"/>
      <c r="AH1212" s="476"/>
      <c r="AI1212" s="476"/>
      <c r="AJ1212" s="476"/>
      <c r="AK1212" s="476"/>
      <c r="AL1212" s="476"/>
      <c r="AM1212" s="476"/>
      <c r="AN1212" s="476"/>
      <c r="AO1212" s="476"/>
      <c r="AP1212" s="476"/>
      <c r="AQ1212" s="476"/>
      <c r="AR1212" s="476"/>
      <c r="AS1212" s="476"/>
      <c r="AT1212" s="476"/>
      <c r="AU1212" s="476"/>
    </row>
    <row r="1213" spans="1:47" s="398" customFormat="1" ht="13.15" customHeight="1" x14ac:dyDescent="0.2">
      <c r="A1213" s="476"/>
      <c r="D1213" s="467"/>
      <c r="F1213" s="468"/>
      <c r="G1213" s="468"/>
      <c r="H1213" s="468"/>
      <c r="I1213" s="468"/>
      <c r="J1213" s="469"/>
      <c r="L1213" s="476"/>
      <c r="M1213" s="476"/>
      <c r="N1213" s="476"/>
      <c r="O1213" s="476"/>
      <c r="P1213" s="476"/>
      <c r="Q1213" s="476"/>
      <c r="R1213" s="476"/>
      <c r="S1213" s="476"/>
      <c r="T1213" s="476"/>
      <c r="U1213" s="476"/>
      <c r="V1213" s="476"/>
      <c r="W1213" s="476"/>
      <c r="X1213" s="476"/>
      <c r="Y1213" s="476"/>
      <c r="Z1213" s="476"/>
      <c r="AA1213" s="476"/>
      <c r="AB1213" s="476"/>
      <c r="AC1213" s="476"/>
      <c r="AD1213" s="476"/>
      <c r="AE1213" s="476"/>
      <c r="AF1213" s="476"/>
      <c r="AG1213" s="476"/>
      <c r="AH1213" s="476"/>
      <c r="AI1213" s="476"/>
      <c r="AJ1213" s="476"/>
      <c r="AK1213" s="476"/>
      <c r="AL1213" s="476"/>
      <c r="AM1213" s="476"/>
      <c r="AN1213" s="476"/>
      <c r="AO1213" s="476"/>
      <c r="AP1213" s="476"/>
      <c r="AQ1213" s="476"/>
      <c r="AR1213" s="476"/>
      <c r="AS1213" s="476"/>
      <c r="AT1213" s="476"/>
      <c r="AU1213" s="476"/>
    </row>
    <row r="1214" spans="1:47" s="398" customFormat="1" ht="13.15" customHeight="1" x14ac:dyDescent="0.2">
      <c r="A1214" s="476"/>
      <c r="D1214" s="467"/>
      <c r="F1214" s="468"/>
      <c r="G1214" s="468"/>
      <c r="H1214" s="468"/>
      <c r="I1214" s="468"/>
      <c r="J1214" s="469"/>
      <c r="L1214" s="476"/>
      <c r="M1214" s="476"/>
      <c r="N1214" s="476"/>
      <c r="O1214" s="476"/>
      <c r="P1214" s="476"/>
      <c r="Q1214" s="476"/>
      <c r="R1214" s="476"/>
      <c r="S1214" s="476"/>
      <c r="T1214" s="476"/>
      <c r="U1214" s="476"/>
      <c r="V1214" s="476"/>
      <c r="W1214" s="476"/>
      <c r="X1214" s="476"/>
      <c r="Y1214" s="476"/>
      <c r="Z1214" s="476"/>
      <c r="AA1214" s="476"/>
      <c r="AB1214" s="476"/>
      <c r="AC1214" s="476"/>
      <c r="AD1214" s="476"/>
      <c r="AE1214" s="476"/>
      <c r="AF1214" s="476"/>
      <c r="AG1214" s="476"/>
      <c r="AH1214" s="476"/>
      <c r="AI1214" s="476"/>
      <c r="AJ1214" s="476"/>
      <c r="AK1214" s="476"/>
      <c r="AL1214" s="476"/>
      <c r="AM1214" s="476"/>
      <c r="AN1214" s="476"/>
      <c r="AO1214" s="476"/>
      <c r="AP1214" s="476"/>
      <c r="AQ1214" s="476"/>
      <c r="AR1214" s="476"/>
      <c r="AS1214" s="476"/>
      <c r="AT1214" s="476"/>
      <c r="AU1214" s="476"/>
    </row>
    <row r="1215" spans="1:47" s="398" customFormat="1" ht="13.15" customHeight="1" x14ac:dyDescent="0.2">
      <c r="A1215" s="476"/>
      <c r="D1215" s="467"/>
      <c r="F1215" s="468"/>
      <c r="G1215" s="468"/>
      <c r="H1215" s="468"/>
      <c r="I1215" s="468"/>
      <c r="J1215" s="469"/>
      <c r="L1215" s="476"/>
      <c r="M1215" s="476"/>
      <c r="N1215" s="476"/>
      <c r="O1215" s="476"/>
      <c r="P1215" s="476"/>
      <c r="Q1215" s="476"/>
      <c r="R1215" s="476"/>
      <c r="S1215" s="476"/>
      <c r="T1215" s="476"/>
      <c r="U1215" s="476"/>
      <c r="V1215" s="476"/>
      <c r="W1215" s="476"/>
      <c r="X1215" s="476"/>
      <c r="Y1215" s="476"/>
      <c r="Z1215" s="476"/>
      <c r="AA1215" s="476"/>
      <c r="AB1215" s="476"/>
      <c r="AC1215" s="476"/>
      <c r="AD1215" s="476"/>
      <c r="AE1215" s="476"/>
      <c r="AF1215" s="476"/>
      <c r="AG1215" s="476"/>
      <c r="AH1215" s="476"/>
      <c r="AI1215" s="476"/>
      <c r="AJ1215" s="476"/>
      <c r="AK1215" s="476"/>
      <c r="AL1215" s="476"/>
      <c r="AM1215" s="476"/>
      <c r="AN1215" s="476"/>
      <c r="AO1215" s="476"/>
      <c r="AP1215" s="476"/>
      <c r="AQ1215" s="476"/>
      <c r="AR1215" s="476"/>
      <c r="AS1215" s="476"/>
      <c r="AT1215" s="476"/>
      <c r="AU1215" s="476"/>
    </row>
    <row r="1216" spans="1:47" s="398" customFormat="1" ht="13.15" customHeight="1" x14ac:dyDescent="0.2">
      <c r="A1216" s="476"/>
      <c r="D1216" s="467"/>
      <c r="F1216" s="468"/>
      <c r="G1216" s="468"/>
      <c r="H1216" s="468"/>
      <c r="I1216" s="468"/>
      <c r="J1216" s="469"/>
      <c r="L1216" s="476"/>
      <c r="M1216" s="476"/>
      <c r="N1216" s="476"/>
      <c r="O1216" s="476"/>
      <c r="P1216" s="476"/>
      <c r="Q1216" s="476"/>
      <c r="R1216" s="476"/>
      <c r="S1216" s="476"/>
      <c r="T1216" s="476"/>
      <c r="U1216" s="476"/>
      <c r="V1216" s="476"/>
      <c r="W1216" s="476"/>
      <c r="X1216" s="476"/>
      <c r="Y1216" s="476"/>
      <c r="Z1216" s="476"/>
      <c r="AA1216" s="476"/>
      <c r="AB1216" s="476"/>
      <c r="AC1216" s="476"/>
      <c r="AD1216" s="476"/>
      <c r="AE1216" s="476"/>
      <c r="AF1216" s="476"/>
      <c r="AG1216" s="476"/>
      <c r="AH1216" s="476"/>
      <c r="AI1216" s="476"/>
      <c r="AJ1216" s="476"/>
      <c r="AK1216" s="476"/>
      <c r="AL1216" s="476"/>
      <c r="AM1216" s="476"/>
      <c r="AN1216" s="476"/>
      <c r="AO1216" s="476"/>
      <c r="AP1216" s="476"/>
      <c r="AQ1216" s="476"/>
      <c r="AR1216" s="476"/>
      <c r="AS1216" s="476"/>
      <c r="AT1216" s="476"/>
      <c r="AU1216" s="476"/>
    </row>
    <row r="1217" spans="1:47" s="398" customFormat="1" ht="13.15" customHeight="1" x14ac:dyDescent="0.2">
      <c r="A1217" s="476"/>
      <c r="D1217" s="467"/>
      <c r="F1217" s="468"/>
      <c r="G1217" s="468"/>
      <c r="H1217" s="468"/>
      <c r="I1217" s="468"/>
      <c r="J1217" s="469"/>
      <c r="L1217" s="476"/>
      <c r="M1217" s="476"/>
      <c r="N1217" s="476"/>
      <c r="O1217" s="476"/>
      <c r="P1217" s="476"/>
      <c r="Q1217" s="476"/>
      <c r="R1217" s="476"/>
      <c r="S1217" s="476"/>
      <c r="T1217" s="476"/>
      <c r="U1217" s="476"/>
      <c r="V1217" s="476"/>
      <c r="W1217" s="476"/>
      <c r="X1217" s="476"/>
      <c r="Y1217" s="476"/>
      <c r="Z1217" s="476"/>
      <c r="AA1217" s="476"/>
      <c r="AB1217" s="476"/>
      <c r="AC1217" s="476"/>
      <c r="AD1217" s="476"/>
      <c r="AE1217" s="476"/>
      <c r="AF1217" s="476"/>
      <c r="AG1217" s="476"/>
      <c r="AH1217" s="476"/>
      <c r="AI1217" s="476"/>
      <c r="AJ1217" s="476"/>
      <c r="AK1217" s="476"/>
      <c r="AL1217" s="476"/>
      <c r="AM1217" s="476"/>
      <c r="AN1217" s="476"/>
      <c r="AO1217" s="476"/>
      <c r="AP1217" s="476"/>
      <c r="AQ1217" s="476"/>
      <c r="AR1217" s="476"/>
      <c r="AS1217" s="476"/>
      <c r="AT1217" s="476"/>
      <c r="AU1217" s="476"/>
    </row>
    <row r="1218" spans="1:47" s="398" customFormat="1" ht="13.15" customHeight="1" x14ac:dyDescent="0.2">
      <c r="A1218" s="476"/>
      <c r="D1218" s="467"/>
      <c r="F1218" s="468"/>
      <c r="G1218" s="468"/>
      <c r="H1218" s="468"/>
      <c r="I1218" s="468"/>
      <c r="J1218" s="469"/>
      <c r="L1218" s="476"/>
      <c r="M1218" s="476"/>
      <c r="N1218" s="476"/>
      <c r="O1218" s="476"/>
      <c r="P1218" s="476"/>
      <c r="Q1218" s="476"/>
      <c r="R1218" s="476"/>
      <c r="S1218" s="476"/>
      <c r="T1218" s="476"/>
      <c r="U1218" s="476"/>
      <c r="V1218" s="476"/>
      <c r="W1218" s="476"/>
      <c r="X1218" s="476"/>
      <c r="Y1218" s="476"/>
      <c r="Z1218" s="476"/>
      <c r="AA1218" s="476"/>
      <c r="AB1218" s="476"/>
      <c r="AC1218" s="476"/>
      <c r="AD1218" s="476"/>
      <c r="AE1218" s="476"/>
      <c r="AF1218" s="476"/>
      <c r="AG1218" s="476"/>
      <c r="AH1218" s="476"/>
      <c r="AI1218" s="476"/>
      <c r="AJ1218" s="476"/>
      <c r="AK1218" s="476"/>
      <c r="AL1218" s="476"/>
      <c r="AM1218" s="476"/>
      <c r="AN1218" s="476"/>
      <c r="AO1218" s="476"/>
      <c r="AP1218" s="476"/>
      <c r="AQ1218" s="476"/>
      <c r="AR1218" s="476"/>
      <c r="AS1218" s="476"/>
      <c r="AT1218" s="476"/>
      <c r="AU1218" s="476"/>
    </row>
    <row r="1219" spans="1:47" s="398" customFormat="1" ht="13.15" customHeight="1" x14ac:dyDescent="0.2">
      <c r="A1219" s="476"/>
      <c r="D1219" s="467"/>
      <c r="F1219" s="468"/>
      <c r="G1219" s="468"/>
      <c r="H1219" s="468"/>
      <c r="I1219" s="468"/>
      <c r="J1219" s="469"/>
      <c r="L1219" s="476"/>
      <c r="M1219" s="476"/>
      <c r="N1219" s="476"/>
      <c r="O1219" s="476"/>
      <c r="P1219" s="476"/>
      <c r="Q1219" s="476"/>
      <c r="R1219" s="476"/>
      <c r="S1219" s="476"/>
      <c r="T1219" s="476"/>
      <c r="U1219" s="476"/>
      <c r="V1219" s="476"/>
      <c r="W1219" s="476"/>
      <c r="X1219" s="476"/>
      <c r="Y1219" s="476"/>
      <c r="Z1219" s="476"/>
      <c r="AA1219" s="476"/>
      <c r="AB1219" s="476"/>
      <c r="AC1219" s="476"/>
      <c r="AD1219" s="476"/>
      <c r="AE1219" s="476"/>
      <c r="AF1219" s="476"/>
      <c r="AG1219" s="476"/>
      <c r="AH1219" s="476"/>
      <c r="AI1219" s="476"/>
      <c r="AJ1219" s="476"/>
      <c r="AK1219" s="476"/>
      <c r="AL1219" s="476"/>
      <c r="AM1219" s="476"/>
      <c r="AN1219" s="476"/>
      <c r="AO1219" s="476"/>
      <c r="AP1219" s="476"/>
      <c r="AQ1219" s="476"/>
      <c r="AR1219" s="476"/>
      <c r="AS1219" s="476"/>
      <c r="AT1219" s="476"/>
      <c r="AU1219" s="476"/>
    </row>
    <row r="1220" spans="1:47" s="398" customFormat="1" ht="13.15" customHeight="1" x14ac:dyDescent="0.2">
      <c r="A1220" s="476"/>
      <c r="D1220" s="467"/>
      <c r="F1220" s="468"/>
      <c r="G1220" s="468"/>
      <c r="H1220" s="468"/>
      <c r="I1220" s="468"/>
      <c r="J1220" s="469"/>
      <c r="L1220" s="476"/>
      <c r="M1220" s="476"/>
      <c r="N1220" s="476"/>
      <c r="O1220" s="476"/>
      <c r="P1220" s="476"/>
      <c r="Q1220" s="476"/>
      <c r="R1220" s="476"/>
      <c r="S1220" s="476"/>
      <c r="T1220" s="476"/>
      <c r="U1220" s="476"/>
      <c r="V1220" s="476"/>
      <c r="W1220" s="476"/>
      <c r="X1220" s="476"/>
      <c r="Y1220" s="476"/>
      <c r="Z1220" s="476"/>
      <c r="AA1220" s="476"/>
      <c r="AB1220" s="476"/>
      <c r="AC1220" s="476"/>
      <c r="AD1220" s="476"/>
      <c r="AE1220" s="476"/>
      <c r="AF1220" s="476"/>
      <c r="AG1220" s="476"/>
      <c r="AH1220" s="476"/>
      <c r="AI1220" s="476"/>
      <c r="AJ1220" s="476"/>
      <c r="AK1220" s="476"/>
      <c r="AL1220" s="476"/>
      <c r="AM1220" s="476"/>
      <c r="AN1220" s="476"/>
      <c r="AO1220" s="476"/>
      <c r="AP1220" s="476"/>
      <c r="AQ1220" s="476"/>
      <c r="AR1220" s="476"/>
      <c r="AS1220" s="476"/>
      <c r="AT1220" s="476"/>
      <c r="AU1220" s="476"/>
    </row>
    <row r="1221" spans="1:47" s="398" customFormat="1" ht="13.15" customHeight="1" x14ac:dyDescent="0.2">
      <c r="A1221" s="476"/>
      <c r="D1221" s="467"/>
      <c r="F1221" s="468"/>
      <c r="G1221" s="468"/>
      <c r="H1221" s="468"/>
      <c r="I1221" s="468"/>
      <c r="J1221" s="469"/>
      <c r="L1221" s="476"/>
      <c r="M1221" s="476"/>
      <c r="N1221" s="476"/>
      <c r="O1221" s="476"/>
      <c r="P1221" s="476"/>
      <c r="Q1221" s="476"/>
      <c r="R1221" s="476"/>
      <c r="S1221" s="476"/>
      <c r="T1221" s="476"/>
      <c r="U1221" s="476"/>
      <c r="V1221" s="476"/>
      <c r="W1221" s="476"/>
      <c r="X1221" s="476"/>
      <c r="Y1221" s="476"/>
      <c r="Z1221" s="476"/>
      <c r="AA1221" s="476"/>
      <c r="AB1221" s="476"/>
      <c r="AC1221" s="476"/>
      <c r="AD1221" s="476"/>
      <c r="AE1221" s="476"/>
      <c r="AF1221" s="476"/>
      <c r="AG1221" s="476"/>
      <c r="AH1221" s="476"/>
      <c r="AI1221" s="476"/>
      <c r="AJ1221" s="476"/>
      <c r="AK1221" s="476"/>
      <c r="AL1221" s="476"/>
      <c r="AM1221" s="476"/>
      <c r="AN1221" s="476"/>
      <c r="AO1221" s="476"/>
      <c r="AP1221" s="476"/>
      <c r="AQ1221" s="476"/>
      <c r="AR1221" s="476"/>
      <c r="AS1221" s="476"/>
      <c r="AT1221" s="476"/>
      <c r="AU1221" s="476"/>
    </row>
    <row r="1222" spans="1:47" s="398" customFormat="1" ht="13.15" customHeight="1" x14ac:dyDescent="0.2">
      <c r="A1222" s="476"/>
      <c r="D1222" s="467"/>
      <c r="F1222" s="468"/>
      <c r="G1222" s="468"/>
      <c r="H1222" s="468"/>
      <c r="I1222" s="468"/>
      <c r="J1222" s="469"/>
      <c r="L1222" s="476"/>
      <c r="M1222" s="476"/>
      <c r="N1222" s="476"/>
      <c r="O1222" s="476"/>
      <c r="P1222" s="476"/>
      <c r="Q1222" s="476"/>
      <c r="R1222" s="476"/>
      <c r="S1222" s="476"/>
      <c r="T1222" s="476"/>
      <c r="U1222" s="476"/>
      <c r="V1222" s="476"/>
      <c r="W1222" s="476"/>
      <c r="X1222" s="476"/>
      <c r="Y1222" s="476"/>
      <c r="Z1222" s="476"/>
      <c r="AA1222" s="476"/>
      <c r="AB1222" s="476"/>
      <c r="AC1222" s="476"/>
      <c r="AD1222" s="476"/>
      <c r="AE1222" s="476"/>
      <c r="AF1222" s="476"/>
      <c r="AG1222" s="476"/>
      <c r="AH1222" s="476"/>
      <c r="AI1222" s="476"/>
      <c r="AJ1222" s="476"/>
      <c r="AK1222" s="476"/>
      <c r="AL1222" s="476"/>
      <c r="AM1222" s="476"/>
      <c r="AN1222" s="476"/>
      <c r="AO1222" s="476"/>
      <c r="AP1222" s="476"/>
      <c r="AQ1222" s="476"/>
      <c r="AR1222" s="476"/>
      <c r="AS1222" s="476"/>
      <c r="AT1222" s="476"/>
      <c r="AU1222" s="476"/>
    </row>
    <row r="1223" spans="1:47" s="398" customFormat="1" ht="13.15" customHeight="1" x14ac:dyDescent="0.2">
      <c r="A1223" s="476"/>
      <c r="D1223" s="467"/>
      <c r="F1223" s="468"/>
      <c r="G1223" s="468"/>
      <c r="H1223" s="468"/>
      <c r="I1223" s="468"/>
      <c r="J1223" s="469"/>
      <c r="L1223" s="476"/>
      <c r="M1223" s="476"/>
      <c r="N1223" s="476"/>
      <c r="O1223" s="476"/>
      <c r="P1223" s="476"/>
      <c r="Q1223" s="476"/>
      <c r="R1223" s="476"/>
      <c r="S1223" s="476"/>
      <c r="T1223" s="476"/>
      <c r="U1223" s="476"/>
      <c r="V1223" s="476"/>
      <c r="W1223" s="476"/>
      <c r="X1223" s="476"/>
      <c r="Y1223" s="476"/>
      <c r="Z1223" s="476"/>
      <c r="AA1223" s="476"/>
      <c r="AB1223" s="476"/>
      <c r="AC1223" s="476"/>
      <c r="AD1223" s="476"/>
      <c r="AE1223" s="476"/>
      <c r="AF1223" s="476"/>
      <c r="AG1223" s="476"/>
      <c r="AH1223" s="476"/>
      <c r="AI1223" s="476"/>
      <c r="AJ1223" s="476"/>
      <c r="AK1223" s="476"/>
      <c r="AL1223" s="476"/>
      <c r="AM1223" s="476"/>
      <c r="AN1223" s="476"/>
      <c r="AO1223" s="476"/>
      <c r="AP1223" s="476"/>
      <c r="AQ1223" s="476"/>
      <c r="AR1223" s="476"/>
      <c r="AS1223" s="476"/>
      <c r="AT1223" s="476"/>
      <c r="AU1223" s="476"/>
    </row>
    <row r="1224" spans="1:47" s="398" customFormat="1" ht="13.15" customHeight="1" x14ac:dyDescent="0.2">
      <c r="A1224" s="476"/>
      <c r="D1224" s="467"/>
      <c r="F1224" s="468"/>
      <c r="G1224" s="468"/>
      <c r="H1224" s="468"/>
      <c r="I1224" s="468"/>
      <c r="J1224" s="469"/>
      <c r="L1224" s="476"/>
      <c r="M1224" s="476"/>
      <c r="N1224" s="476"/>
      <c r="O1224" s="476"/>
      <c r="P1224" s="476"/>
      <c r="Q1224" s="476"/>
      <c r="R1224" s="476"/>
      <c r="S1224" s="476"/>
      <c r="T1224" s="476"/>
      <c r="U1224" s="476"/>
      <c r="V1224" s="476"/>
      <c r="W1224" s="476"/>
      <c r="X1224" s="476"/>
      <c r="Y1224" s="476"/>
      <c r="Z1224" s="476"/>
      <c r="AA1224" s="476"/>
      <c r="AB1224" s="476"/>
      <c r="AC1224" s="476"/>
      <c r="AD1224" s="476"/>
      <c r="AE1224" s="476"/>
      <c r="AF1224" s="476"/>
      <c r="AG1224" s="476"/>
      <c r="AH1224" s="476"/>
      <c r="AI1224" s="476"/>
      <c r="AJ1224" s="476"/>
      <c r="AK1224" s="476"/>
      <c r="AL1224" s="476"/>
      <c r="AM1224" s="476"/>
      <c r="AN1224" s="476"/>
      <c r="AO1224" s="476"/>
      <c r="AP1224" s="476"/>
      <c r="AQ1224" s="476"/>
      <c r="AR1224" s="476"/>
      <c r="AS1224" s="476"/>
      <c r="AT1224" s="476"/>
      <c r="AU1224" s="476"/>
    </row>
    <row r="1225" spans="1:47" s="398" customFormat="1" ht="13.15" customHeight="1" x14ac:dyDescent="0.2">
      <c r="A1225" s="476"/>
      <c r="D1225" s="467"/>
      <c r="F1225" s="468"/>
      <c r="G1225" s="468"/>
      <c r="H1225" s="468"/>
      <c r="I1225" s="468"/>
      <c r="J1225" s="469"/>
      <c r="L1225" s="476"/>
      <c r="M1225" s="476"/>
      <c r="N1225" s="476"/>
      <c r="O1225" s="476"/>
      <c r="P1225" s="476"/>
      <c r="Q1225" s="476"/>
      <c r="R1225" s="476"/>
      <c r="S1225" s="476"/>
      <c r="T1225" s="476"/>
      <c r="U1225" s="476"/>
      <c r="V1225" s="476"/>
      <c r="W1225" s="476"/>
      <c r="X1225" s="476"/>
      <c r="Y1225" s="476"/>
      <c r="Z1225" s="476"/>
      <c r="AA1225" s="476"/>
      <c r="AB1225" s="476"/>
      <c r="AC1225" s="476"/>
      <c r="AD1225" s="476"/>
      <c r="AE1225" s="476"/>
      <c r="AF1225" s="476"/>
      <c r="AG1225" s="476"/>
      <c r="AH1225" s="476"/>
      <c r="AI1225" s="476"/>
      <c r="AJ1225" s="476"/>
      <c r="AK1225" s="476"/>
      <c r="AL1225" s="476"/>
      <c r="AM1225" s="476"/>
      <c r="AN1225" s="476"/>
      <c r="AO1225" s="476"/>
      <c r="AP1225" s="476"/>
      <c r="AQ1225" s="476"/>
      <c r="AR1225" s="476"/>
      <c r="AS1225" s="476"/>
      <c r="AT1225" s="476"/>
      <c r="AU1225" s="476"/>
    </row>
    <row r="1226" spans="1:47" s="398" customFormat="1" ht="13.15" customHeight="1" x14ac:dyDescent="0.2">
      <c r="A1226" s="476"/>
      <c r="D1226" s="467"/>
      <c r="F1226" s="468"/>
      <c r="G1226" s="468"/>
      <c r="H1226" s="468"/>
      <c r="I1226" s="468"/>
      <c r="J1226" s="469"/>
      <c r="L1226" s="476"/>
      <c r="M1226" s="476"/>
      <c r="N1226" s="476"/>
      <c r="O1226" s="476"/>
      <c r="P1226" s="476"/>
      <c r="Q1226" s="476"/>
      <c r="R1226" s="476"/>
      <c r="S1226" s="476"/>
      <c r="T1226" s="476"/>
      <c r="U1226" s="476"/>
      <c r="V1226" s="476"/>
      <c r="W1226" s="476"/>
      <c r="X1226" s="476"/>
      <c r="Y1226" s="476"/>
      <c r="Z1226" s="476"/>
      <c r="AA1226" s="476"/>
      <c r="AB1226" s="476"/>
      <c r="AC1226" s="476"/>
      <c r="AD1226" s="476"/>
      <c r="AE1226" s="476"/>
      <c r="AF1226" s="476"/>
      <c r="AG1226" s="476"/>
      <c r="AH1226" s="476"/>
      <c r="AI1226" s="476"/>
      <c r="AJ1226" s="476"/>
      <c r="AK1226" s="476"/>
      <c r="AL1226" s="476"/>
      <c r="AM1226" s="476"/>
      <c r="AN1226" s="476"/>
      <c r="AO1226" s="476"/>
      <c r="AP1226" s="476"/>
      <c r="AQ1226" s="476"/>
      <c r="AR1226" s="476"/>
      <c r="AS1226" s="476"/>
      <c r="AT1226" s="476"/>
      <c r="AU1226" s="476"/>
    </row>
    <row r="1227" spans="1:47" s="398" customFormat="1" ht="13.15" customHeight="1" x14ac:dyDescent="0.2">
      <c r="A1227" s="476"/>
      <c r="D1227" s="467"/>
      <c r="F1227" s="468"/>
      <c r="G1227" s="468"/>
      <c r="H1227" s="468"/>
      <c r="I1227" s="468"/>
      <c r="J1227" s="469"/>
      <c r="L1227" s="476"/>
      <c r="M1227" s="476"/>
      <c r="N1227" s="476"/>
      <c r="O1227" s="476"/>
      <c r="P1227" s="476"/>
      <c r="Q1227" s="476"/>
      <c r="R1227" s="476"/>
      <c r="S1227" s="476"/>
      <c r="T1227" s="476"/>
      <c r="U1227" s="476"/>
      <c r="V1227" s="476"/>
      <c r="W1227" s="476"/>
      <c r="X1227" s="476"/>
      <c r="Y1227" s="476"/>
      <c r="Z1227" s="476"/>
      <c r="AA1227" s="476"/>
      <c r="AB1227" s="476"/>
      <c r="AC1227" s="476"/>
      <c r="AD1227" s="476"/>
      <c r="AE1227" s="476"/>
      <c r="AF1227" s="476"/>
      <c r="AG1227" s="476"/>
      <c r="AH1227" s="476"/>
      <c r="AI1227" s="476"/>
      <c r="AJ1227" s="476"/>
      <c r="AK1227" s="476"/>
      <c r="AL1227" s="476"/>
      <c r="AM1227" s="476"/>
      <c r="AN1227" s="476"/>
      <c r="AO1227" s="476"/>
      <c r="AP1227" s="476"/>
      <c r="AQ1227" s="476"/>
      <c r="AR1227" s="476"/>
      <c r="AS1227" s="476"/>
      <c r="AT1227" s="476"/>
      <c r="AU1227" s="476"/>
    </row>
    <row r="1228" spans="1:47" s="398" customFormat="1" ht="13.15" customHeight="1" x14ac:dyDescent="0.2">
      <c r="A1228" s="476"/>
      <c r="D1228" s="467"/>
      <c r="F1228" s="468"/>
      <c r="G1228" s="468"/>
      <c r="H1228" s="468"/>
      <c r="I1228" s="468"/>
      <c r="J1228" s="469"/>
      <c r="L1228" s="476"/>
      <c r="M1228" s="476"/>
      <c r="N1228" s="476"/>
      <c r="O1228" s="476"/>
      <c r="P1228" s="476"/>
      <c r="Q1228" s="476"/>
      <c r="R1228" s="476"/>
      <c r="S1228" s="476"/>
      <c r="T1228" s="476"/>
      <c r="U1228" s="476"/>
      <c r="V1228" s="476"/>
      <c r="W1228" s="476"/>
      <c r="X1228" s="476"/>
      <c r="Y1228" s="476"/>
      <c r="Z1228" s="476"/>
      <c r="AA1228" s="476"/>
      <c r="AB1228" s="476"/>
      <c r="AC1228" s="476"/>
      <c r="AD1228" s="476"/>
      <c r="AE1228" s="476"/>
      <c r="AF1228" s="476"/>
      <c r="AG1228" s="476"/>
      <c r="AH1228" s="476"/>
      <c r="AI1228" s="476"/>
      <c r="AJ1228" s="476"/>
      <c r="AK1228" s="476"/>
      <c r="AL1228" s="476"/>
      <c r="AM1228" s="476"/>
      <c r="AN1228" s="476"/>
      <c r="AO1228" s="476"/>
      <c r="AP1228" s="476"/>
      <c r="AQ1228" s="476"/>
      <c r="AR1228" s="476"/>
      <c r="AS1228" s="476"/>
      <c r="AT1228" s="476"/>
      <c r="AU1228" s="476"/>
    </row>
    <row r="1229" spans="1:47" s="398" customFormat="1" ht="13.15" customHeight="1" x14ac:dyDescent="0.2">
      <c r="A1229" s="476"/>
      <c r="D1229" s="467"/>
      <c r="F1229" s="468"/>
      <c r="G1229" s="468"/>
      <c r="H1229" s="468"/>
      <c r="I1229" s="468"/>
      <c r="J1229" s="469"/>
      <c r="L1229" s="476"/>
      <c r="M1229" s="476"/>
      <c r="N1229" s="476"/>
      <c r="O1229" s="476"/>
      <c r="P1229" s="476"/>
      <c r="Q1229" s="476"/>
      <c r="R1229" s="476"/>
      <c r="S1229" s="476"/>
      <c r="T1229" s="476"/>
      <c r="U1229" s="476"/>
      <c r="V1229" s="476"/>
      <c r="W1229" s="476"/>
      <c r="X1229" s="476"/>
      <c r="Y1229" s="476"/>
      <c r="Z1229" s="476"/>
      <c r="AA1229" s="476"/>
      <c r="AB1229" s="476"/>
      <c r="AC1229" s="476"/>
      <c r="AD1229" s="476"/>
      <c r="AE1229" s="476"/>
      <c r="AF1229" s="476"/>
      <c r="AG1229" s="476"/>
      <c r="AH1229" s="476"/>
      <c r="AI1229" s="476"/>
      <c r="AJ1229" s="476"/>
      <c r="AK1229" s="476"/>
      <c r="AL1229" s="476"/>
      <c r="AM1229" s="476"/>
      <c r="AN1229" s="476"/>
      <c r="AO1229" s="476"/>
      <c r="AP1229" s="476"/>
      <c r="AQ1229" s="476"/>
      <c r="AR1229" s="476"/>
      <c r="AS1229" s="476"/>
      <c r="AT1229" s="476"/>
      <c r="AU1229" s="476"/>
    </row>
    <row r="1230" spans="1:47" s="398" customFormat="1" ht="13.15" customHeight="1" x14ac:dyDescent="0.2">
      <c r="A1230" s="476"/>
      <c r="D1230" s="467"/>
      <c r="F1230" s="468"/>
      <c r="G1230" s="468"/>
      <c r="H1230" s="468"/>
      <c r="I1230" s="468"/>
      <c r="J1230" s="469"/>
      <c r="L1230" s="476"/>
      <c r="M1230" s="476"/>
      <c r="N1230" s="476"/>
      <c r="O1230" s="476"/>
      <c r="P1230" s="476"/>
      <c r="Q1230" s="476"/>
      <c r="R1230" s="476"/>
      <c r="S1230" s="476"/>
      <c r="T1230" s="476"/>
      <c r="U1230" s="476"/>
      <c r="V1230" s="476"/>
      <c r="W1230" s="476"/>
      <c r="X1230" s="476"/>
      <c r="Y1230" s="476"/>
      <c r="Z1230" s="476"/>
      <c r="AA1230" s="476"/>
      <c r="AB1230" s="476"/>
      <c r="AC1230" s="476"/>
      <c r="AD1230" s="476"/>
      <c r="AE1230" s="476"/>
      <c r="AF1230" s="476"/>
      <c r="AG1230" s="476"/>
      <c r="AH1230" s="476"/>
      <c r="AI1230" s="476"/>
      <c r="AJ1230" s="476"/>
      <c r="AK1230" s="476"/>
      <c r="AL1230" s="476"/>
      <c r="AM1230" s="476"/>
      <c r="AN1230" s="476"/>
      <c r="AO1230" s="476"/>
      <c r="AP1230" s="476"/>
      <c r="AQ1230" s="476"/>
      <c r="AR1230" s="476"/>
      <c r="AS1230" s="476"/>
      <c r="AT1230" s="476"/>
      <c r="AU1230" s="476"/>
    </row>
    <row r="1231" spans="1:47" s="398" customFormat="1" ht="13.15" customHeight="1" x14ac:dyDescent="0.2">
      <c r="A1231" s="476"/>
      <c r="D1231" s="467"/>
      <c r="F1231" s="468"/>
      <c r="G1231" s="468"/>
      <c r="H1231" s="468"/>
      <c r="I1231" s="468"/>
      <c r="J1231" s="469"/>
      <c r="L1231" s="476"/>
      <c r="M1231" s="476"/>
      <c r="N1231" s="476"/>
      <c r="O1231" s="476"/>
      <c r="P1231" s="476"/>
      <c r="Q1231" s="476"/>
      <c r="R1231" s="476"/>
      <c r="S1231" s="476"/>
      <c r="T1231" s="476"/>
      <c r="U1231" s="476"/>
      <c r="V1231" s="476"/>
      <c r="W1231" s="476"/>
      <c r="X1231" s="476"/>
      <c r="Y1231" s="476"/>
      <c r="Z1231" s="476"/>
      <c r="AA1231" s="476"/>
      <c r="AB1231" s="476"/>
      <c r="AC1231" s="476"/>
      <c r="AD1231" s="476"/>
      <c r="AE1231" s="476"/>
      <c r="AF1231" s="476"/>
      <c r="AG1231" s="476"/>
      <c r="AH1231" s="476"/>
      <c r="AI1231" s="476"/>
      <c r="AJ1231" s="476"/>
      <c r="AK1231" s="476"/>
      <c r="AL1231" s="476"/>
      <c r="AM1231" s="476"/>
      <c r="AN1231" s="476"/>
      <c r="AO1231" s="476"/>
      <c r="AP1231" s="476"/>
      <c r="AQ1231" s="476"/>
      <c r="AR1231" s="476"/>
      <c r="AS1231" s="476"/>
      <c r="AT1231" s="476"/>
      <c r="AU1231" s="476"/>
    </row>
    <row r="1232" spans="1:47" s="398" customFormat="1" ht="13.15" customHeight="1" x14ac:dyDescent="0.2">
      <c r="A1232" s="476"/>
      <c r="D1232" s="467"/>
      <c r="F1232" s="468"/>
      <c r="G1232" s="468"/>
      <c r="H1232" s="468"/>
      <c r="I1232" s="468"/>
      <c r="J1232" s="469"/>
      <c r="L1232" s="476"/>
      <c r="M1232" s="476"/>
      <c r="N1232" s="476"/>
      <c r="O1232" s="476"/>
      <c r="P1232" s="476"/>
      <c r="Q1232" s="476"/>
      <c r="R1232" s="476"/>
      <c r="S1232" s="476"/>
      <c r="T1232" s="476"/>
      <c r="U1232" s="476"/>
      <c r="V1232" s="476"/>
      <c r="W1232" s="476"/>
      <c r="X1232" s="476"/>
      <c r="Y1232" s="476"/>
      <c r="Z1232" s="476"/>
      <c r="AA1232" s="476"/>
      <c r="AB1232" s="476"/>
      <c r="AC1232" s="476"/>
      <c r="AD1232" s="476"/>
      <c r="AE1232" s="476"/>
      <c r="AF1232" s="476"/>
      <c r="AG1232" s="476"/>
      <c r="AH1232" s="476"/>
      <c r="AI1232" s="476"/>
      <c r="AJ1232" s="476"/>
      <c r="AK1232" s="476"/>
      <c r="AL1232" s="476"/>
      <c r="AM1232" s="476"/>
      <c r="AN1232" s="476"/>
      <c r="AO1232" s="476"/>
      <c r="AP1232" s="476"/>
      <c r="AQ1232" s="476"/>
      <c r="AR1232" s="476"/>
      <c r="AS1232" s="476"/>
      <c r="AT1232" s="476"/>
      <c r="AU1232" s="476"/>
    </row>
    <row r="1233" spans="1:47" s="398" customFormat="1" ht="13.15" customHeight="1" x14ac:dyDescent="0.2">
      <c r="A1233" s="476"/>
      <c r="D1233" s="467"/>
      <c r="F1233" s="468"/>
      <c r="G1233" s="468"/>
      <c r="H1233" s="468"/>
      <c r="I1233" s="468"/>
      <c r="J1233" s="469"/>
      <c r="L1233" s="476"/>
      <c r="M1233" s="476"/>
      <c r="N1233" s="476"/>
      <c r="O1233" s="476"/>
      <c r="P1233" s="476"/>
      <c r="Q1233" s="476"/>
      <c r="R1233" s="476"/>
      <c r="S1233" s="476"/>
      <c r="T1233" s="476"/>
      <c r="U1233" s="476"/>
      <c r="V1233" s="476"/>
      <c r="W1233" s="476"/>
      <c r="X1233" s="476"/>
      <c r="Y1233" s="476"/>
      <c r="Z1233" s="476"/>
      <c r="AA1233" s="476"/>
      <c r="AB1233" s="476"/>
      <c r="AC1233" s="476"/>
      <c r="AD1233" s="476"/>
      <c r="AE1233" s="476"/>
      <c r="AF1233" s="476"/>
      <c r="AG1233" s="476"/>
      <c r="AH1233" s="476"/>
      <c r="AI1233" s="476"/>
      <c r="AJ1233" s="476"/>
      <c r="AK1233" s="476"/>
      <c r="AL1233" s="476"/>
      <c r="AM1233" s="476"/>
      <c r="AN1233" s="476"/>
      <c r="AO1233" s="476"/>
      <c r="AP1233" s="476"/>
      <c r="AQ1233" s="476"/>
      <c r="AR1233" s="476"/>
      <c r="AS1233" s="476"/>
      <c r="AT1233" s="476"/>
      <c r="AU1233" s="476"/>
    </row>
    <row r="1234" spans="1:47" s="398" customFormat="1" ht="13.15" customHeight="1" x14ac:dyDescent="0.2">
      <c r="A1234" s="476"/>
      <c r="D1234" s="467"/>
      <c r="F1234" s="468"/>
      <c r="G1234" s="468"/>
      <c r="H1234" s="468"/>
      <c r="I1234" s="468"/>
      <c r="J1234" s="469"/>
      <c r="L1234" s="476"/>
      <c r="M1234" s="476"/>
      <c r="N1234" s="476"/>
      <c r="O1234" s="476"/>
      <c r="P1234" s="476"/>
      <c r="Q1234" s="476"/>
      <c r="R1234" s="476"/>
      <c r="S1234" s="476"/>
      <c r="T1234" s="476"/>
      <c r="U1234" s="476"/>
      <c r="V1234" s="476"/>
      <c r="W1234" s="476"/>
      <c r="X1234" s="476"/>
      <c r="Y1234" s="476"/>
      <c r="Z1234" s="476"/>
      <c r="AA1234" s="476"/>
      <c r="AB1234" s="476"/>
      <c r="AC1234" s="476"/>
      <c r="AD1234" s="476"/>
      <c r="AE1234" s="476"/>
      <c r="AF1234" s="476"/>
      <c r="AG1234" s="476"/>
      <c r="AH1234" s="476"/>
      <c r="AI1234" s="476"/>
      <c r="AJ1234" s="476"/>
      <c r="AK1234" s="476"/>
      <c r="AL1234" s="476"/>
      <c r="AM1234" s="476"/>
      <c r="AN1234" s="476"/>
      <c r="AO1234" s="476"/>
      <c r="AP1234" s="476"/>
      <c r="AQ1234" s="476"/>
      <c r="AR1234" s="476"/>
      <c r="AS1234" s="476"/>
      <c r="AT1234" s="476"/>
      <c r="AU1234" s="476"/>
    </row>
    <row r="1235" spans="1:47" s="398" customFormat="1" ht="13.15" customHeight="1" x14ac:dyDescent="0.2">
      <c r="A1235" s="476"/>
      <c r="D1235" s="467"/>
      <c r="F1235" s="468"/>
      <c r="G1235" s="468"/>
      <c r="H1235" s="468"/>
      <c r="I1235" s="468"/>
      <c r="J1235" s="469"/>
      <c r="L1235" s="476"/>
      <c r="M1235" s="476"/>
      <c r="N1235" s="476"/>
      <c r="O1235" s="476"/>
      <c r="P1235" s="476"/>
      <c r="Q1235" s="476"/>
      <c r="R1235" s="476"/>
      <c r="S1235" s="476"/>
      <c r="T1235" s="476"/>
      <c r="U1235" s="476"/>
      <c r="V1235" s="476"/>
      <c r="W1235" s="476"/>
      <c r="X1235" s="476"/>
      <c r="Y1235" s="476"/>
      <c r="Z1235" s="476"/>
      <c r="AA1235" s="476"/>
      <c r="AB1235" s="476"/>
      <c r="AC1235" s="476"/>
      <c r="AD1235" s="476"/>
      <c r="AE1235" s="476"/>
      <c r="AF1235" s="476"/>
      <c r="AG1235" s="476"/>
      <c r="AH1235" s="476"/>
      <c r="AI1235" s="476"/>
      <c r="AJ1235" s="476"/>
      <c r="AK1235" s="476"/>
      <c r="AL1235" s="476"/>
      <c r="AM1235" s="476"/>
      <c r="AN1235" s="476"/>
      <c r="AO1235" s="476"/>
      <c r="AP1235" s="476"/>
      <c r="AQ1235" s="476"/>
      <c r="AR1235" s="476"/>
      <c r="AS1235" s="476"/>
      <c r="AT1235" s="476"/>
      <c r="AU1235" s="476"/>
    </row>
    <row r="1236" spans="1:47" s="398" customFormat="1" ht="13.15" customHeight="1" x14ac:dyDescent="0.2">
      <c r="A1236" s="476"/>
      <c r="D1236" s="467"/>
      <c r="F1236" s="468"/>
      <c r="G1236" s="468"/>
      <c r="H1236" s="468"/>
      <c r="I1236" s="468"/>
      <c r="J1236" s="469"/>
      <c r="L1236" s="476"/>
      <c r="M1236" s="476"/>
      <c r="N1236" s="476"/>
      <c r="O1236" s="476"/>
      <c r="P1236" s="476"/>
      <c r="Q1236" s="476"/>
      <c r="R1236" s="476"/>
      <c r="S1236" s="476"/>
      <c r="T1236" s="476"/>
      <c r="U1236" s="476"/>
      <c r="V1236" s="476"/>
      <c r="W1236" s="476"/>
      <c r="X1236" s="476"/>
      <c r="Y1236" s="476"/>
      <c r="Z1236" s="476"/>
      <c r="AA1236" s="476"/>
      <c r="AB1236" s="476"/>
      <c r="AC1236" s="476"/>
      <c r="AD1236" s="476"/>
      <c r="AE1236" s="476"/>
      <c r="AF1236" s="476"/>
      <c r="AG1236" s="476"/>
      <c r="AH1236" s="476"/>
      <c r="AI1236" s="476"/>
      <c r="AJ1236" s="476"/>
      <c r="AK1236" s="476"/>
      <c r="AL1236" s="476"/>
      <c r="AM1236" s="476"/>
      <c r="AN1236" s="476"/>
      <c r="AO1236" s="476"/>
      <c r="AP1236" s="476"/>
      <c r="AQ1236" s="476"/>
      <c r="AR1236" s="476"/>
      <c r="AS1236" s="476"/>
      <c r="AT1236" s="476"/>
      <c r="AU1236" s="476"/>
    </row>
    <row r="1237" spans="1:47" s="398" customFormat="1" ht="13.15" customHeight="1" x14ac:dyDescent="0.2">
      <c r="A1237" s="476"/>
      <c r="D1237" s="467"/>
      <c r="F1237" s="468"/>
      <c r="G1237" s="468"/>
      <c r="H1237" s="468"/>
      <c r="I1237" s="468"/>
      <c r="J1237" s="469"/>
      <c r="L1237" s="476"/>
      <c r="M1237" s="476"/>
      <c r="N1237" s="476"/>
      <c r="O1237" s="476"/>
      <c r="P1237" s="476"/>
      <c r="Q1237" s="476"/>
      <c r="R1237" s="476"/>
      <c r="S1237" s="476"/>
      <c r="T1237" s="476"/>
      <c r="U1237" s="476"/>
      <c r="V1237" s="476"/>
      <c r="W1237" s="476"/>
      <c r="X1237" s="476"/>
      <c r="Y1237" s="476"/>
      <c r="Z1237" s="476"/>
      <c r="AA1237" s="476"/>
      <c r="AB1237" s="476"/>
      <c r="AC1237" s="476"/>
      <c r="AD1237" s="476"/>
      <c r="AE1237" s="476"/>
      <c r="AF1237" s="476"/>
      <c r="AG1237" s="476"/>
      <c r="AH1237" s="476"/>
      <c r="AI1237" s="476"/>
      <c r="AJ1237" s="476"/>
      <c r="AK1237" s="476"/>
      <c r="AL1237" s="476"/>
      <c r="AM1237" s="476"/>
      <c r="AN1237" s="476"/>
      <c r="AO1237" s="476"/>
      <c r="AP1237" s="476"/>
      <c r="AQ1237" s="476"/>
      <c r="AR1237" s="476"/>
      <c r="AS1237" s="476"/>
      <c r="AT1237" s="476"/>
      <c r="AU1237" s="476"/>
    </row>
    <row r="1238" spans="1:47" s="398" customFormat="1" ht="13.15" customHeight="1" x14ac:dyDescent="0.2">
      <c r="A1238" s="476"/>
      <c r="D1238" s="467"/>
      <c r="F1238" s="468"/>
      <c r="G1238" s="468"/>
      <c r="H1238" s="468"/>
      <c r="I1238" s="468"/>
      <c r="J1238" s="469"/>
      <c r="L1238" s="476"/>
      <c r="M1238" s="476"/>
      <c r="N1238" s="476"/>
      <c r="O1238" s="476"/>
      <c r="P1238" s="476"/>
      <c r="Q1238" s="476"/>
      <c r="R1238" s="476"/>
      <c r="S1238" s="476"/>
      <c r="T1238" s="476"/>
      <c r="U1238" s="476"/>
      <c r="V1238" s="476"/>
      <c r="W1238" s="476"/>
      <c r="X1238" s="476"/>
      <c r="Y1238" s="476"/>
      <c r="Z1238" s="476"/>
      <c r="AA1238" s="476"/>
      <c r="AB1238" s="476"/>
      <c r="AC1238" s="476"/>
      <c r="AD1238" s="476"/>
      <c r="AE1238" s="476"/>
      <c r="AF1238" s="476"/>
      <c r="AG1238" s="476"/>
      <c r="AH1238" s="476"/>
      <c r="AI1238" s="476"/>
      <c r="AJ1238" s="476"/>
      <c r="AK1238" s="476"/>
      <c r="AL1238" s="476"/>
      <c r="AM1238" s="476"/>
      <c r="AN1238" s="476"/>
      <c r="AO1238" s="476"/>
      <c r="AP1238" s="476"/>
      <c r="AQ1238" s="476"/>
      <c r="AR1238" s="476"/>
      <c r="AS1238" s="476"/>
      <c r="AT1238" s="476"/>
      <c r="AU1238" s="476"/>
    </row>
    <row r="1239" spans="1:47" s="398" customFormat="1" ht="13.15" customHeight="1" x14ac:dyDescent="0.2">
      <c r="A1239" s="476"/>
      <c r="D1239" s="467"/>
      <c r="F1239" s="468"/>
      <c r="G1239" s="468"/>
      <c r="H1239" s="468"/>
      <c r="I1239" s="468"/>
      <c r="J1239" s="469"/>
      <c r="L1239" s="476"/>
      <c r="M1239" s="476"/>
      <c r="N1239" s="476"/>
      <c r="O1239" s="476"/>
      <c r="P1239" s="476"/>
      <c r="Q1239" s="476"/>
      <c r="R1239" s="476"/>
      <c r="S1239" s="476"/>
      <c r="T1239" s="476"/>
      <c r="U1239" s="476"/>
      <c r="V1239" s="476"/>
      <c r="W1239" s="476"/>
      <c r="X1239" s="476"/>
      <c r="Y1239" s="476"/>
      <c r="Z1239" s="476"/>
      <c r="AA1239" s="476"/>
      <c r="AB1239" s="476"/>
      <c r="AC1239" s="476"/>
      <c r="AD1239" s="476"/>
      <c r="AE1239" s="476"/>
      <c r="AF1239" s="476"/>
      <c r="AG1239" s="476"/>
      <c r="AH1239" s="476"/>
      <c r="AI1239" s="476"/>
      <c r="AJ1239" s="476"/>
      <c r="AK1239" s="476"/>
      <c r="AL1239" s="476"/>
      <c r="AM1239" s="476"/>
      <c r="AN1239" s="476"/>
      <c r="AO1239" s="476"/>
      <c r="AP1239" s="476"/>
      <c r="AQ1239" s="476"/>
      <c r="AR1239" s="476"/>
      <c r="AS1239" s="476"/>
      <c r="AT1239" s="476"/>
      <c r="AU1239" s="476"/>
    </row>
    <row r="1240" spans="1:47" s="398" customFormat="1" ht="13.15" customHeight="1" x14ac:dyDescent="0.2">
      <c r="A1240" s="476"/>
      <c r="D1240" s="467"/>
      <c r="F1240" s="468"/>
      <c r="G1240" s="468"/>
      <c r="H1240" s="468"/>
      <c r="I1240" s="468"/>
      <c r="J1240" s="469"/>
      <c r="L1240" s="476"/>
      <c r="M1240" s="476"/>
      <c r="N1240" s="476"/>
      <c r="O1240" s="476"/>
      <c r="P1240" s="476"/>
      <c r="Q1240" s="476"/>
      <c r="R1240" s="476"/>
      <c r="S1240" s="476"/>
      <c r="T1240" s="476"/>
      <c r="U1240" s="476"/>
      <c r="V1240" s="476"/>
      <c r="W1240" s="476"/>
      <c r="X1240" s="476"/>
      <c r="Y1240" s="476"/>
      <c r="Z1240" s="476"/>
      <c r="AA1240" s="476"/>
      <c r="AB1240" s="476"/>
      <c r="AC1240" s="476"/>
      <c r="AD1240" s="476"/>
      <c r="AE1240" s="476"/>
      <c r="AF1240" s="476"/>
      <c r="AG1240" s="476"/>
      <c r="AH1240" s="476"/>
      <c r="AI1240" s="476"/>
      <c r="AJ1240" s="476"/>
      <c r="AK1240" s="476"/>
      <c r="AL1240" s="476"/>
      <c r="AM1240" s="476"/>
      <c r="AN1240" s="476"/>
      <c r="AO1240" s="476"/>
      <c r="AP1240" s="476"/>
      <c r="AQ1240" s="476"/>
      <c r="AR1240" s="476"/>
      <c r="AS1240" s="476"/>
      <c r="AT1240" s="476"/>
      <c r="AU1240" s="476"/>
    </row>
    <row r="1241" spans="1:47" s="398" customFormat="1" ht="13.15" customHeight="1" x14ac:dyDescent="0.2">
      <c r="A1241" s="476"/>
      <c r="D1241" s="467"/>
      <c r="F1241" s="468"/>
      <c r="G1241" s="468"/>
      <c r="H1241" s="468"/>
      <c r="I1241" s="468"/>
      <c r="J1241" s="469"/>
      <c r="L1241" s="476"/>
      <c r="M1241" s="476"/>
      <c r="N1241" s="476"/>
      <c r="O1241" s="476"/>
      <c r="P1241" s="476"/>
      <c r="Q1241" s="476"/>
      <c r="R1241" s="476"/>
      <c r="S1241" s="476"/>
      <c r="T1241" s="476"/>
      <c r="U1241" s="476"/>
      <c r="V1241" s="476"/>
      <c r="W1241" s="476"/>
      <c r="X1241" s="476"/>
      <c r="Y1241" s="476"/>
      <c r="Z1241" s="476"/>
      <c r="AA1241" s="476"/>
      <c r="AB1241" s="476"/>
      <c r="AC1241" s="476"/>
      <c r="AD1241" s="476"/>
      <c r="AE1241" s="476"/>
      <c r="AF1241" s="476"/>
      <c r="AG1241" s="476"/>
      <c r="AH1241" s="476"/>
      <c r="AI1241" s="476"/>
      <c r="AJ1241" s="476"/>
      <c r="AK1241" s="476"/>
      <c r="AL1241" s="476"/>
      <c r="AM1241" s="476"/>
      <c r="AN1241" s="476"/>
      <c r="AO1241" s="476"/>
      <c r="AP1241" s="476"/>
      <c r="AQ1241" s="476"/>
      <c r="AR1241" s="476"/>
      <c r="AS1241" s="476"/>
      <c r="AT1241" s="476"/>
      <c r="AU1241" s="476"/>
    </row>
    <row r="1242" spans="1:47" s="398" customFormat="1" ht="13.15" customHeight="1" x14ac:dyDescent="0.2">
      <c r="A1242" s="476"/>
      <c r="D1242" s="467"/>
      <c r="F1242" s="468"/>
      <c r="G1242" s="468"/>
      <c r="H1242" s="468"/>
      <c r="I1242" s="468"/>
      <c r="J1242" s="469"/>
      <c r="L1242" s="476"/>
      <c r="M1242" s="476"/>
      <c r="N1242" s="476"/>
      <c r="O1242" s="476"/>
      <c r="P1242" s="476"/>
      <c r="Q1242" s="476"/>
      <c r="R1242" s="476"/>
      <c r="S1242" s="476"/>
      <c r="T1242" s="476"/>
      <c r="U1242" s="476"/>
      <c r="V1242" s="476"/>
      <c r="W1242" s="476"/>
      <c r="X1242" s="476"/>
      <c r="Y1242" s="476"/>
      <c r="Z1242" s="476"/>
      <c r="AA1242" s="476"/>
      <c r="AB1242" s="476"/>
      <c r="AC1242" s="476"/>
      <c r="AD1242" s="476"/>
      <c r="AE1242" s="476"/>
      <c r="AF1242" s="476"/>
      <c r="AG1242" s="476"/>
      <c r="AH1242" s="476"/>
      <c r="AI1242" s="476"/>
      <c r="AJ1242" s="476"/>
      <c r="AK1242" s="476"/>
      <c r="AL1242" s="476"/>
      <c r="AM1242" s="476"/>
      <c r="AN1242" s="476"/>
      <c r="AO1242" s="476"/>
      <c r="AP1242" s="476"/>
      <c r="AQ1242" s="476"/>
      <c r="AR1242" s="476"/>
      <c r="AS1242" s="476"/>
      <c r="AT1242" s="476"/>
      <c r="AU1242" s="476"/>
    </row>
    <row r="1243" spans="1:47" s="398" customFormat="1" ht="13.15" customHeight="1" x14ac:dyDescent="0.2">
      <c r="A1243" s="476"/>
      <c r="D1243" s="467"/>
      <c r="F1243" s="468"/>
      <c r="G1243" s="468"/>
      <c r="H1243" s="468"/>
      <c r="I1243" s="468"/>
      <c r="J1243" s="469"/>
      <c r="L1243" s="476"/>
      <c r="M1243" s="476"/>
      <c r="N1243" s="476"/>
      <c r="O1243" s="476"/>
      <c r="P1243" s="476"/>
      <c r="Q1243" s="476"/>
      <c r="R1243" s="476"/>
      <c r="S1243" s="476"/>
      <c r="T1243" s="476"/>
      <c r="U1243" s="476"/>
      <c r="V1243" s="476"/>
      <c r="W1243" s="476"/>
      <c r="X1243" s="476"/>
      <c r="Y1243" s="476"/>
      <c r="Z1243" s="476"/>
      <c r="AA1243" s="476"/>
      <c r="AB1243" s="476"/>
      <c r="AC1243" s="476"/>
      <c r="AD1243" s="476"/>
      <c r="AE1243" s="476"/>
      <c r="AF1243" s="476"/>
      <c r="AG1243" s="476"/>
      <c r="AH1243" s="476"/>
      <c r="AI1243" s="476"/>
      <c r="AJ1243" s="476"/>
      <c r="AK1243" s="476"/>
      <c r="AL1243" s="476"/>
      <c r="AM1243" s="476"/>
      <c r="AN1243" s="476"/>
      <c r="AO1243" s="476"/>
      <c r="AP1243" s="476"/>
      <c r="AQ1243" s="476"/>
      <c r="AR1243" s="476"/>
      <c r="AS1243" s="476"/>
      <c r="AT1243" s="476"/>
      <c r="AU1243" s="476"/>
    </row>
    <row r="1244" spans="1:47" s="398" customFormat="1" ht="13.15" customHeight="1" x14ac:dyDescent="0.2">
      <c r="A1244" s="476"/>
      <c r="D1244" s="467"/>
      <c r="F1244" s="468"/>
      <c r="G1244" s="468"/>
      <c r="H1244" s="468"/>
      <c r="I1244" s="468"/>
      <c r="J1244" s="469"/>
      <c r="L1244" s="476"/>
      <c r="M1244" s="476"/>
      <c r="N1244" s="476"/>
      <c r="O1244" s="476"/>
      <c r="P1244" s="476"/>
      <c r="Q1244" s="476"/>
      <c r="R1244" s="476"/>
      <c r="S1244" s="476"/>
      <c r="T1244" s="476"/>
      <c r="U1244" s="476"/>
      <c r="V1244" s="476"/>
      <c r="W1244" s="476"/>
      <c r="X1244" s="476"/>
      <c r="Y1244" s="476"/>
      <c r="Z1244" s="476"/>
      <c r="AA1244" s="476"/>
      <c r="AB1244" s="476"/>
      <c r="AC1244" s="476"/>
      <c r="AD1244" s="476"/>
      <c r="AE1244" s="476"/>
      <c r="AF1244" s="476"/>
      <c r="AG1244" s="476"/>
      <c r="AH1244" s="476"/>
      <c r="AI1244" s="476"/>
      <c r="AJ1244" s="476"/>
      <c r="AK1244" s="476"/>
      <c r="AL1244" s="476"/>
      <c r="AM1244" s="476"/>
      <c r="AN1244" s="476"/>
      <c r="AO1244" s="476"/>
      <c r="AP1244" s="476"/>
      <c r="AQ1244" s="476"/>
      <c r="AR1244" s="476"/>
      <c r="AS1244" s="476"/>
      <c r="AT1244" s="476"/>
      <c r="AU1244" s="476"/>
    </row>
    <row r="1245" spans="1:47" s="398" customFormat="1" ht="13.15" customHeight="1" x14ac:dyDescent="0.2">
      <c r="A1245" s="476"/>
      <c r="D1245" s="467"/>
      <c r="F1245" s="468"/>
      <c r="G1245" s="468"/>
      <c r="H1245" s="468"/>
      <c r="I1245" s="468"/>
      <c r="J1245" s="469"/>
      <c r="L1245" s="476"/>
      <c r="M1245" s="476"/>
      <c r="N1245" s="476"/>
      <c r="O1245" s="476"/>
      <c r="P1245" s="476"/>
      <c r="Q1245" s="476"/>
      <c r="R1245" s="476"/>
      <c r="S1245" s="476"/>
      <c r="T1245" s="476"/>
      <c r="U1245" s="476"/>
      <c r="V1245" s="476"/>
      <c r="W1245" s="476"/>
      <c r="X1245" s="476"/>
      <c r="Y1245" s="476"/>
      <c r="Z1245" s="476"/>
      <c r="AA1245" s="476"/>
      <c r="AB1245" s="476"/>
      <c r="AC1245" s="476"/>
      <c r="AD1245" s="476"/>
      <c r="AE1245" s="476"/>
      <c r="AF1245" s="476"/>
      <c r="AG1245" s="476"/>
      <c r="AH1245" s="476"/>
      <c r="AI1245" s="476"/>
      <c r="AJ1245" s="476"/>
      <c r="AK1245" s="476"/>
      <c r="AL1245" s="476"/>
      <c r="AM1245" s="476"/>
      <c r="AN1245" s="476"/>
      <c r="AO1245" s="476"/>
      <c r="AP1245" s="476"/>
      <c r="AQ1245" s="476"/>
      <c r="AR1245" s="476"/>
      <c r="AS1245" s="476"/>
      <c r="AT1245" s="476"/>
      <c r="AU1245" s="476"/>
    </row>
    <row r="1246" spans="1:47" s="398" customFormat="1" ht="13.15" customHeight="1" x14ac:dyDescent="0.2">
      <c r="A1246" s="476"/>
      <c r="D1246" s="467"/>
      <c r="F1246" s="468"/>
      <c r="G1246" s="468"/>
      <c r="H1246" s="468"/>
      <c r="I1246" s="468"/>
      <c r="J1246" s="469"/>
      <c r="L1246" s="476"/>
      <c r="M1246" s="476"/>
      <c r="N1246" s="476"/>
      <c r="O1246" s="476"/>
      <c r="P1246" s="476"/>
      <c r="Q1246" s="476"/>
      <c r="R1246" s="476"/>
      <c r="S1246" s="476"/>
      <c r="T1246" s="476"/>
      <c r="U1246" s="476"/>
      <c r="V1246" s="476"/>
      <c r="W1246" s="476"/>
      <c r="X1246" s="476"/>
      <c r="Y1246" s="476"/>
      <c r="Z1246" s="476"/>
      <c r="AA1246" s="476"/>
      <c r="AB1246" s="476"/>
      <c r="AC1246" s="476"/>
      <c r="AD1246" s="476"/>
      <c r="AE1246" s="476"/>
      <c r="AF1246" s="476"/>
      <c r="AG1246" s="476"/>
      <c r="AH1246" s="476"/>
      <c r="AI1246" s="476"/>
      <c r="AJ1246" s="476"/>
      <c r="AK1246" s="476"/>
      <c r="AL1246" s="476"/>
      <c r="AM1246" s="476"/>
      <c r="AN1246" s="476"/>
      <c r="AO1246" s="476"/>
      <c r="AP1246" s="476"/>
      <c r="AQ1246" s="476"/>
      <c r="AR1246" s="476"/>
      <c r="AS1246" s="476"/>
      <c r="AT1246" s="476"/>
      <c r="AU1246" s="476"/>
    </row>
    <row r="1247" spans="1:47" s="398" customFormat="1" ht="13.15" customHeight="1" x14ac:dyDescent="0.2">
      <c r="A1247" s="476"/>
      <c r="D1247" s="467"/>
      <c r="F1247" s="468"/>
      <c r="G1247" s="468"/>
      <c r="H1247" s="468"/>
      <c r="I1247" s="468"/>
      <c r="J1247" s="469"/>
      <c r="L1247" s="476"/>
      <c r="M1247" s="476"/>
      <c r="N1247" s="476"/>
      <c r="O1247" s="476"/>
      <c r="P1247" s="476"/>
      <c r="Q1247" s="476"/>
      <c r="R1247" s="476"/>
      <c r="S1247" s="476"/>
      <c r="T1247" s="476"/>
      <c r="U1247" s="476"/>
      <c r="V1247" s="476"/>
      <c r="W1247" s="476"/>
      <c r="X1247" s="476"/>
      <c r="Y1247" s="476"/>
      <c r="Z1247" s="476"/>
      <c r="AA1247" s="476"/>
      <c r="AB1247" s="476"/>
      <c r="AC1247" s="476"/>
      <c r="AD1247" s="476"/>
      <c r="AE1247" s="476"/>
      <c r="AF1247" s="476"/>
      <c r="AG1247" s="476"/>
      <c r="AH1247" s="476"/>
      <c r="AI1247" s="476"/>
      <c r="AJ1247" s="476"/>
      <c r="AK1247" s="476"/>
      <c r="AL1247" s="476"/>
      <c r="AM1247" s="476"/>
      <c r="AN1247" s="476"/>
      <c r="AO1247" s="476"/>
      <c r="AP1247" s="476"/>
      <c r="AQ1247" s="476"/>
      <c r="AR1247" s="476"/>
      <c r="AS1247" s="476"/>
      <c r="AT1247" s="476"/>
      <c r="AU1247" s="476"/>
    </row>
    <row r="1248" spans="1:47" s="398" customFormat="1" ht="13.15" customHeight="1" x14ac:dyDescent="0.2">
      <c r="A1248" s="476"/>
      <c r="D1248" s="467"/>
      <c r="F1248" s="468"/>
      <c r="G1248" s="468"/>
      <c r="H1248" s="468"/>
      <c r="I1248" s="468"/>
      <c r="J1248" s="469"/>
      <c r="L1248" s="476"/>
      <c r="M1248" s="476"/>
      <c r="N1248" s="476"/>
      <c r="O1248" s="476"/>
      <c r="P1248" s="476"/>
      <c r="Q1248" s="476"/>
      <c r="R1248" s="476"/>
      <c r="S1248" s="476"/>
      <c r="T1248" s="476"/>
      <c r="U1248" s="476"/>
      <c r="V1248" s="476"/>
      <c r="W1248" s="476"/>
      <c r="X1248" s="476"/>
      <c r="Y1248" s="476"/>
      <c r="Z1248" s="476"/>
      <c r="AA1248" s="476"/>
      <c r="AB1248" s="476"/>
      <c r="AC1248" s="476"/>
      <c r="AD1248" s="476"/>
      <c r="AE1248" s="476"/>
      <c r="AF1248" s="476"/>
      <c r="AG1248" s="476"/>
      <c r="AH1248" s="476"/>
      <c r="AI1248" s="476"/>
      <c r="AJ1248" s="476"/>
      <c r="AK1248" s="476"/>
      <c r="AL1248" s="476"/>
      <c r="AM1248" s="476"/>
      <c r="AN1248" s="476"/>
      <c r="AO1248" s="476"/>
      <c r="AP1248" s="476"/>
      <c r="AQ1248" s="476"/>
      <c r="AR1248" s="476"/>
      <c r="AS1248" s="476"/>
      <c r="AT1248" s="476"/>
      <c r="AU1248" s="476"/>
    </row>
    <row r="1249" spans="1:47" s="398" customFormat="1" ht="13.15" customHeight="1" x14ac:dyDescent="0.2">
      <c r="A1249" s="476"/>
      <c r="D1249" s="467"/>
      <c r="F1249" s="468"/>
      <c r="G1249" s="468"/>
      <c r="H1249" s="468"/>
      <c r="I1249" s="468"/>
      <c r="J1249" s="469"/>
      <c r="L1249" s="476"/>
      <c r="M1249" s="476"/>
      <c r="N1249" s="476"/>
      <c r="O1249" s="476"/>
      <c r="P1249" s="476"/>
      <c r="Q1249" s="476"/>
      <c r="R1249" s="476"/>
      <c r="S1249" s="476"/>
      <c r="T1249" s="476"/>
      <c r="U1249" s="476"/>
      <c r="V1249" s="476"/>
      <c r="W1249" s="476"/>
      <c r="X1249" s="476"/>
      <c r="Y1249" s="476"/>
      <c r="Z1249" s="476"/>
      <c r="AA1249" s="476"/>
      <c r="AB1249" s="476"/>
      <c r="AC1249" s="476"/>
      <c r="AD1249" s="476"/>
      <c r="AE1249" s="476"/>
      <c r="AF1249" s="476"/>
      <c r="AG1249" s="476"/>
      <c r="AH1249" s="476"/>
      <c r="AI1249" s="476"/>
      <c r="AJ1249" s="476"/>
      <c r="AK1249" s="476"/>
      <c r="AL1249" s="476"/>
      <c r="AM1249" s="476"/>
      <c r="AN1249" s="476"/>
      <c r="AO1249" s="476"/>
      <c r="AP1249" s="476"/>
      <c r="AQ1249" s="476"/>
      <c r="AR1249" s="476"/>
      <c r="AS1249" s="476"/>
      <c r="AT1249" s="476"/>
      <c r="AU1249" s="476"/>
    </row>
    <row r="1250" spans="1:47" s="398" customFormat="1" ht="13.15" customHeight="1" x14ac:dyDescent="0.2">
      <c r="A1250" s="476"/>
      <c r="D1250" s="467"/>
      <c r="F1250" s="468"/>
      <c r="G1250" s="468"/>
      <c r="H1250" s="468"/>
      <c r="I1250" s="468"/>
      <c r="J1250" s="469"/>
      <c r="L1250" s="476"/>
      <c r="M1250" s="476"/>
      <c r="N1250" s="476"/>
      <c r="O1250" s="476"/>
      <c r="P1250" s="476"/>
      <c r="Q1250" s="476"/>
      <c r="R1250" s="476"/>
      <c r="S1250" s="476"/>
      <c r="T1250" s="476"/>
      <c r="U1250" s="476"/>
      <c r="V1250" s="476"/>
      <c r="W1250" s="476"/>
      <c r="X1250" s="476"/>
      <c r="Y1250" s="476"/>
      <c r="Z1250" s="476"/>
      <c r="AA1250" s="476"/>
      <c r="AB1250" s="476"/>
      <c r="AC1250" s="476"/>
      <c r="AD1250" s="476"/>
      <c r="AE1250" s="476"/>
      <c r="AF1250" s="476"/>
      <c r="AG1250" s="476"/>
      <c r="AH1250" s="476"/>
      <c r="AI1250" s="476"/>
      <c r="AJ1250" s="476"/>
      <c r="AK1250" s="476"/>
      <c r="AL1250" s="476"/>
      <c r="AM1250" s="476"/>
      <c r="AN1250" s="476"/>
      <c r="AO1250" s="476"/>
      <c r="AP1250" s="476"/>
      <c r="AQ1250" s="476"/>
      <c r="AR1250" s="476"/>
      <c r="AS1250" s="476"/>
      <c r="AT1250" s="476"/>
      <c r="AU1250" s="476"/>
    </row>
    <row r="1251" spans="1:47" s="398" customFormat="1" ht="13.15" customHeight="1" x14ac:dyDescent="0.2">
      <c r="A1251" s="476"/>
      <c r="D1251" s="467"/>
      <c r="F1251" s="468"/>
      <c r="G1251" s="468"/>
      <c r="H1251" s="468"/>
      <c r="I1251" s="468"/>
      <c r="J1251" s="469"/>
      <c r="L1251" s="476"/>
      <c r="M1251" s="476"/>
      <c r="N1251" s="476"/>
      <c r="O1251" s="476"/>
      <c r="P1251" s="476"/>
      <c r="Q1251" s="476"/>
      <c r="R1251" s="476"/>
      <c r="S1251" s="476"/>
      <c r="T1251" s="476"/>
      <c r="U1251" s="476"/>
      <c r="V1251" s="476"/>
      <c r="W1251" s="476"/>
      <c r="X1251" s="476"/>
      <c r="Y1251" s="476"/>
      <c r="Z1251" s="476"/>
      <c r="AA1251" s="476"/>
      <c r="AB1251" s="476"/>
      <c r="AC1251" s="476"/>
      <c r="AD1251" s="476"/>
      <c r="AE1251" s="476"/>
      <c r="AF1251" s="476"/>
      <c r="AG1251" s="476"/>
      <c r="AH1251" s="476"/>
      <c r="AI1251" s="476"/>
      <c r="AJ1251" s="476"/>
      <c r="AK1251" s="476"/>
      <c r="AL1251" s="476"/>
      <c r="AM1251" s="476"/>
      <c r="AN1251" s="476"/>
      <c r="AO1251" s="476"/>
      <c r="AP1251" s="476"/>
      <c r="AQ1251" s="476"/>
      <c r="AR1251" s="476"/>
      <c r="AS1251" s="476"/>
      <c r="AT1251" s="476"/>
      <c r="AU1251" s="476"/>
    </row>
    <row r="1252" spans="1:47" s="398" customFormat="1" ht="13.15" customHeight="1" x14ac:dyDescent="0.2">
      <c r="A1252" s="476"/>
      <c r="D1252" s="467"/>
      <c r="F1252" s="468"/>
      <c r="G1252" s="468"/>
      <c r="H1252" s="468"/>
      <c r="I1252" s="468"/>
      <c r="J1252" s="469"/>
      <c r="L1252" s="476"/>
      <c r="M1252" s="476"/>
      <c r="N1252" s="476"/>
      <c r="O1252" s="476"/>
      <c r="P1252" s="476"/>
      <c r="Q1252" s="476"/>
      <c r="R1252" s="476"/>
      <c r="S1252" s="476"/>
      <c r="T1252" s="476"/>
      <c r="U1252" s="476"/>
      <c r="V1252" s="476"/>
      <c r="W1252" s="476"/>
      <c r="X1252" s="476"/>
      <c r="Y1252" s="476"/>
      <c r="Z1252" s="476"/>
      <c r="AA1252" s="476"/>
      <c r="AB1252" s="476"/>
      <c r="AC1252" s="476"/>
      <c r="AD1252" s="476"/>
      <c r="AE1252" s="476"/>
      <c r="AF1252" s="476"/>
      <c r="AG1252" s="476"/>
      <c r="AH1252" s="476"/>
      <c r="AI1252" s="476"/>
      <c r="AJ1252" s="476"/>
      <c r="AK1252" s="476"/>
      <c r="AL1252" s="476"/>
      <c r="AM1252" s="476"/>
      <c r="AN1252" s="476"/>
      <c r="AO1252" s="476"/>
      <c r="AP1252" s="476"/>
      <c r="AQ1252" s="476"/>
      <c r="AR1252" s="476"/>
      <c r="AS1252" s="476"/>
      <c r="AT1252" s="476"/>
      <c r="AU1252" s="476"/>
    </row>
    <row r="1253" spans="1:47" s="398" customFormat="1" ht="13.15" customHeight="1" x14ac:dyDescent="0.2">
      <c r="A1253" s="476"/>
      <c r="D1253" s="467"/>
      <c r="F1253" s="468"/>
      <c r="G1253" s="468"/>
      <c r="H1253" s="468"/>
      <c r="I1253" s="468"/>
      <c r="J1253" s="469"/>
      <c r="L1253" s="476"/>
      <c r="M1253" s="476"/>
      <c r="N1253" s="476"/>
      <c r="O1253" s="476"/>
      <c r="P1253" s="476"/>
      <c r="Q1253" s="476"/>
      <c r="R1253" s="476"/>
      <c r="S1253" s="476"/>
      <c r="T1253" s="476"/>
      <c r="U1253" s="476"/>
      <c r="V1253" s="476"/>
      <c r="W1253" s="476"/>
      <c r="X1253" s="476"/>
      <c r="Y1253" s="476"/>
      <c r="Z1253" s="476"/>
      <c r="AA1253" s="476"/>
      <c r="AB1253" s="476"/>
      <c r="AC1253" s="476"/>
      <c r="AD1253" s="476"/>
      <c r="AE1253" s="476"/>
      <c r="AF1253" s="476"/>
      <c r="AG1253" s="476"/>
      <c r="AH1253" s="476"/>
      <c r="AI1253" s="476"/>
      <c r="AJ1253" s="476"/>
      <c r="AK1253" s="476"/>
      <c r="AL1253" s="476"/>
      <c r="AM1253" s="476"/>
      <c r="AN1253" s="476"/>
      <c r="AO1253" s="476"/>
      <c r="AP1253" s="476"/>
      <c r="AQ1253" s="476"/>
      <c r="AR1253" s="476"/>
      <c r="AS1253" s="476"/>
      <c r="AT1253" s="476"/>
      <c r="AU1253" s="476"/>
    </row>
    <row r="1254" spans="1:47" s="398" customFormat="1" ht="13.15" customHeight="1" x14ac:dyDescent="0.2">
      <c r="A1254" s="476"/>
      <c r="D1254" s="467"/>
      <c r="F1254" s="468"/>
      <c r="G1254" s="468"/>
      <c r="H1254" s="468"/>
      <c r="I1254" s="468"/>
      <c r="J1254" s="469"/>
      <c r="L1254" s="476"/>
      <c r="M1254" s="476"/>
      <c r="N1254" s="476"/>
      <c r="O1254" s="476"/>
      <c r="P1254" s="476"/>
      <c r="Q1254" s="476"/>
      <c r="R1254" s="476"/>
      <c r="S1254" s="476"/>
      <c r="T1254" s="476"/>
      <c r="U1254" s="476"/>
      <c r="V1254" s="476"/>
      <c r="W1254" s="476"/>
      <c r="X1254" s="476"/>
      <c r="Y1254" s="476"/>
      <c r="Z1254" s="476"/>
      <c r="AA1254" s="476"/>
      <c r="AB1254" s="476"/>
      <c r="AC1254" s="476"/>
      <c r="AD1254" s="476"/>
      <c r="AE1254" s="476"/>
      <c r="AF1254" s="476"/>
      <c r="AG1254" s="476"/>
      <c r="AH1254" s="476"/>
      <c r="AI1254" s="476"/>
      <c r="AJ1254" s="476"/>
      <c r="AK1254" s="476"/>
      <c r="AL1254" s="476"/>
      <c r="AM1254" s="476"/>
      <c r="AN1254" s="476"/>
      <c r="AO1254" s="476"/>
      <c r="AP1254" s="476"/>
      <c r="AQ1254" s="476"/>
      <c r="AR1254" s="476"/>
      <c r="AS1254" s="476"/>
      <c r="AT1254" s="476"/>
      <c r="AU1254" s="476"/>
    </row>
    <row r="1255" spans="1:47" s="398" customFormat="1" ht="13.15" customHeight="1" x14ac:dyDescent="0.2">
      <c r="A1255" s="476"/>
      <c r="D1255" s="467"/>
      <c r="F1255" s="468"/>
      <c r="G1255" s="468"/>
      <c r="H1255" s="468"/>
      <c r="I1255" s="468"/>
      <c r="J1255" s="469"/>
      <c r="L1255" s="476"/>
      <c r="M1255" s="476"/>
      <c r="N1255" s="476"/>
      <c r="O1255" s="476"/>
      <c r="P1255" s="476"/>
      <c r="Q1255" s="476"/>
      <c r="R1255" s="476"/>
      <c r="S1255" s="476"/>
      <c r="T1255" s="476"/>
      <c r="U1255" s="476"/>
      <c r="V1255" s="476"/>
      <c r="W1255" s="476"/>
      <c r="X1255" s="476"/>
      <c r="Y1255" s="476"/>
      <c r="Z1255" s="476"/>
      <c r="AA1255" s="476"/>
      <c r="AB1255" s="476"/>
      <c r="AC1255" s="476"/>
      <c r="AD1255" s="476"/>
      <c r="AE1255" s="476"/>
      <c r="AF1255" s="476"/>
      <c r="AG1255" s="476"/>
      <c r="AH1255" s="476"/>
      <c r="AI1255" s="476"/>
      <c r="AJ1255" s="476"/>
      <c r="AK1255" s="476"/>
      <c r="AL1255" s="476"/>
      <c r="AM1255" s="476"/>
      <c r="AN1255" s="476"/>
      <c r="AO1255" s="476"/>
      <c r="AP1255" s="476"/>
      <c r="AQ1255" s="476"/>
      <c r="AR1255" s="476"/>
      <c r="AS1255" s="476"/>
      <c r="AT1255" s="476"/>
      <c r="AU1255" s="476"/>
    </row>
    <row r="1256" spans="1:47" s="398" customFormat="1" ht="13.15" customHeight="1" x14ac:dyDescent="0.2">
      <c r="A1256" s="476"/>
      <c r="D1256" s="467"/>
      <c r="F1256" s="468"/>
      <c r="G1256" s="468"/>
      <c r="H1256" s="468"/>
      <c r="I1256" s="468"/>
      <c r="J1256" s="469"/>
      <c r="L1256" s="476"/>
      <c r="M1256" s="476"/>
      <c r="N1256" s="476"/>
      <c r="O1256" s="476"/>
      <c r="P1256" s="476"/>
      <c r="Q1256" s="476"/>
      <c r="R1256" s="476"/>
      <c r="S1256" s="476"/>
      <c r="T1256" s="476"/>
      <c r="U1256" s="476"/>
      <c r="V1256" s="476"/>
      <c r="W1256" s="476"/>
      <c r="X1256" s="476"/>
      <c r="Y1256" s="476"/>
      <c r="Z1256" s="476"/>
      <c r="AA1256" s="476"/>
      <c r="AB1256" s="476"/>
      <c r="AC1256" s="476"/>
      <c r="AD1256" s="476"/>
      <c r="AE1256" s="476"/>
      <c r="AF1256" s="476"/>
      <c r="AG1256" s="476"/>
      <c r="AH1256" s="476"/>
      <c r="AI1256" s="476"/>
      <c r="AJ1256" s="476"/>
      <c r="AK1256" s="476"/>
      <c r="AL1256" s="476"/>
      <c r="AM1256" s="476"/>
      <c r="AN1256" s="476"/>
      <c r="AO1256" s="476"/>
      <c r="AP1256" s="476"/>
      <c r="AQ1256" s="476"/>
      <c r="AR1256" s="476"/>
      <c r="AS1256" s="476"/>
      <c r="AT1256" s="476"/>
      <c r="AU1256" s="476"/>
    </row>
    <row r="1257" spans="1:47" s="398" customFormat="1" ht="13.15" customHeight="1" x14ac:dyDescent="0.2">
      <c r="A1257" s="476"/>
      <c r="D1257" s="467"/>
      <c r="F1257" s="468"/>
      <c r="G1257" s="468"/>
      <c r="H1257" s="468"/>
      <c r="I1257" s="468"/>
      <c r="J1257" s="469"/>
      <c r="L1257" s="476"/>
      <c r="M1257" s="476"/>
      <c r="N1257" s="476"/>
      <c r="O1257" s="476"/>
      <c r="P1257" s="476"/>
      <c r="Q1257" s="476"/>
      <c r="R1257" s="476"/>
      <c r="S1257" s="476"/>
      <c r="T1257" s="476"/>
      <c r="U1257" s="476"/>
      <c r="V1257" s="476"/>
      <c r="W1257" s="476"/>
      <c r="X1257" s="476"/>
      <c r="Y1257" s="476"/>
      <c r="Z1257" s="476"/>
      <c r="AA1257" s="476"/>
      <c r="AB1257" s="476"/>
      <c r="AC1257" s="476"/>
      <c r="AD1257" s="476"/>
      <c r="AE1257" s="476"/>
      <c r="AF1257" s="476"/>
      <c r="AG1257" s="476"/>
      <c r="AH1257" s="476"/>
      <c r="AI1257" s="476"/>
      <c r="AJ1257" s="476"/>
      <c r="AK1257" s="476"/>
      <c r="AL1257" s="476"/>
      <c r="AM1257" s="476"/>
      <c r="AN1257" s="476"/>
      <c r="AO1257" s="476"/>
      <c r="AP1257" s="476"/>
      <c r="AQ1257" s="476"/>
      <c r="AR1257" s="476"/>
      <c r="AS1257" s="476"/>
      <c r="AT1257" s="476"/>
      <c r="AU1257" s="476"/>
    </row>
    <row r="1258" spans="1:47" s="398" customFormat="1" ht="13.15" customHeight="1" x14ac:dyDescent="0.2">
      <c r="A1258" s="476"/>
      <c r="D1258" s="467"/>
      <c r="F1258" s="468"/>
      <c r="G1258" s="468"/>
      <c r="H1258" s="468"/>
      <c r="I1258" s="468"/>
      <c r="J1258" s="469"/>
      <c r="L1258" s="476"/>
      <c r="M1258" s="476"/>
      <c r="N1258" s="476"/>
      <c r="O1258" s="476"/>
      <c r="P1258" s="476"/>
      <c r="Q1258" s="476"/>
      <c r="R1258" s="476"/>
      <c r="S1258" s="476"/>
      <c r="T1258" s="476"/>
      <c r="U1258" s="476"/>
      <c r="V1258" s="476"/>
      <c r="W1258" s="476"/>
      <c r="X1258" s="476"/>
      <c r="Y1258" s="476"/>
      <c r="Z1258" s="476"/>
      <c r="AA1258" s="476"/>
      <c r="AB1258" s="476"/>
      <c r="AC1258" s="476"/>
      <c r="AD1258" s="476"/>
      <c r="AE1258" s="476"/>
      <c r="AF1258" s="476"/>
      <c r="AG1258" s="476"/>
      <c r="AH1258" s="476"/>
      <c r="AI1258" s="476"/>
      <c r="AJ1258" s="476"/>
      <c r="AK1258" s="476"/>
      <c r="AL1258" s="476"/>
      <c r="AM1258" s="476"/>
      <c r="AN1258" s="476"/>
      <c r="AO1258" s="476"/>
      <c r="AP1258" s="476"/>
      <c r="AQ1258" s="476"/>
      <c r="AR1258" s="476"/>
      <c r="AS1258" s="476"/>
      <c r="AT1258" s="476"/>
      <c r="AU1258" s="476"/>
    </row>
    <row r="1259" spans="1:47" s="398" customFormat="1" ht="13.15" customHeight="1" x14ac:dyDescent="0.2">
      <c r="A1259" s="476"/>
      <c r="D1259" s="467"/>
      <c r="F1259" s="468"/>
      <c r="G1259" s="468"/>
      <c r="H1259" s="468"/>
      <c r="I1259" s="468"/>
      <c r="J1259" s="469"/>
      <c r="L1259" s="476"/>
      <c r="M1259" s="476"/>
      <c r="N1259" s="476"/>
      <c r="O1259" s="476"/>
      <c r="P1259" s="476"/>
      <c r="Q1259" s="476"/>
      <c r="R1259" s="476"/>
      <c r="S1259" s="476"/>
      <c r="T1259" s="476"/>
      <c r="U1259" s="476"/>
      <c r="V1259" s="476"/>
      <c r="W1259" s="476"/>
      <c r="X1259" s="476"/>
      <c r="Y1259" s="476"/>
      <c r="Z1259" s="476"/>
      <c r="AA1259" s="476"/>
      <c r="AB1259" s="476"/>
      <c r="AC1259" s="476"/>
      <c r="AD1259" s="476"/>
      <c r="AE1259" s="476"/>
      <c r="AF1259" s="476"/>
      <c r="AG1259" s="476"/>
      <c r="AH1259" s="476"/>
      <c r="AI1259" s="476"/>
      <c r="AJ1259" s="476"/>
      <c r="AK1259" s="476"/>
      <c r="AL1259" s="476"/>
      <c r="AM1259" s="476"/>
      <c r="AN1259" s="476"/>
      <c r="AO1259" s="476"/>
      <c r="AP1259" s="476"/>
      <c r="AQ1259" s="476"/>
      <c r="AR1259" s="476"/>
      <c r="AS1259" s="476"/>
      <c r="AT1259" s="476"/>
      <c r="AU1259" s="476"/>
    </row>
    <row r="1260" spans="1:47" s="398" customFormat="1" ht="13.15" customHeight="1" x14ac:dyDescent="0.2">
      <c r="A1260" s="476"/>
      <c r="D1260" s="467"/>
      <c r="F1260" s="468"/>
      <c r="G1260" s="468"/>
      <c r="H1260" s="468"/>
      <c r="I1260" s="468"/>
      <c r="J1260" s="469"/>
      <c r="L1260" s="476"/>
      <c r="M1260" s="476"/>
      <c r="N1260" s="476"/>
      <c r="O1260" s="476"/>
      <c r="P1260" s="476"/>
      <c r="Q1260" s="476"/>
      <c r="R1260" s="476"/>
      <c r="S1260" s="476"/>
      <c r="T1260" s="476"/>
      <c r="U1260" s="476"/>
      <c r="V1260" s="476"/>
      <c r="W1260" s="476"/>
      <c r="X1260" s="476"/>
      <c r="Y1260" s="476"/>
      <c r="Z1260" s="476"/>
      <c r="AA1260" s="476"/>
      <c r="AB1260" s="476"/>
      <c r="AC1260" s="476"/>
      <c r="AD1260" s="476"/>
      <c r="AE1260" s="476"/>
      <c r="AF1260" s="476"/>
      <c r="AG1260" s="476"/>
      <c r="AH1260" s="476"/>
      <c r="AI1260" s="476"/>
      <c r="AJ1260" s="476"/>
      <c r="AK1260" s="476"/>
      <c r="AL1260" s="476"/>
      <c r="AM1260" s="476"/>
      <c r="AN1260" s="476"/>
      <c r="AO1260" s="476"/>
      <c r="AP1260" s="476"/>
      <c r="AQ1260" s="476"/>
      <c r="AR1260" s="476"/>
      <c r="AS1260" s="476"/>
      <c r="AT1260" s="476"/>
      <c r="AU1260" s="476"/>
    </row>
    <row r="1261" spans="1:47" s="398" customFormat="1" ht="13.15" customHeight="1" x14ac:dyDescent="0.2">
      <c r="A1261" s="476"/>
      <c r="D1261" s="467"/>
      <c r="F1261" s="468"/>
      <c r="G1261" s="468"/>
      <c r="H1261" s="468"/>
      <c r="I1261" s="468"/>
      <c r="J1261" s="469"/>
      <c r="L1261" s="476"/>
      <c r="M1261" s="476"/>
      <c r="N1261" s="476"/>
      <c r="O1261" s="476"/>
      <c r="P1261" s="476"/>
      <c r="Q1261" s="476"/>
      <c r="R1261" s="476"/>
      <c r="S1261" s="476"/>
      <c r="T1261" s="476"/>
      <c r="U1261" s="476"/>
      <c r="V1261" s="476"/>
      <c r="W1261" s="476"/>
      <c r="X1261" s="476"/>
      <c r="Y1261" s="476"/>
      <c r="Z1261" s="476"/>
      <c r="AA1261" s="476"/>
      <c r="AB1261" s="476"/>
      <c r="AC1261" s="476"/>
      <c r="AD1261" s="476"/>
      <c r="AE1261" s="476"/>
      <c r="AF1261" s="476"/>
      <c r="AG1261" s="476"/>
      <c r="AH1261" s="476"/>
      <c r="AI1261" s="476"/>
      <c r="AJ1261" s="476"/>
      <c r="AK1261" s="476"/>
      <c r="AL1261" s="476"/>
      <c r="AM1261" s="476"/>
      <c r="AN1261" s="476"/>
      <c r="AO1261" s="476"/>
      <c r="AP1261" s="476"/>
      <c r="AQ1261" s="476"/>
      <c r="AR1261" s="476"/>
      <c r="AS1261" s="476"/>
      <c r="AT1261" s="476"/>
      <c r="AU1261" s="476"/>
    </row>
    <row r="1262" spans="1:47" s="398" customFormat="1" ht="13.15" customHeight="1" x14ac:dyDescent="0.2">
      <c r="A1262" s="476"/>
      <c r="D1262" s="467"/>
      <c r="F1262" s="468"/>
      <c r="G1262" s="468"/>
      <c r="H1262" s="468"/>
      <c r="I1262" s="468"/>
      <c r="J1262" s="469"/>
      <c r="L1262" s="476"/>
      <c r="M1262" s="476"/>
      <c r="N1262" s="476"/>
      <c r="O1262" s="476"/>
      <c r="P1262" s="476"/>
      <c r="Q1262" s="476"/>
      <c r="R1262" s="476"/>
      <c r="S1262" s="476"/>
      <c r="T1262" s="476"/>
      <c r="U1262" s="476"/>
      <c r="V1262" s="476"/>
      <c r="W1262" s="476"/>
      <c r="X1262" s="476"/>
      <c r="Y1262" s="476"/>
      <c r="Z1262" s="476"/>
      <c r="AA1262" s="476"/>
      <c r="AB1262" s="476"/>
      <c r="AC1262" s="476"/>
      <c r="AD1262" s="476"/>
      <c r="AE1262" s="476"/>
      <c r="AF1262" s="476"/>
      <c r="AG1262" s="476"/>
      <c r="AH1262" s="476"/>
      <c r="AI1262" s="476"/>
      <c r="AJ1262" s="476"/>
      <c r="AK1262" s="476"/>
      <c r="AL1262" s="476"/>
      <c r="AM1262" s="476"/>
      <c r="AN1262" s="476"/>
      <c r="AO1262" s="476"/>
      <c r="AP1262" s="476"/>
      <c r="AQ1262" s="476"/>
      <c r="AR1262" s="476"/>
      <c r="AS1262" s="476"/>
      <c r="AT1262" s="476"/>
      <c r="AU1262" s="476"/>
    </row>
    <row r="1263" spans="1:47" s="398" customFormat="1" ht="13.15" customHeight="1" x14ac:dyDescent="0.2">
      <c r="A1263" s="476"/>
      <c r="D1263" s="467"/>
      <c r="F1263" s="468"/>
      <c r="G1263" s="468"/>
      <c r="H1263" s="468"/>
      <c r="I1263" s="468"/>
      <c r="J1263" s="469"/>
      <c r="L1263" s="476"/>
      <c r="M1263" s="476"/>
      <c r="N1263" s="476"/>
      <c r="O1263" s="476"/>
      <c r="P1263" s="476"/>
      <c r="Q1263" s="476"/>
      <c r="R1263" s="476"/>
      <c r="S1263" s="476"/>
      <c r="T1263" s="476"/>
      <c r="U1263" s="476"/>
      <c r="V1263" s="476"/>
      <c r="W1263" s="476"/>
      <c r="X1263" s="476"/>
      <c r="Y1263" s="476"/>
      <c r="Z1263" s="476"/>
      <c r="AA1263" s="476"/>
      <c r="AB1263" s="476"/>
      <c r="AC1263" s="476"/>
      <c r="AD1263" s="476"/>
      <c r="AE1263" s="476"/>
      <c r="AF1263" s="476"/>
      <c r="AG1263" s="476"/>
      <c r="AH1263" s="476"/>
      <c r="AI1263" s="476"/>
      <c r="AJ1263" s="476"/>
      <c r="AK1263" s="476"/>
      <c r="AL1263" s="476"/>
      <c r="AM1263" s="476"/>
      <c r="AN1263" s="476"/>
      <c r="AO1263" s="476"/>
      <c r="AP1263" s="476"/>
      <c r="AQ1263" s="476"/>
      <c r="AR1263" s="476"/>
      <c r="AS1263" s="476"/>
      <c r="AT1263" s="476"/>
      <c r="AU1263" s="476"/>
    </row>
    <row r="1264" spans="1:47" s="398" customFormat="1" ht="13.15" customHeight="1" x14ac:dyDescent="0.2">
      <c r="A1264" s="476"/>
      <c r="D1264" s="467"/>
      <c r="F1264" s="468"/>
      <c r="G1264" s="468"/>
      <c r="H1264" s="468"/>
      <c r="I1264" s="468"/>
      <c r="J1264" s="469"/>
      <c r="L1264" s="476"/>
      <c r="M1264" s="476"/>
      <c r="N1264" s="476"/>
      <c r="O1264" s="476"/>
      <c r="P1264" s="476"/>
      <c r="Q1264" s="476"/>
      <c r="R1264" s="476"/>
      <c r="S1264" s="476"/>
      <c r="T1264" s="476"/>
      <c r="U1264" s="476"/>
      <c r="V1264" s="476"/>
      <c r="W1264" s="476"/>
      <c r="X1264" s="476"/>
      <c r="Y1264" s="476"/>
      <c r="Z1264" s="476"/>
      <c r="AA1264" s="476"/>
      <c r="AB1264" s="476"/>
      <c r="AC1264" s="476"/>
      <c r="AD1264" s="476"/>
      <c r="AE1264" s="476"/>
      <c r="AF1264" s="476"/>
      <c r="AG1264" s="476"/>
      <c r="AH1264" s="476"/>
      <c r="AI1264" s="476"/>
      <c r="AJ1264" s="476"/>
      <c r="AK1264" s="476"/>
      <c r="AL1264" s="476"/>
      <c r="AM1264" s="476"/>
      <c r="AN1264" s="476"/>
      <c r="AO1264" s="476"/>
      <c r="AP1264" s="476"/>
      <c r="AQ1264" s="476"/>
      <c r="AR1264" s="476"/>
      <c r="AS1264" s="476"/>
      <c r="AT1264" s="476"/>
      <c r="AU1264" s="476"/>
    </row>
    <row r="1265" spans="1:47" s="398" customFormat="1" ht="13.15" customHeight="1" x14ac:dyDescent="0.2">
      <c r="A1265" s="476"/>
      <c r="D1265" s="467"/>
      <c r="F1265" s="468"/>
      <c r="G1265" s="468"/>
      <c r="H1265" s="468"/>
      <c r="I1265" s="468"/>
      <c r="J1265" s="469"/>
      <c r="L1265" s="476"/>
      <c r="M1265" s="476"/>
      <c r="N1265" s="476"/>
      <c r="O1265" s="476"/>
      <c r="P1265" s="476"/>
      <c r="Q1265" s="476"/>
      <c r="R1265" s="476"/>
      <c r="S1265" s="476"/>
      <c r="T1265" s="476"/>
      <c r="U1265" s="476"/>
      <c r="V1265" s="476"/>
      <c r="W1265" s="476"/>
      <c r="X1265" s="476"/>
      <c r="Y1265" s="476"/>
      <c r="Z1265" s="476"/>
      <c r="AA1265" s="476"/>
      <c r="AB1265" s="476"/>
      <c r="AC1265" s="476"/>
      <c r="AD1265" s="476"/>
      <c r="AE1265" s="476"/>
      <c r="AF1265" s="476"/>
      <c r="AG1265" s="476"/>
      <c r="AH1265" s="476"/>
      <c r="AI1265" s="476"/>
      <c r="AJ1265" s="476"/>
      <c r="AK1265" s="476"/>
      <c r="AL1265" s="476"/>
      <c r="AM1265" s="476"/>
      <c r="AN1265" s="476"/>
      <c r="AO1265" s="476"/>
      <c r="AP1265" s="476"/>
      <c r="AQ1265" s="476"/>
      <c r="AR1265" s="476"/>
      <c r="AS1265" s="476"/>
      <c r="AT1265" s="476"/>
      <c r="AU1265" s="476"/>
    </row>
    <row r="1266" spans="1:47" s="398" customFormat="1" ht="13.15" customHeight="1" x14ac:dyDescent="0.2">
      <c r="A1266" s="476"/>
      <c r="D1266" s="467"/>
      <c r="F1266" s="468"/>
      <c r="G1266" s="468"/>
      <c r="H1266" s="468"/>
      <c r="I1266" s="468"/>
      <c r="J1266" s="469"/>
      <c r="L1266" s="476"/>
      <c r="M1266" s="476"/>
      <c r="N1266" s="476"/>
      <c r="O1266" s="476"/>
      <c r="P1266" s="476"/>
      <c r="Q1266" s="476"/>
      <c r="R1266" s="476"/>
      <c r="S1266" s="476"/>
      <c r="T1266" s="476"/>
      <c r="U1266" s="476"/>
      <c r="V1266" s="476"/>
      <c r="W1266" s="476"/>
      <c r="X1266" s="476"/>
      <c r="Y1266" s="476"/>
      <c r="Z1266" s="476"/>
      <c r="AA1266" s="476"/>
      <c r="AB1266" s="476"/>
      <c r="AC1266" s="476"/>
      <c r="AD1266" s="476"/>
      <c r="AE1266" s="476"/>
      <c r="AF1266" s="476"/>
      <c r="AG1266" s="476"/>
      <c r="AH1266" s="476"/>
      <c r="AI1266" s="476"/>
      <c r="AJ1266" s="476"/>
      <c r="AK1266" s="476"/>
      <c r="AL1266" s="476"/>
      <c r="AM1266" s="476"/>
      <c r="AN1266" s="476"/>
      <c r="AO1266" s="476"/>
      <c r="AP1266" s="476"/>
      <c r="AQ1266" s="476"/>
      <c r="AR1266" s="476"/>
      <c r="AS1266" s="476"/>
      <c r="AT1266" s="476"/>
      <c r="AU1266" s="476"/>
    </row>
    <row r="1267" spans="1:47" s="398" customFormat="1" ht="13.15" customHeight="1" x14ac:dyDescent="0.2">
      <c r="A1267" s="476"/>
      <c r="D1267" s="467"/>
      <c r="F1267" s="468"/>
      <c r="G1267" s="468"/>
      <c r="H1267" s="468"/>
      <c r="I1267" s="468"/>
      <c r="J1267" s="469"/>
      <c r="L1267" s="476"/>
      <c r="M1267" s="476"/>
      <c r="N1267" s="476"/>
      <c r="O1267" s="476"/>
      <c r="P1267" s="476"/>
      <c r="Q1267" s="476"/>
      <c r="R1267" s="476"/>
      <c r="S1267" s="476"/>
      <c r="T1267" s="476"/>
      <c r="U1267" s="476"/>
      <c r="V1267" s="476"/>
      <c r="W1267" s="476"/>
      <c r="X1267" s="476"/>
      <c r="Y1267" s="476"/>
      <c r="Z1267" s="476"/>
      <c r="AA1267" s="476"/>
      <c r="AB1267" s="476"/>
      <c r="AC1267" s="476"/>
      <c r="AD1267" s="476"/>
      <c r="AE1267" s="476"/>
      <c r="AF1267" s="476"/>
      <c r="AG1267" s="476"/>
      <c r="AH1267" s="476"/>
      <c r="AI1267" s="476"/>
      <c r="AJ1267" s="476"/>
      <c r="AK1267" s="476"/>
      <c r="AL1267" s="476"/>
      <c r="AM1267" s="476"/>
      <c r="AN1267" s="476"/>
      <c r="AO1267" s="476"/>
      <c r="AP1267" s="476"/>
      <c r="AQ1267" s="476"/>
      <c r="AR1267" s="476"/>
      <c r="AS1267" s="476"/>
      <c r="AT1267" s="476"/>
      <c r="AU1267" s="476"/>
    </row>
    <row r="1268" spans="1:47" s="398" customFormat="1" ht="13.15" customHeight="1" x14ac:dyDescent="0.2">
      <c r="A1268" s="476"/>
      <c r="D1268" s="467"/>
      <c r="F1268" s="468"/>
      <c r="G1268" s="468"/>
      <c r="H1268" s="468"/>
      <c r="I1268" s="468"/>
      <c r="J1268" s="469"/>
      <c r="L1268" s="476"/>
      <c r="M1268" s="476"/>
      <c r="N1268" s="476"/>
      <c r="O1268" s="476"/>
      <c r="P1268" s="476"/>
      <c r="Q1268" s="476"/>
      <c r="R1268" s="476"/>
      <c r="S1268" s="476"/>
      <c r="T1268" s="476"/>
      <c r="U1268" s="476"/>
      <c r="V1268" s="476"/>
      <c r="W1268" s="476"/>
      <c r="X1268" s="476"/>
      <c r="Y1268" s="476"/>
      <c r="Z1268" s="476"/>
      <c r="AA1268" s="476"/>
      <c r="AB1268" s="476"/>
      <c r="AC1268" s="476"/>
      <c r="AD1268" s="476"/>
      <c r="AE1268" s="476"/>
      <c r="AF1268" s="476"/>
      <c r="AG1268" s="476"/>
      <c r="AH1268" s="476"/>
      <c r="AI1268" s="476"/>
      <c r="AJ1268" s="476"/>
      <c r="AK1268" s="476"/>
      <c r="AL1268" s="476"/>
      <c r="AM1268" s="476"/>
      <c r="AN1268" s="476"/>
      <c r="AO1268" s="476"/>
      <c r="AP1268" s="476"/>
      <c r="AQ1268" s="476"/>
      <c r="AR1268" s="476"/>
      <c r="AS1268" s="476"/>
      <c r="AT1268" s="476"/>
      <c r="AU1268" s="476"/>
    </row>
    <row r="1269" spans="1:47" s="398" customFormat="1" ht="13.15" customHeight="1" x14ac:dyDescent="0.2">
      <c r="A1269" s="476"/>
      <c r="D1269" s="467"/>
      <c r="F1269" s="468"/>
      <c r="G1269" s="468"/>
      <c r="H1269" s="468"/>
      <c r="I1269" s="468"/>
      <c r="J1269" s="469"/>
      <c r="L1269" s="476"/>
      <c r="M1269" s="476"/>
      <c r="N1269" s="476"/>
      <c r="O1269" s="476"/>
      <c r="P1269" s="476"/>
      <c r="Q1269" s="476"/>
      <c r="R1269" s="476"/>
      <c r="S1269" s="476"/>
      <c r="T1269" s="476"/>
      <c r="U1269" s="476"/>
      <c r="V1269" s="476"/>
      <c r="W1269" s="476"/>
      <c r="X1269" s="476"/>
      <c r="Y1269" s="476"/>
      <c r="Z1269" s="476"/>
      <c r="AA1269" s="476"/>
      <c r="AB1269" s="476"/>
      <c r="AC1269" s="476"/>
      <c r="AD1269" s="476"/>
      <c r="AE1269" s="476"/>
      <c r="AF1269" s="476"/>
      <c r="AG1269" s="476"/>
      <c r="AH1269" s="476"/>
      <c r="AI1269" s="476"/>
      <c r="AJ1269" s="476"/>
      <c r="AK1269" s="476"/>
      <c r="AL1269" s="476"/>
      <c r="AM1269" s="476"/>
      <c r="AN1269" s="476"/>
      <c r="AO1269" s="476"/>
      <c r="AP1269" s="476"/>
      <c r="AQ1269" s="476"/>
      <c r="AR1269" s="476"/>
      <c r="AS1269" s="476"/>
      <c r="AT1269" s="476"/>
      <c r="AU1269" s="476"/>
    </row>
    <row r="1270" spans="1:47" s="398" customFormat="1" ht="13.15" customHeight="1" x14ac:dyDescent="0.2">
      <c r="A1270" s="476"/>
      <c r="D1270" s="467"/>
      <c r="F1270" s="468"/>
      <c r="G1270" s="468"/>
      <c r="H1270" s="468"/>
      <c r="I1270" s="468"/>
      <c r="J1270" s="469"/>
      <c r="L1270" s="476"/>
      <c r="M1270" s="476"/>
      <c r="N1270" s="476"/>
      <c r="O1270" s="476"/>
      <c r="P1270" s="476"/>
      <c r="Q1270" s="476"/>
      <c r="R1270" s="476"/>
      <c r="S1270" s="476"/>
      <c r="T1270" s="476"/>
      <c r="U1270" s="476"/>
      <c r="V1270" s="476"/>
      <c r="W1270" s="476"/>
      <c r="X1270" s="476"/>
      <c r="Y1270" s="476"/>
      <c r="Z1270" s="476"/>
      <c r="AA1270" s="476"/>
      <c r="AB1270" s="476"/>
      <c r="AC1270" s="476"/>
      <c r="AD1270" s="476"/>
      <c r="AE1270" s="476"/>
      <c r="AF1270" s="476"/>
      <c r="AG1270" s="476"/>
      <c r="AH1270" s="476"/>
      <c r="AI1270" s="476"/>
      <c r="AJ1270" s="476"/>
      <c r="AK1270" s="476"/>
      <c r="AL1270" s="476"/>
      <c r="AM1270" s="476"/>
      <c r="AN1270" s="476"/>
      <c r="AO1270" s="476"/>
      <c r="AP1270" s="476"/>
      <c r="AQ1270" s="476"/>
      <c r="AR1270" s="476"/>
      <c r="AS1270" s="476"/>
      <c r="AT1270" s="476"/>
      <c r="AU1270" s="476"/>
    </row>
    <row r="1271" spans="1:47" s="398" customFormat="1" ht="13.15" customHeight="1" x14ac:dyDescent="0.2">
      <c r="A1271" s="476"/>
      <c r="D1271" s="467"/>
      <c r="F1271" s="468"/>
      <c r="G1271" s="468"/>
      <c r="H1271" s="468"/>
      <c r="I1271" s="468"/>
      <c r="J1271" s="469"/>
      <c r="L1271" s="476"/>
      <c r="M1271" s="476"/>
      <c r="N1271" s="476"/>
      <c r="O1271" s="476"/>
      <c r="P1271" s="476"/>
      <c r="Q1271" s="476"/>
      <c r="R1271" s="476"/>
      <c r="S1271" s="476"/>
      <c r="T1271" s="476"/>
      <c r="U1271" s="476"/>
      <c r="V1271" s="476"/>
      <c r="W1271" s="476"/>
      <c r="X1271" s="476"/>
      <c r="Y1271" s="476"/>
      <c r="Z1271" s="476"/>
      <c r="AA1271" s="476"/>
      <c r="AB1271" s="476"/>
      <c r="AC1271" s="476"/>
      <c r="AD1271" s="476"/>
      <c r="AE1271" s="476"/>
      <c r="AF1271" s="476"/>
      <c r="AG1271" s="476"/>
      <c r="AH1271" s="476"/>
      <c r="AI1271" s="476"/>
      <c r="AJ1271" s="476"/>
      <c r="AK1271" s="476"/>
      <c r="AL1271" s="476"/>
      <c r="AM1271" s="476"/>
      <c r="AN1271" s="476"/>
      <c r="AO1271" s="476"/>
      <c r="AP1271" s="476"/>
      <c r="AQ1271" s="476"/>
      <c r="AR1271" s="476"/>
      <c r="AS1271" s="476"/>
      <c r="AT1271" s="476"/>
      <c r="AU1271" s="476"/>
    </row>
    <row r="1272" spans="1:47" s="398" customFormat="1" ht="13.15" customHeight="1" x14ac:dyDescent="0.2">
      <c r="A1272" s="476"/>
      <c r="D1272" s="467"/>
      <c r="F1272" s="468"/>
      <c r="G1272" s="468"/>
      <c r="H1272" s="468"/>
      <c r="I1272" s="468"/>
      <c r="J1272" s="469"/>
      <c r="L1272" s="476"/>
      <c r="M1272" s="476"/>
      <c r="N1272" s="476"/>
      <c r="O1272" s="476"/>
      <c r="P1272" s="476"/>
      <c r="Q1272" s="476"/>
      <c r="R1272" s="476"/>
      <c r="S1272" s="476"/>
      <c r="T1272" s="476"/>
      <c r="U1272" s="476"/>
      <c r="V1272" s="476"/>
      <c r="W1272" s="476"/>
      <c r="X1272" s="476"/>
      <c r="Y1272" s="476"/>
      <c r="Z1272" s="476"/>
      <c r="AA1272" s="476"/>
      <c r="AB1272" s="476"/>
      <c r="AC1272" s="476"/>
      <c r="AD1272" s="476"/>
      <c r="AE1272" s="476"/>
      <c r="AF1272" s="476"/>
      <c r="AG1272" s="476"/>
      <c r="AH1272" s="476"/>
      <c r="AI1272" s="476"/>
      <c r="AJ1272" s="476"/>
      <c r="AK1272" s="476"/>
      <c r="AL1272" s="476"/>
      <c r="AM1272" s="476"/>
      <c r="AN1272" s="476"/>
      <c r="AO1272" s="476"/>
      <c r="AP1272" s="476"/>
      <c r="AQ1272" s="476"/>
      <c r="AR1272" s="476"/>
      <c r="AS1272" s="476"/>
      <c r="AT1272" s="476"/>
      <c r="AU1272" s="476"/>
    </row>
    <row r="1273" spans="1:47" s="398" customFormat="1" ht="13.15" customHeight="1" x14ac:dyDescent="0.2">
      <c r="A1273" s="476"/>
      <c r="D1273" s="467"/>
      <c r="F1273" s="468"/>
      <c r="G1273" s="468"/>
      <c r="H1273" s="468"/>
      <c r="I1273" s="468"/>
      <c r="J1273" s="469"/>
      <c r="L1273" s="476"/>
      <c r="M1273" s="476"/>
      <c r="N1273" s="476"/>
      <c r="O1273" s="476"/>
      <c r="P1273" s="476"/>
      <c r="Q1273" s="476"/>
      <c r="R1273" s="476"/>
      <c r="S1273" s="476"/>
      <c r="T1273" s="476"/>
      <c r="U1273" s="476"/>
      <c r="V1273" s="476"/>
      <c r="W1273" s="476"/>
      <c r="X1273" s="476"/>
      <c r="Y1273" s="476"/>
      <c r="Z1273" s="476"/>
      <c r="AA1273" s="476"/>
      <c r="AB1273" s="476"/>
      <c r="AC1273" s="476"/>
      <c r="AD1273" s="476"/>
      <c r="AE1273" s="476"/>
      <c r="AF1273" s="476"/>
      <c r="AG1273" s="476"/>
      <c r="AH1273" s="476"/>
      <c r="AI1273" s="476"/>
      <c r="AJ1273" s="476"/>
      <c r="AK1273" s="476"/>
      <c r="AL1273" s="476"/>
      <c r="AM1273" s="476"/>
      <c r="AN1273" s="476"/>
      <c r="AO1273" s="476"/>
      <c r="AP1273" s="476"/>
      <c r="AQ1273" s="476"/>
      <c r="AR1273" s="476"/>
      <c r="AS1273" s="476"/>
      <c r="AT1273" s="476"/>
      <c r="AU1273" s="476"/>
    </row>
    <row r="1274" spans="1:47" s="398" customFormat="1" ht="13.15" customHeight="1" x14ac:dyDescent="0.2">
      <c r="A1274" s="476"/>
      <c r="D1274" s="467"/>
      <c r="F1274" s="468"/>
      <c r="G1274" s="468"/>
      <c r="H1274" s="468"/>
      <c r="I1274" s="468"/>
      <c r="J1274" s="469"/>
      <c r="L1274" s="476"/>
      <c r="M1274" s="476"/>
      <c r="N1274" s="476"/>
      <c r="O1274" s="476"/>
      <c r="P1274" s="476"/>
      <c r="Q1274" s="476"/>
      <c r="R1274" s="476"/>
      <c r="S1274" s="476"/>
      <c r="T1274" s="476"/>
      <c r="U1274" s="476"/>
      <c r="V1274" s="476"/>
      <c r="W1274" s="476"/>
      <c r="X1274" s="476"/>
      <c r="Y1274" s="476"/>
      <c r="Z1274" s="476"/>
      <c r="AA1274" s="476"/>
      <c r="AB1274" s="476"/>
      <c r="AC1274" s="476"/>
      <c r="AD1274" s="476"/>
      <c r="AE1274" s="476"/>
      <c r="AF1274" s="476"/>
      <c r="AG1274" s="476"/>
      <c r="AH1274" s="476"/>
      <c r="AI1274" s="476"/>
      <c r="AJ1274" s="476"/>
      <c r="AK1274" s="476"/>
      <c r="AL1274" s="476"/>
      <c r="AM1274" s="476"/>
      <c r="AN1274" s="476"/>
      <c r="AO1274" s="476"/>
      <c r="AP1274" s="476"/>
      <c r="AQ1274" s="476"/>
      <c r="AR1274" s="476"/>
      <c r="AS1274" s="476"/>
      <c r="AT1274" s="476"/>
      <c r="AU1274" s="476"/>
    </row>
    <row r="1275" spans="1:47" s="398" customFormat="1" ht="13.15" customHeight="1" x14ac:dyDescent="0.2">
      <c r="A1275" s="476"/>
      <c r="D1275" s="467"/>
      <c r="F1275" s="468"/>
      <c r="G1275" s="468"/>
      <c r="H1275" s="468"/>
      <c r="I1275" s="468"/>
      <c r="J1275" s="469"/>
      <c r="L1275" s="476"/>
      <c r="M1275" s="476"/>
      <c r="N1275" s="476"/>
      <c r="O1275" s="476"/>
      <c r="P1275" s="476"/>
      <c r="Q1275" s="476"/>
      <c r="R1275" s="476"/>
      <c r="S1275" s="476"/>
      <c r="T1275" s="476"/>
      <c r="U1275" s="476"/>
      <c r="V1275" s="476"/>
      <c r="W1275" s="476"/>
      <c r="X1275" s="476"/>
      <c r="Y1275" s="476"/>
      <c r="Z1275" s="476"/>
      <c r="AA1275" s="476"/>
      <c r="AB1275" s="476"/>
      <c r="AC1275" s="476"/>
      <c r="AD1275" s="476"/>
      <c r="AE1275" s="476"/>
      <c r="AF1275" s="476"/>
      <c r="AG1275" s="476"/>
      <c r="AH1275" s="476"/>
      <c r="AI1275" s="476"/>
      <c r="AJ1275" s="476"/>
      <c r="AK1275" s="476"/>
      <c r="AL1275" s="476"/>
      <c r="AM1275" s="476"/>
      <c r="AN1275" s="476"/>
      <c r="AO1275" s="476"/>
      <c r="AP1275" s="476"/>
      <c r="AQ1275" s="476"/>
      <c r="AR1275" s="476"/>
      <c r="AS1275" s="476"/>
      <c r="AT1275" s="476"/>
      <c r="AU1275" s="476"/>
    </row>
    <row r="1276" spans="1:47" s="398" customFormat="1" ht="13.15" customHeight="1" x14ac:dyDescent="0.2">
      <c r="A1276" s="476"/>
      <c r="D1276" s="467"/>
      <c r="F1276" s="468"/>
      <c r="G1276" s="468"/>
      <c r="H1276" s="468"/>
      <c r="I1276" s="468"/>
      <c r="J1276" s="469"/>
      <c r="L1276" s="476"/>
      <c r="M1276" s="476"/>
      <c r="N1276" s="476"/>
      <c r="O1276" s="476"/>
      <c r="P1276" s="476"/>
      <c r="Q1276" s="476"/>
      <c r="R1276" s="476"/>
      <c r="S1276" s="476"/>
      <c r="T1276" s="476"/>
      <c r="U1276" s="476"/>
      <c r="V1276" s="476"/>
      <c r="W1276" s="476"/>
      <c r="X1276" s="476"/>
      <c r="Y1276" s="476"/>
      <c r="Z1276" s="476"/>
      <c r="AA1276" s="476"/>
      <c r="AB1276" s="476"/>
      <c r="AC1276" s="476"/>
      <c r="AD1276" s="476"/>
      <c r="AE1276" s="476"/>
      <c r="AF1276" s="476"/>
      <c r="AG1276" s="476"/>
      <c r="AH1276" s="476"/>
      <c r="AI1276" s="476"/>
      <c r="AJ1276" s="476"/>
      <c r="AK1276" s="476"/>
      <c r="AL1276" s="476"/>
      <c r="AM1276" s="476"/>
      <c r="AN1276" s="476"/>
      <c r="AO1276" s="476"/>
      <c r="AP1276" s="476"/>
      <c r="AQ1276" s="476"/>
      <c r="AR1276" s="476"/>
      <c r="AS1276" s="476"/>
      <c r="AT1276" s="476"/>
      <c r="AU1276" s="476"/>
    </row>
    <row r="1277" spans="1:47" s="398" customFormat="1" ht="13.15" customHeight="1" x14ac:dyDescent="0.2">
      <c r="A1277" s="476"/>
      <c r="D1277" s="467"/>
      <c r="F1277" s="468"/>
      <c r="G1277" s="468"/>
      <c r="H1277" s="468"/>
      <c r="I1277" s="468"/>
      <c r="J1277" s="469"/>
      <c r="L1277" s="476"/>
      <c r="M1277" s="476"/>
      <c r="N1277" s="476"/>
      <c r="O1277" s="476"/>
      <c r="P1277" s="476"/>
      <c r="Q1277" s="476"/>
      <c r="R1277" s="476"/>
      <c r="S1277" s="476"/>
      <c r="T1277" s="476"/>
      <c r="U1277" s="476"/>
      <c r="V1277" s="476"/>
      <c r="W1277" s="476"/>
      <c r="X1277" s="476"/>
      <c r="Y1277" s="476"/>
      <c r="Z1277" s="476"/>
      <c r="AA1277" s="476"/>
      <c r="AB1277" s="476"/>
      <c r="AC1277" s="476"/>
      <c r="AD1277" s="476"/>
      <c r="AE1277" s="476"/>
      <c r="AF1277" s="476"/>
      <c r="AG1277" s="476"/>
      <c r="AH1277" s="476"/>
      <c r="AI1277" s="476"/>
      <c r="AJ1277" s="476"/>
      <c r="AK1277" s="476"/>
      <c r="AL1277" s="476"/>
      <c r="AM1277" s="476"/>
      <c r="AN1277" s="476"/>
      <c r="AO1277" s="476"/>
      <c r="AP1277" s="476"/>
      <c r="AQ1277" s="476"/>
      <c r="AR1277" s="476"/>
      <c r="AS1277" s="476"/>
      <c r="AT1277" s="476"/>
      <c r="AU1277" s="476"/>
    </row>
    <row r="1278" spans="1:47" s="398" customFormat="1" ht="13.15" customHeight="1" x14ac:dyDescent="0.2">
      <c r="A1278" s="476"/>
      <c r="D1278" s="467"/>
      <c r="F1278" s="468"/>
      <c r="G1278" s="468"/>
      <c r="H1278" s="468"/>
      <c r="I1278" s="468"/>
      <c r="J1278" s="469"/>
      <c r="L1278" s="476"/>
      <c r="M1278" s="476"/>
      <c r="N1278" s="476"/>
      <c r="O1278" s="476"/>
      <c r="P1278" s="476"/>
      <c r="Q1278" s="476"/>
      <c r="R1278" s="476"/>
      <c r="S1278" s="476"/>
      <c r="T1278" s="476"/>
      <c r="U1278" s="476"/>
      <c r="V1278" s="476"/>
      <c r="W1278" s="476"/>
      <c r="X1278" s="476"/>
      <c r="Y1278" s="476"/>
      <c r="Z1278" s="476"/>
      <c r="AA1278" s="476"/>
      <c r="AB1278" s="476"/>
      <c r="AC1278" s="476"/>
      <c r="AD1278" s="476"/>
      <c r="AE1278" s="476"/>
      <c r="AF1278" s="476"/>
      <c r="AG1278" s="476"/>
      <c r="AH1278" s="476"/>
      <c r="AI1278" s="476"/>
      <c r="AJ1278" s="476"/>
      <c r="AK1278" s="476"/>
      <c r="AL1278" s="476"/>
      <c r="AM1278" s="476"/>
      <c r="AN1278" s="476"/>
      <c r="AO1278" s="476"/>
      <c r="AP1278" s="476"/>
      <c r="AQ1278" s="476"/>
      <c r="AR1278" s="476"/>
      <c r="AS1278" s="476"/>
      <c r="AT1278" s="476"/>
      <c r="AU1278" s="476"/>
    </row>
    <row r="1279" spans="1:47" s="398" customFormat="1" ht="13.15" customHeight="1" x14ac:dyDescent="0.2">
      <c r="A1279" s="476"/>
      <c r="D1279" s="467"/>
      <c r="F1279" s="468"/>
      <c r="G1279" s="468"/>
      <c r="H1279" s="468"/>
      <c r="I1279" s="468"/>
      <c r="J1279" s="469"/>
      <c r="L1279" s="476"/>
      <c r="M1279" s="476"/>
      <c r="N1279" s="476"/>
      <c r="O1279" s="476"/>
      <c r="P1279" s="476"/>
      <c r="Q1279" s="476"/>
      <c r="R1279" s="476"/>
      <c r="S1279" s="476"/>
      <c r="T1279" s="476"/>
      <c r="U1279" s="476"/>
      <c r="V1279" s="476"/>
      <c r="W1279" s="476"/>
      <c r="X1279" s="476"/>
      <c r="Y1279" s="476"/>
      <c r="Z1279" s="476"/>
      <c r="AA1279" s="476"/>
      <c r="AB1279" s="476"/>
      <c r="AC1279" s="476"/>
      <c r="AD1279" s="476"/>
      <c r="AE1279" s="476"/>
      <c r="AF1279" s="476"/>
      <c r="AG1279" s="476"/>
      <c r="AH1279" s="476"/>
      <c r="AI1279" s="476"/>
      <c r="AJ1279" s="476"/>
      <c r="AK1279" s="476"/>
      <c r="AL1279" s="476"/>
      <c r="AM1279" s="476"/>
      <c r="AN1279" s="476"/>
      <c r="AO1279" s="476"/>
      <c r="AP1279" s="476"/>
      <c r="AQ1279" s="476"/>
      <c r="AR1279" s="476"/>
      <c r="AS1279" s="476"/>
      <c r="AT1279" s="476"/>
      <c r="AU1279" s="476"/>
    </row>
    <row r="1280" spans="1:47" s="398" customFormat="1" ht="13.15" customHeight="1" x14ac:dyDescent="0.2">
      <c r="A1280" s="476"/>
      <c r="D1280" s="467"/>
      <c r="F1280" s="468"/>
      <c r="G1280" s="468"/>
      <c r="H1280" s="468"/>
      <c r="I1280" s="468"/>
      <c r="J1280" s="469"/>
      <c r="L1280" s="476"/>
      <c r="M1280" s="476"/>
      <c r="N1280" s="476"/>
      <c r="O1280" s="476"/>
      <c r="P1280" s="476"/>
      <c r="Q1280" s="476"/>
      <c r="R1280" s="476"/>
      <c r="S1280" s="476"/>
      <c r="T1280" s="476"/>
      <c r="U1280" s="476"/>
      <c r="V1280" s="476"/>
      <c r="W1280" s="476"/>
      <c r="X1280" s="476"/>
      <c r="Y1280" s="476"/>
      <c r="Z1280" s="476"/>
      <c r="AA1280" s="476"/>
      <c r="AB1280" s="476"/>
      <c r="AC1280" s="476"/>
      <c r="AD1280" s="476"/>
      <c r="AE1280" s="476"/>
      <c r="AF1280" s="476"/>
      <c r="AG1280" s="476"/>
      <c r="AH1280" s="476"/>
      <c r="AI1280" s="476"/>
      <c r="AJ1280" s="476"/>
      <c r="AK1280" s="476"/>
      <c r="AL1280" s="476"/>
      <c r="AM1280" s="476"/>
      <c r="AN1280" s="476"/>
      <c r="AO1280" s="476"/>
      <c r="AP1280" s="476"/>
      <c r="AQ1280" s="476"/>
      <c r="AR1280" s="476"/>
      <c r="AS1280" s="476"/>
      <c r="AT1280" s="476"/>
      <c r="AU1280" s="476"/>
    </row>
    <row r="1281" spans="1:47" s="398" customFormat="1" ht="13.15" customHeight="1" x14ac:dyDescent="0.2">
      <c r="A1281" s="476"/>
      <c r="D1281" s="467"/>
      <c r="F1281" s="468"/>
      <c r="G1281" s="468"/>
      <c r="H1281" s="468"/>
      <c r="I1281" s="468"/>
      <c r="J1281" s="469"/>
      <c r="L1281" s="476"/>
      <c r="M1281" s="476"/>
      <c r="N1281" s="476"/>
      <c r="O1281" s="476"/>
      <c r="P1281" s="476"/>
      <c r="Q1281" s="476"/>
      <c r="R1281" s="476"/>
      <c r="S1281" s="476"/>
      <c r="T1281" s="476"/>
      <c r="U1281" s="476"/>
      <c r="V1281" s="476"/>
      <c r="W1281" s="476"/>
      <c r="X1281" s="476"/>
      <c r="Y1281" s="476"/>
      <c r="Z1281" s="476"/>
      <c r="AA1281" s="476"/>
      <c r="AB1281" s="476"/>
      <c r="AC1281" s="476"/>
      <c r="AD1281" s="476"/>
      <c r="AE1281" s="476"/>
      <c r="AF1281" s="476"/>
      <c r="AG1281" s="476"/>
      <c r="AH1281" s="476"/>
      <c r="AI1281" s="476"/>
      <c r="AJ1281" s="476"/>
      <c r="AK1281" s="476"/>
      <c r="AL1281" s="476"/>
      <c r="AM1281" s="476"/>
      <c r="AN1281" s="476"/>
      <c r="AO1281" s="476"/>
      <c r="AP1281" s="476"/>
      <c r="AQ1281" s="476"/>
      <c r="AR1281" s="476"/>
      <c r="AS1281" s="476"/>
      <c r="AT1281" s="476"/>
      <c r="AU1281" s="476"/>
    </row>
    <row r="1282" spans="1:47" s="398" customFormat="1" ht="13.15" customHeight="1" x14ac:dyDescent="0.2">
      <c r="A1282" s="476"/>
      <c r="D1282" s="467"/>
      <c r="F1282" s="468"/>
      <c r="G1282" s="468"/>
      <c r="H1282" s="468"/>
      <c r="I1282" s="468"/>
      <c r="J1282" s="469"/>
      <c r="L1282" s="476"/>
      <c r="M1282" s="476"/>
      <c r="N1282" s="476"/>
      <c r="O1282" s="476"/>
      <c r="P1282" s="476"/>
      <c r="Q1282" s="476"/>
      <c r="R1282" s="476"/>
      <c r="S1282" s="476"/>
      <c r="T1282" s="476"/>
      <c r="U1282" s="476"/>
      <c r="V1282" s="476"/>
      <c r="W1282" s="476"/>
      <c r="X1282" s="476"/>
      <c r="Y1282" s="476"/>
      <c r="Z1282" s="476"/>
      <c r="AA1282" s="476"/>
      <c r="AB1282" s="476"/>
      <c r="AC1282" s="476"/>
      <c r="AD1282" s="476"/>
      <c r="AE1282" s="476"/>
      <c r="AF1282" s="476"/>
      <c r="AG1282" s="476"/>
      <c r="AH1282" s="476"/>
      <c r="AI1282" s="476"/>
      <c r="AJ1282" s="476"/>
      <c r="AK1282" s="476"/>
      <c r="AL1282" s="476"/>
      <c r="AM1282" s="476"/>
      <c r="AN1282" s="476"/>
      <c r="AO1282" s="476"/>
      <c r="AP1282" s="476"/>
      <c r="AQ1282" s="476"/>
      <c r="AR1282" s="476"/>
      <c r="AS1282" s="476"/>
      <c r="AT1282" s="476"/>
      <c r="AU1282" s="476"/>
    </row>
    <row r="1283" spans="1:47" s="398" customFormat="1" ht="13.15" customHeight="1" x14ac:dyDescent="0.2">
      <c r="A1283" s="476"/>
      <c r="D1283" s="467"/>
      <c r="F1283" s="468"/>
      <c r="G1283" s="468"/>
      <c r="H1283" s="468"/>
      <c r="I1283" s="468"/>
      <c r="J1283" s="469"/>
      <c r="L1283" s="476"/>
      <c r="M1283" s="476"/>
      <c r="N1283" s="476"/>
      <c r="O1283" s="476"/>
      <c r="P1283" s="476"/>
      <c r="Q1283" s="476"/>
      <c r="R1283" s="476"/>
      <c r="S1283" s="476"/>
      <c r="T1283" s="476"/>
      <c r="U1283" s="476"/>
      <c r="V1283" s="476"/>
      <c r="W1283" s="476"/>
      <c r="X1283" s="476"/>
      <c r="Y1283" s="476"/>
      <c r="Z1283" s="476"/>
      <c r="AA1283" s="476"/>
      <c r="AB1283" s="476"/>
      <c r="AC1283" s="476"/>
      <c r="AD1283" s="476"/>
      <c r="AE1283" s="476"/>
      <c r="AF1283" s="476"/>
      <c r="AG1283" s="476"/>
      <c r="AH1283" s="476"/>
      <c r="AI1283" s="476"/>
      <c r="AJ1283" s="476"/>
      <c r="AK1283" s="476"/>
      <c r="AL1283" s="476"/>
      <c r="AM1283" s="476"/>
      <c r="AN1283" s="476"/>
      <c r="AO1283" s="476"/>
      <c r="AP1283" s="476"/>
      <c r="AQ1283" s="476"/>
      <c r="AR1283" s="476"/>
      <c r="AS1283" s="476"/>
      <c r="AT1283" s="476"/>
      <c r="AU1283" s="476"/>
    </row>
    <row r="1284" spans="1:47" s="398" customFormat="1" ht="13.15" customHeight="1" x14ac:dyDescent="0.2">
      <c r="A1284" s="476"/>
      <c r="D1284" s="467"/>
      <c r="F1284" s="468"/>
      <c r="G1284" s="468"/>
      <c r="H1284" s="468"/>
      <c r="I1284" s="468"/>
      <c r="J1284" s="469"/>
      <c r="L1284" s="476"/>
      <c r="M1284" s="476"/>
      <c r="N1284" s="476"/>
      <c r="O1284" s="476"/>
      <c r="P1284" s="476"/>
      <c r="Q1284" s="476"/>
      <c r="R1284" s="476"/>
      <c r="S1284" s="476"/>
      <c r="T1284" s="476"/>
      <c r="U1284" s="476"/>
      <c r="V1284" s="476"/>
      <c r="W1284" s="476"/>
      <c r="X1284" s="476"/>
      <c r="Y1284" s="476"/>
      <c r="Z1284" s="476"/>
      <c r="AA1284" s="476"/>
      <c r="AB1284" s="476"/>
      <c r="AC1284" s="476"/>
      <c r="AD1284" s="476"/>
      <c r="AE1284" s="476"/>
      <c r="AF1284" s="476"/>
      <c r="AG1284" s="476"/>
      <c r="AH1284" s="476"/>
      <c r="AI1284" s="476"/>
      <c r="AJ1284" s="476"/>
      <c r="AK1284" s="476"/>
      <c r="AL1284" s="476"/>
      <c r="AM1284" s="476"/>
      <c r="AN1284" s="476"/>
      <c r="AO1284" s="476"/>
      <c r="AP1284" s="476"/>
      <c r="AQ1284" s="476"/>
      <c r="AR1284" s="476"/>
      <c r="AS1284" s="476"/>
      <c r="AT1284" s="476"/>
      <c r="AU1284" s="476"/>
    </row>
    <row r="1285" spans="1:47" s="398" customFormat="1" ht="13.15" customHeight="1" x14ac:dyDescent="0.2">
      <c r="A1285" s="476"/>
      <c r="D1285" s="467"/>
      <c r="F1285" s="468"/>
      <c r="G1285" s="468"/>
      <c r="H1285" s="468"/>
      <c r="I1285" s="468"/>
      <c r="J1285" s="469"/>
      <c r="L1285" s="476"/>
      <c r="M1285" s="476"/>
      <c r="N1285" s="476"/>
      <c r="O1285" s="476"/>
      <c r="P1285" s="476"/>
      <c r="Q1285" s="476"/>
      <c r="R1285" s="476"/>
      <c r="S1285" s="476"/>
      <c r="T1285" s="476"/>
      <c r="U1285" s="476"/>
      <c r="V1285" s="476"/>
      <c r="W1285" s="476"/>
      <c r="X1285" s="476"/>
      <c r="Y1285" s="476"/>
      <c r="Z1285" s="476"/>
      <c r="AA1285" s="476"/>
      <c r="AB1285" s="476"/>
      <c r="AC1285" s="476"/>
      <c r="AD1285" s="476"/>
      <c r="AE1285" s="476"/>
      <c r="AF1285" s="476"/>
      <c r="AG1285" s="476"/>
      <c r="AH1285" s="476"/>
      <c r="AI1285" s="476"/>
      <c r="AJ1285" s="476"/>
      <c r="AK1285" s="476"/>
      <c r="AL1285" s="476"/>
      <c r="AM1285" s="476"/>
      <c r="AN1285" s="476"/>
      <c r="AO1285" s="476"/>
      <c r="AP1285" s="476"/>
      <c r="AQ1285" s="476"/>
      <c r="AR1285" s="476"/>
      <c r="AS1285" s="476"/>
      <c r="AT1285" s="476"/>
      <c r="AU1285" s="476"/>
    </row>
    <row r="1286" spans="1:47" s="398" customFormat="1" ht="13.15" customHeight="1" x14ac:dyDescent="0.2">
      <c r="A1286" s="476"/>
      <c r="D1286" s="467"/>
      <c r="F1286" s="468"/>
      <c r="G1286" s="468"/>
      <c r="H1286" s="468"/>
      <c r="I1286" s="468"/>
      <c r="J1286" s="469"/>
      <c r="L1286" s="476"/>
      <c r="M1286" s="476"/>
      <c r="N1286" s="476"/>
      <c r="O1286" s="476"/>
      <c r="P1286" s="476"/>
      <c r="Q1286" s="476"/>
      <c r="R1286" s="476"/>
      <c r="S1286" s="476"/>
      <c r="T1286" s="476"/>
      <c r="U1286" s="476"/>
      <c r="V1286" s="476"/>
      <c r="W1286" s="476"/>
      <c r="X1286" s="476"/>
      <c r="Y1286" s="476"/>
      <c r="Z1286" s="476"/>
      <c r="AA1286" s="476"/>
      <c r="AB1286" s="476"/>
      <c r="AC1286" s="476"/>
      <c r="AD1286" s="476"/>
      <c r="AE1286" s="476"/>
      <c r="AF1286" s="476"/>
      <c r="AG1286" s="476"/>
      <c r="AH1286" s="476"/>
      <c r="AI1286" s="476"/>
      <c r="AJ1286" s="476"/>
      <c r="AK1286" s="476"/>
      <c r="AL1286" s="476"/>
      <c r="AM1286" s="476"/>
      <c r="AN1286" s="476"/>
      <c r="AO1286" s="476"/>
      <c r="AP1286" s="476"/>
      <c r="AQ1286" s="476"/>
      <c r="AR1286" s="476"/>
      <c r="AS1286" s="476"/>
      <c r="AT1286" s="476"/>
      <c r="AU1286" s="476"/>
    </row>
    <row r="1287" spans="1:47" s="398" customFormat="1" ht="13.15" customHeight="1" x14ac:dyDescent="0.2">
      <c r="A1287" s="476"/>
      <c r="D1287" s="467"/>
      <c r="F1287" s="468"/>
      <c r="G1287" s="468"/>
      <c r="H1287" s="468"/>
      <c r="I1287" s="468"/>
      <c r="J1287" s="469"/>
      <c r="L1287" s="476"/>
      <c r="M1287" s="476"/>
      <c r="N1287" s="476"/>
      <c r="O1287" s="476"/>
      <c r="P1287" s="476"/>
      <c r="Q1287" s="476"/>
      <c r="R1287" s="476"/>
      <c r="S1287" s="476"/>
      <c r="T1287" s="476"/>
      <c r="U1287" s="476"/>
      <c r="V1287" s="476"/>
      <c r="W1287" s="476"/>
      <c r="X1287" s="476"/>
      <c r="Y1287" s="476"/>
      <c r="Z1287" s="476"/>
      <c r="AA1287" s="476"/>
      <c r="AB1287" s="476"/>
      <c r="AC1287" s="476"/>
      <c r="AD1287" s="476"/>
      <c r="AE1287" s="476"/>
      <c r="AF1287" s="476"/>
      <c r="AG1287" s="476"/>
      <c r="AH1287" s="476"/>
      <c r="AI1287" s="476"/>
      <c r="AJ1287" s="476"/>
      <c r="AK1287" s="476"/>
      <c r="AL1287" s="476"/>
      <c r="AM1287" s="476"/>
      <c r="AN1287" s="476"/>
      <c r="AO1287" s="476"/>
      <c r="AP1287" s="476"/>
      <c r="AQ1287" s="476"/>
      <c r="AR1287" s="476"/>
      <c r="AS1287" s="476"/>
      <c r="AT1287" s="476"/>
      <c r="AU1287" s="476"/>
    </row>
    <row r="1288" spans="1:47" s="398" customFormat="1" ht="13.15" customHeight="1" x14ac:dyDescent="0.2">
      <c r="A1288" s="476"/>
      <c r="D1288" s="467"/>
      <c r="F1288" s="468"/>
      <c r="G1288" s="468"/>
      <c r="H1288" s="468"/>
      <c r="I1288" s="468"/>
      <c r="J1288" s="469"/>
      <c r="L1288" s="476"/>
      <c r="M1288" s="476"/>
      <c r="N1288" s="476"/>
      <c r="O1288" s="476"/>
      <c r="P1288" s="476"/>
      <c r="Q1288" s="476"/>
      <c r="R1288" s="476"/>
      <c r="S1288" s="476"/>
      <c r="T1288" s="476"/>
      <c r="U1288" s="476"/>
      <c r="V1288" s="476"/>
      <c r="W1288" s="476"/>
      <c r="X1288" s="476"/>
      <c r="Y1288" s="476"/>
      <c r="Z1288" s="476"/>
      <c r="AA1288" s="476"/>
      <c r="AB1288" s="476"/>
      <c r="AC1288" s="476"/>
      <c r="AD1288" s="476"/>
      <c r="AE1288" s="476"/>
      <c r="AF1288" s="476"/>
      <c r="AG1288" s="476"/>
      <c r="AH1288" s="476"/>
      <c r="AI1288" s="476"/>
      <c r="AJ1288" s="476"/>
      <c r="AK1288" s="476"/>
      <c r="AL1288" s="476"/>
      <c r="AM1288" s="476"/>
      <c r="AN1288" s="476"/>
      <c r="AO1288" s="476"/>
      <c r="AP1288" s="476"/>
      <c r="AQ1288" s="476"/>
      <c r="AR1288" s="476"/>
      <c r="AS1288" s="476"/>
      <c r="AT1288" s="476"/>
      <c r="AU1288" s="476"/>
    </row>
    <row r="1289" spans="1:47" s="398" customFormat="1" ht="13.15" customHeight="1" x14ac:dyDescent="0.2">
      <c r="A1289" s="476"/>
      <c r="D1289" s="467"/>
      <c r="F1289" s="468"/>
      <c r="G1289" s="468"/>
      <c r="H1289" s="468"/>
      <c r="I1289" s="468"/>
      <c r="J1289" s="469"/>
      <c r="L1289" s="476"/>
      <c r="M1289" s="476"/>
      <c r="N1289" s="476"/>
      <c r="O1289" s="476"/>
      <c r="P1289" s="476"/>
      <c r="Q1289" s="476"/>
      <c r="R1289" s="476"/>
      <c r="S1289" s="476"/>
      <c r="T1289" s="476"/>
      <c r="U1289" s="476"/>
      <c r="V1289" s="476"/>
      <c r="W1289" s="476"/>
      <c r="X1289" s="476"/>
      <c r="Y1289" s="476"/>
      <c r="Z1289" s="476"/>
      <c r="AA1289" s="476"/>
      <c r="AB1289" s="476"/>
      <c r="AC1289" s="476"/>
      <c r="AD1289" s="476"/>
      <c r="AE1289" s="476"/>
      <c r="AF1289" s="476"/>
      <c r="AG1289" s="476"/>
      <c r="AH1289" s="476"/>
      <c r="AI1289" s="476"/>
      <c r="AJ1289" s="476"/>
      <c r="AK1289" s="476"/>
      <c r="AL1289" s="476"/>
      <c r="AM1289" s="476"/>
      <c r="AN1289" s="476"/>
      <c r="AO1289" s="476"/>
      <c r="AP1289" s="476"/>
      <c r="AQ1289" s="476"/>
      <c r="AR1289" s="476"/>
      <c r="AS1289" s="476"/>
      <c r="AT1289" s="476"/>
      <c r="AU1289" s="476"/>
    </row>
    <row r="1290" spans="1:47" ht="13.15" customHeight="1" x14ac:dyDescent="0.2">
      <c r="B1290" s="398"/>
      <c r="C1290" s="398"/>
      <c r="D1290" s="467"/>
      <c r="E1290" s="398"/>
      <c r="F1290" s="468"/>
      <c r="G1290" s="468"/>
      <c r="H1290" s="468"/>
      <c r="I1290" s="468"/>
      <c r="J1290" s="469"/>
      <c r="K1290" s="398"/>
    </row>
    <row r="1291" spans="1:47" ht="13.15" customHeight="1" x14ac:dyDescent="0.2">
      <c r="B1291" s="398"/>
      <c r="C1291" s="398"/>
      <c r="D1291" s="467"/>
      <c r="E1291" s="398"/>
      <c r="F1291" s="468"/>
      <c r="G1291" s="468"/>
      <c r="H1291" s="468"/>
      <c r="I1291" s="468"/>
      <c r="J1291" s="469"/>
      <c r="K1291" s="398"/>
    </row>
    <row r="1292" spans="1:47" ht="13.15" customHeight="1" x14ac:dyDescent="0.2">
      <c r="B1292" s="398"/>
      <c r="C1292" s="398"/>
      <c r="D1292" s="467"/>
      <c r="E1292" s="398"/>
      <c r="F1292" s="468"/>
      <c r="G1292" s="468"/>
      <c r="H1292" s="468"/>
      <c r="I1292" s="468"/>
      <c r="J1292" s="469"/>
      <c r="K1292" s="398"/>
    </row>
    <row r="1293" spans="1:47" ht="13.15" customHeight="1" x14ac:dyDescent="0.2">
      <c r="B1293" s="398"/>
      <c r="C1293" s="398"/>
      <c r="D1293" s="467"/>
      <c r="E1293" s="398"/>
      <c r="F1293" s="468"/>
      <c r="G1293" s="468"/>
      <c r="H1293" s="468"/>
      <c r="I1293" s="468"/>
      <c r="J1293" s="469"/>
      <c r="K1293" s="398"/>
    </row>
    <row r="1294" spans="1:47" ht="13.15" customHeight="1" x14ac:dyDescent="0.2">
      <c r="B1294" s="398"/>
      <c r="C1294" s="398"/>
      <c r="D1294" s="467"/>
      <c r="E1294" s="398"/>
      <c r="F1294" s="468"/>
      <c r="G1294" s="468"/>
      <c r="H1294" s="468"/>
      <c r="I1294" s="468"/>
      <c r="J1294" s="469"/>
      <c r="K1294" s="398"/>
    </row>
    <row r="1295" spans="1:47" ht="13.15" customHeight="1" x14ac:dyDescent="0.2">
      <c r="B1295" s="398"/>
      <c r="C1295" s="398"/>
      <c r="D1295" s="467"/>
      <c r="E1295" s="398"/>
      <c r="F1295" s="468"/>
      <c r="G1295" s="468"/>
      <c r="H1295" s="468"/>
      <c r="I1295" s="468"/>
      <c r="J1295" s="469"/>
      <c r="K1295" s="398"/>
    </row>
    <row r="1296" spans="1:47" ht="13.15" customHeight="1" x14ac:dyDescent="0.2">
      <c r="B1296" s="398"/>
      <c r="C1296" s="398"/>
      <c r="D1296" s="467"/>
      <c r="E1296" s="398"/>
      <c r="F1296" s="468"/>
      <c r="G1296" s="468"/>
      <c r="H1296" s="468"/>
      <c r="I1296" s="468"/>
      <c r="J1296" s="469"/>
      <c r="K1296" s="398"/>
    </row>
    <row r="1297" spans="2:11" ht="13.15" customHeight="1" x14ac:dyDescent="0.2">
      <c r="B1297" s="398"/>
      <c r="C1297" s="398"/>
      <c r="D1297" s="467"/>
      <c r="E1297" s="398"/>
      <c r="F1297" s="468"/>
      <c r="G1297" s="468"/>
      <c r="H1297" s="468"/>
      <c r="I1297" s="468"/>
      <c r="J1297" s="469"/>
      <c r="K1297" s="398"/>
    </row>
    <row r="1298" spans="2:11" ht="13.15" customHeight="1" x14ac:dyDescent="0.2">
      <c r="B1298" s="398"/>
      <c r="C1298" s="398"/>
      <c r="D1298" s="467"/>
      <c r="E1298" s="398"/>
      <c r="F1298" s="468"/>
      <c r="G1298" s="468"/>
      <c r="H1298" s="468"/>
      <c r="I1298" s="468"/>
      <c r="J1298" s="469"/>
      <c r="K1298" s="398"/>
    </row>
    <row r="1299" spans="2:11" ht="13.15" customHeight="1" x14ac:dyDescent="0.2">
      <c r="B1299" s="398"/>
      <c r="C1299" s="398"/>
      <c r="D1299" s="467"/>
      <c r="E1299" s="398"/>
      <c r="F1299" s="468"/>
      <c r="G1299" s="468"/>
      <c r="H1299" s="468"/>
      <c r="I1299" s="468"/>
      <c r="J1299" s="469"/>
      <c r="K1299" s="398"/>
    </row>
    <row r="1300" spans="2:11" ht="13.15" customHeight="1" x14ac:dyDescent="0.2">
      <c r="B1300" s="398"/>
      <c r="C1300" s="398"/>
      <c r="D1300" s="467"/>
      <c r="E1300" s="398"/>
      <c r="F1300" s="468"/>
      <c r="G1300" s="468"/>
      <c r="H1300" s="468"/>
      <c r="I1300" s="468"/>
      <c r="J1300" s="469"/>
      <c r="K1300" s="398"/>
    </row>
    <row r="1301" spans="2:11" ht="13.15" customHeight="1" x14ac:dyDescent="0.2">
      <c r="B1301" s="398"/>
      <c r="C1301" s="398"/>
      <c r="D1301" s="467"/>
      <c r="E1301" s="398"/>
      <c r="F1301" s="468"/>
      <c r="G1301" s="468"/>
      <c r="H1301" s="468"/>
      <c r="I1301" s="468"/>
      <c r="J1301" s="469"/>
      <c r="K1301" s="398"/>
    </row>
    <row r="1302" spans="2:11" ht="13.15" customHeight="1" x14ac:dyDescent="0.2">
      <c r="B1302" s="398"/>
      <c r="C1302" s="398"/>
      <c r="D1302" s="467"/>
      <c r="E1302" s="398"/>
      <c r="F1302" s="468"/>
      <c r="G1302" s="468"/>
      <c r="H1302" s="468"/>
      <c r="I1302" s="468"/>
      <c r="J1302" s="469"/>
      <c r="K1302" s="398"/>
    </row>
    <row r="1303" spans="2:11" ht="13.15" customHeight="1" x14ac:dyDescent="0.2">
      <c r="B1303" s="398"/>
      <c r="C1303" s="398"/>
      <c r="D1303" s="467"/>
      <c r="E1303" s="398"/>
      <c r="F1303" s="468"/>
      <c r="G1303" s="468"/>
      <c r="H1303" s="468"/>
      <c r="I1303" s="468"/>
      <c r="J1303" s="469"/>
      <c r="K1303" s="398"/>
    </row>
  </sheetData>
  <sheetProtection algorithmName="SHA-512" hashValue="PNzF1atWUrflC98ciSGADNPel1BtPlpK4OoNeA8El1xMlJVAObh2LOlijNapBcqDeazppDQGAunJ1nbDgmEKlg==" saltValue="bcGqenfapMED39nNUAg4+g==" spinCount="100000" sheet="1" objects="1" scenarios="1"/>
  <pageMargins left="0.7" right="0.7" top="0.75" bottom="0.75" header="0.3" footer="0.3"/>
  <pageSetup paperSize="9" scale="60" orientation="portrait" r:id="rId1"/>
  <headerFooter>
    <oddHeader>&amp;L&amp;"Arial,Vet"&amp;F&amp;R&amp;"Arial,Vet"&amp;A</oddHeader>
    <oddFooter>&amp;L&amp;"Arial,Vet"keizer / goedhart&amp;C&amp;"Arial,Vet"pagina &amp;P&amp;R&amp;"Arial,Vet"&amp;D</oddFooter>
  </headerFooter>
  <rowBreaks count="1" manualBreakCount="1">
    <brk id="125" min="1" max="1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19"/>
  <sheetViews>
    <sheetView zoomScale="85" zoomScaleNormal="85" workbookViewId="0">
      <selection activeCell="B2" sqref="B2"/>
    </sheetView>
  </sheetViews>
  <sheetFormatPr defaultColWidth="9.140625" defaultRowHeight="12.75" x14ac:dyDescent="0.2"/>
  <cols>
    <col min="1" max="1" width="3.7109375" style="499" customWidth="1"/>
    <col min="2" max="2" width="2.7109375" style="499" customWidth="1"/>
    <col min="3" max="9" width="9.7109375" style="499" customWidth="1"/>
    <col min="10" max="10" width="2.7109375" style="499" customWidth="1"/>
    <col min="11" max="17" width="9.7109375" style="499" customWidth="1"/>
    <col min="18" max="18" width="2.7109375" style="499" customWidth="1"/>
    <col min="19" max="16384" width="9.140625" style="499"/>
  </cols>
  <sheetData>
    <row r="1" spans="2:18" ht="12.75" customHeight="1" x14ac:dyDescent="0.2"/>
    <row r="2" spans="2:18" ht="13.15" customHeight="1" x14ac:dyDescent="0.2">
      <c r="B2" s="500"/>
      <c r="C2" s="501"/>
      <c r="D2" s="501"/>
      <c r="E2" s="501"/>
      <c r="F2" s="501"/>
      <c r="G2" s="501"/>
      <c r="H2" s="501"/>
      <c r="I2" s="501"/>
      <c r="J2" s="501"/>
      <c r="K2" s="501"/>
      <c r="L2" s="501"/>
      <c r="M2" s="501"/>
      <c r="N2" s="501"/>
      <c r="O2" s="501"/>
      <c r="P2" s="501"/>
      <c r="Q2" s="501"/>
      <c r="R2" s="502"/>
    </row>
    <row r="3" spans="2:18" ht="13.15" customHeight="1" x14ac:dyDescent="0.2">
      <c r="B3" s="503"/>
      <c r="C3" s="504"/>
      <c r="D3" s="504"/>
      <c r="E3" s="504"/>
      <c r="F3" s="504"/>
      <c r="G3" s="504"/>
      <c r="H3" s="504"/>
      <c r="I3" s="504"/>
      <c r="J3" s="504"/>
      <c r="K3" s="504"/>
      <c r="L3" s="504"/>
      <c r="M3" s="504"/>
      <c r="N3" s="504"/>
      <c r="O3" s="504"/>
      <c r="P3" s="504"/>
      <c r="Q3" s="504"/>
      <c r="R3" s="505"/>
    </row>
    <row r="4" spans="2:18" s="509" customFormat="1" ht="18.75" x14ac:dyDescent="0.3">
      <c r="B4" s="506"/>
      <c r="C4" s="738" t="s">
        <v>760</v>
      </c>
      <c r="D4" s="507"/>
      <c r="E4" s="507"/>
      <c r="F4" s="507"/>
      <c r="G4" s="507"/>
      <c r="H4" s="507"/>
      <c r="I4" s="507"/>
      <c r="J4" s="507"/>
      <c r="K4" s="507"/>
      <c r="L4" s="507"/>
      <c r="M4" s="507"/>
      <c r="N4" s="507"/>
      <c r="O4" s="507"/>
      <c r="P4" s="507"/>
      <c r="Q4" s="507"/>
      <c r="R4" s="508"/>
    </row>
    <row r="5" spans="2:18" s="509" customFormat="1" ht="18.75" x14ac:dyDescent="0.3">
      <c r="B5" s="506"/>
      <c r="C5" s="510" t="str">
        <f>+'geg LO'!C5</f>
        <v>SWV PO Passend Onderwijs</v>
      </c>
      <c r="D5" s="507"/>
      <c r="E5" s="507"/>
      <c r="F5" s="507"/>
      <c r="G5" s="507"/>
      <c r="H5" s="507"/>
      <c r="I5" s="507"/>
      <c r="J5" s="507"/>
      <c r="K5" s="507"/>
      <c r="L5" s="507"/>
      <c r="M5" s="507"/>
      <c r="N5" s="507"/>
      <c r="O5" s="507"/>
      <c r="P5" s="507"/>
      <c r="Q5" s="507"/>
      <c r="R5" s="508"/>
    </row>
    <row r="6" spans="2:18" ht="13.15" customHeight="1" x14ac:dyDescent="0.2">
      <c r="B6" s="503"/>
      <c r="C6" s="504"/>
      <c r="D6" s="504"/>
      <c r="E6" s="504"/>
      <c r="F6" s="504"/>
      <c r="G6" s="504"/>
      <c r="H6" s="504"/>
      <c r="I6" s="504"/>
      <c r="J6" s="504"/>
      <c r="K6" s="504"/>
      <c r="L6" s="504"/>
      <c r="M6" s="504"/>
      <c r="N6" s="504"/>
      <c r="O6" s="504"/>
      <c r="P6" s="504"/>
      <c r="Q6" s="504"/>
      <c r="R6" s="505"/>
    </row>
    <row r="7" spans="2:18" ht="13.15" customHeight="1" x14ac:dyDescent="0.2">
      <c r="B7" s="503"/>
      <c r="C7" s="504"/>
      <c r="D7" s="504"/>
      <c r="E7" s="504"/>
      <c r="F7" s="504"/>
      <c r="G7" s="504"/>
      <c r="H7" s="504"/>
      <c r="I7" s="504"/>
      <c r="J7" s="504"/>
      <c r="K7" s="504"/>
      <c r="L7" s="504"/>
      <c r="M7" s="504"/>
      <c r="N7" s="504"/>
      <c r="O7" s="504"/>
      <c r="P7" s="504"/>
      <c r="Q7" s="504"/>
      <c r="R7" s="505"/>
    </row>
    <row r="8" spans="2:18" ht="13.15" customHeight="1" x14ac:dyDescent="0.2">
      <c r="B8" s="503"/>
      <c r="C8" s="504"/>
      <c r="D8" s="504"/>
      <c r="E8" s="504"/>
      <c r="F8" s="504"/>
      <c r="G8" s="504"/>
      <c r="H8" s="504"/>
      <c r="I8" s="504"/>
      <c r="J8" s="504"/>
      <c r="K8" s="504"/>
      <c r="L8" s="504"/>
      <c r="M8" s="504"/>
      <c r="N8" s="504"/>
      <c r="O8" s="504"/>
      <c r="P8" s="504"/>
      <c r="Q8" s="504"/>
      <c r="R8" s="505"/>
    </row>
    <row r="9" spans="2:18" ht="13.15" customHeight="1" x14ac:dyDescent="0.2">
      <c r="B9" s="503"/>
      <c r="C9" s="504"/>
      <c r="D9" s="504"/>
      <c r="E9" s="504"/>
      <c r="F9" s="504"/>
      <c r="G9" s="504"/>
      <c r="H9" s="504"/>
      <c r="I9" s="504"/>
      <c r="J9" s="504"/>
      <c r="K9" s="504"/>
      <c r="L9" s="504"/>
      <c r="M9" s="504"/>
      <c r="N9" s="504"/>
      <c r="O9" s="504"/>
      <c r="P9" s="504"/>
      <c r="Q9" s="504"/>
      <c r="R9" s="505"/>
    </row>
    <row r="10" spans="2:18" ht="13.15" customHeight="1" x14ac:dyDescent="0.2">
      <c r="B10" s="503"/>
      <c r="C10" s="504"/>
      <c r="D10" s="504"/>
      <c r="E10" s="504"/>
      <c r="F10" s="504"/>
      <c r="G10" s="504"/>
      <c r="H10" s="504"/>
      <c r="I10" s="504"/>
      <c r="J10" s="504"/>
      <c r="K10" s="504"/>
      <c r="L10" s="504"/>
      <c r="M10" s="504"/>
      <c r="N10" s="504"/>
      <c r="O10" s="504"/>
      <c r="P10" s="504"/>
      <c r="Q10" s="504"/>
      <c r="R10" s="505"/>
    </row>
    <row r="11" spans="2:18" ht="13.15" customHeight="1" x14ac:dyDescent="0.2">
      <c r="B11" s="503"/>
      <c r="C11" s="504"/>
      <c r="D11" s="504"/>
      <c r="E11" s="504"/>
      <c r="F11" s="504"/>
      <c r="G11" s="504"/>
      <c r="H11" s="504"/>
      <c r="I11" s="504"/>
      <c r="J11" s="504"/>
      <c r="K11" s="504"/>
      <c r="L11" s="504"/>
      <c r="M11" s="504"/>
      <c r="N11" s="504"/>
      <c r="O11" s="504"/>
      <c r="P11" s="504"/>
      <c r="Q11" s="504"/>
      <c r="R11" s="505"/>
    </row>
    <row r="12" spans="2:18" ht="13.15" customHeight="1" x14ac:dyDescent="0.2">
      <c r="B12" s="503"/>
      <c r="C12" s="504"/>
      <c r="D12" s="504"/>
      <c r="E12" s="504"/>
      <c r="F12" s="504"/>
      <c r="G12" s="504"/>
      <c r="H12" s="504"/>
      <c r="I12" s="504"/>
      <c r="J12" s="504"/>
      <c r="K12" s="504"/>
      <c r="L12" s="504"/>
      <c r="M12" s="504"/>
      <c r="N12" s="504"/>
      <c r="O12" s="504"/>
      <c r="P12" s="504"/>
      <c r="Q12" s="504"/>
      <c r="R12" s="505"/>
    </row>
    <row r="13" spans="2:18" ht="13.15" customHeight="1" x14ac:dyDescent="0.2">
      <c r="B13" s="503"/>
      <c r="C13" s="504"/>
      <c r="D13" s="504"/>
      <c r="E13" s="504"/>
      <c r="F13" s="504"/>
      <c r="G13" s="504"/>
      <c r="H13" s="504"/>
      <c r="I13" s="504"/>
      <c r="J13" s="504"/>
      <c r="K13" s="504"/>
      <c r="L13" s="504"/>
      <c r="M13" s="504"/>
      <c r="N13" s="504"/>
      <c r="O13" s="504"/>
      <c r="P13" s="504"/>
      <c r="Q13" s="504"/>
      <c r="R13" s="505"/>
    </row>
    <row r="14" spans="2:18" ht="13.15" customHeight="1" x14ac:dyDescent="0.2">
      <c r="B14" s="503"/>
      <c r="C14" s="504"/>
      <c r="D14" s="504"/>
      <c r="E14" s="504"/>
      <c r="F14" s="504"/>
      <c r="G14" s="504"/>
      <c r="H14" s="504"/>
      <c r="I14" s="504"/>
      <c r="J14" s="504"/>
      <c r="K14" s="504"/>
      <c r="L14" s="504"/>
      <c r="M14" s="504"/>
      <c r="N14" s="504"/>
      <c r="O14" s="504"/>
      <c r="P14" s="504"/>
      <c r="Q14" s="504"/>
      <c r="R14" s="505"/>
    </row>
    <row r="15" spans="2:18" ht="13.15" customHeight="1" x14ac:dyDescent="0.2">
      <c r="B15" s="503"/>
      <c r="C15" s="504"/>
      <c r="D15" s="504"/>
      <c r="E15" s="504"/>
      <c r="F15" s="504"/>
      <c r="G15" s="504"/>
      <c r="H15" s="504"/>
      <c r="I15" s="504"/>
      <c r="J15" s="504"/>
      <c r="K15" s="504"/>
      <c r="L15" s="504"/>
      <c r="M15" s="504"/>
      <c r="N15" s="504"/>
      <c r="O15" s="504"/>
      <c r="P15" s="504"/>
      <c r="Q15" s="504"/>
      <c r="R15" s="505"/>
    </row>
    <row r="16" spans="2:18" ht="13.15" customHeight="1" x14ac:dyDescent="0.2">
      <c r="B16" s="503"/>
      <c r="C16" s="504"/>
      <c r="D16" s="504"/>
      <c r="E16" s="504"/>
      <c r="F16" s="504"/>
      <c r="G16" s="504"/>
      <c r="H16" s="504"/>
      <c r="I16" s="504"/>
      <c r="J16" s="504"/>
      <c r="K16" s="504"/>
      <c r="L16" s="504"/>
      <c r="M16" s="504"/>
      <c r="N16" s="504"/>
      <c r="O16" s="504"/>
      <c r="P16" s="504"/>
      <c r="Q16" s="504"/>
      <c r="R16" s="505"/>
    </row>
    <row r="17" spans="2:18" ht="13.15" customHeight="1" x14ac:dyDescent="0.2">
      <c r="B17" s="503"/>
      <c r="C17" s="504"/>
      <c r="D17" s="504"/>
      <c r="E17" s="504"/>
      <c r="F17" s="504"/>
      <c r="G17" s="504"/>
      <c r="H17" s="504"/>
      <c r="I17" s="504"/>
      <c r="J17" s="504"/>
      <c r="K17" s="504"/>
      <c r="L17" s="504"/>
      <c r="M17" s="504"/>
      <c r="N17" s="504"/>
      <c r="O17" s="504"/>
      <c r="P17" s="504"/>
      <c r="Q17" s="504"/>
      <c r="R17" s="505"/>
    </row>
    <row r="18" spans="2:18" ht="13.15" customHeight="1" x14ac:dyDescent="0.2">
      <c r="B18" s="503"/>
      <c r="C18" s="504"/>
      <c r="D18" s="504"/>
      <c r="E18" s="504"/>
      <c r="F18" s="504"/>
      <c r="G18" s="504"/>
      <c r="H18" s="504"/>
      <c r="I18" s="504"/>
      <c r="J18" s="504"/>
      <c r="K18" s="504"/>
      <c r="L18" s="504"/>
      <c r="M18" s="504"/>
      <c r="N18" s="504"/>
      <c r="O18" s="504"/>
      <c r="P18" s="504"/>
      <c r="Q18" s="504"/>
      <c r="R18" s="505"/>
    </row>
    <row r="19" spans="2:18" ht="13.15" customHeight="1" x14ac:dyDescent="0.2">
      <c r="B19" s="503"/>
      <c r="C19" s="504"/>
      <c r="D19" s="504"/>
      <c r="E19" s="504"/>
      <c r="F19" s="504"/>
      <c r="G19" s="504"/>
      <c r="H19" s="504"/>
      <c r="I19" s="504"/>
      <c r="J19" s="504"/>
      <c r="K19" s="504"/>
      <c r="L19" s="504"/>
      <c r="M19" s="504"/>
      <c r="N19" s="504"/>
      <c r="O19" s="504"/>
      <c r="P19" s="504"/>
      <c r="Q19" s="504"/>
      <c r="R19" s="505"/>
    </row>
    <row r="20" spans="2:18" ht="13.15" customHeight="1" x14ac:dyDescent="0.2">
      <c r="B20" s="503"/>
      <c r="C20" s="504"/>
      <c r="D20" s="504"/>
      <c r="E20" s="504"/>
      <c r="F20" s="504"/>
      <c r="G20" s="504"/>
      <c r="H20" s="504"/>
      <c r="I20" s="504"/>
      <c r="J20" s="504"/>
      <c r="K20" s="504"/>
      <c r="L20" s="504"/>
      <c r="M20" s="504"/>
      <c r="N20" s="504"/>
      <c r="O20" s="504"/>
      <c r="P20" s="504"/>
      <c r="Q20" s="504"/>
      <c r="R20" s="505"/>
    </row>
    <row r="21" spans="2:18" ht="13.15" customHeight="1" x14ac:dyDescent="0.2">
      <c r="B21" s="503"/>
      <c r="C21" s="504"/>
      <c r="D21" s="504"/>
      <c r="E21" s="504"/>
      <c r="F21" s="504"/>
      <c r="G21" s="504"/>
      <c r="H21" s="504"/>
      <c r="I21" s="504"/>
      <c r="J21" s="504"/>
      <c r="K21" s="504"/>
      <c r="L21" s="504"/>
      <c r="M21" s="504"/>
      <c r="N21" s="504"/>
      <c r="O21" s="504"/>
      <c r="P21" s="504"/>
      <c r="Q21" s="504"/>
      <c r="R21" s="505"/>
    </row>
    <row r="22" spans="2:18" ht="13.15" customHeight="1" x14ac:dyDescent="0.2">
      <c r="B22" s="503"/>
      <c r="C22" s="504"/>
      <c r="D22" s="504"/>
      <c r="E22" s="504"/>
      <c r="F22" s="504"/>
      <c r="G22" s="504"/>
      <c r="H22" s="504"/>
      <c r="I22" s="504"/>
      <c r="J22" s="504"/>
      <c r="K22" s="504"/>
      <c r="L22" s="504"/>
      <c r="M22" s="504"/>
      <c r="N22" s="504"/>
      <c r="O22" s="504"/>
      <c r="P22" s="504"/>
      <c r="Q22" s="504"/>
      <c r="R22" s="505"/>
    </row>
    <row r="23" spans="2:18" ht="13.15" customHeight="1" x14ac:dyDescent="0.2">
      <c r="B23" s="503"/>
      <c r="C23" s="504"/>
      <c r="D23" s="504"/>
      <c r="E23" s="504"/>
      <c r="F23" s="504"/>
      <c r="G23" s="504"/>
      <c r="H23" s="504"/>
      <c r="I23" s="504"/>
      <c r="J23" s="504"/>
      <c r="K23" s="504"/>
      <c r="L23" s="504"/>
      <c r="M23" s="504"/>
      <c r="N23" s="504"/>
      <c r="O23" s="504"/>
      <c r="P23" s="504"/>
      <c r="Q23" s="504"/>
      <c r="R23" s="505"/>
    </row>
    <row r="24" spans="2:18" ht="13.15" customHeight="1" x14ac:dyDescent="0.2">
      <c r="B24" s="503"/>
      <c r="C24" s="504"/>
      <c r="D24" s="504"/>
      <c r="E24" s="504"/>
      <c r="F24" s="504"/>
      <c r="G24" s="504"/>
      <c r="H24" s="504"/>
      <c r="I24" s="504"/>
      <c r="J24" s="504"/>
      <c r="K24" s="504"/>
      <c r="L24" s="504"/>
      <c r="M24" s="504"/>
      <c r="N24" s="504"/>
      <c r="O24" s="504"/>
      <c r="P24" s="504"/>
      <c r="Q24" s="504"/>
      <c r="R24" s="505"/>
    </row>
    <row r="25" spans="2:18" ht="13.15" customHeight="1" x14ac:dyDescent="0.2">
      <c r="B25" s="503"/>
      <c r="C25" s="504"/>
      <c r="D25" s="504"/>
      <c r="E25" s="504"/>
      <c r="F25" s="504"/>
      <c r="G25" s="504"/>
      <c r="H25" s="504"/>
      <c r="I25" s="504"/>
      <c r="J25" s="504"/>
      <c r="K25" s="504"/>
      <c r="L25" s="504"/>
      <c r="M25" s="504"/>
      <c r="N25" s="504"/>
      <c r="O25" s="504"/>
      <c r="P25" s="504"/>
      <c r="Q25" s="504"/>
      <c r="R25" s="505"/>
    </row>
    <row r="26" spans="2:18" ht="13.15" customHeight="1" x14ac:dyDescent="0.2">
      <c r="B26" s="503"/>
      <c r="C26" s="504"/>
      <c r="D26" s="504"/>
      <c r="E26" s="504"/>
      <c r="F26" s="504"/>
      <c r="G26" s="504"/>
      <c r="H26" s="504"/>
      <c r="I26" s="504"/>
      <c r="J26" s="504"/>
      <c r="K26" s="504"/>
      <c r="L26" s="504"/>
      <c r="M26" s="504"/>
      <c r="N26" s="504"/>
      <c r="O26" s="504"/>
      <c r="P26" s="504"/>
      <c r="Q26" s="504"/>
      <c r="R26" s="505"/>
    </row>
    <row r="27" spans="2:18" ht="13.15" customHeight="1" x14ac:dyDescent="0.2">
      <c r="B27" s="503"/>
      <c r="C27" s="504"/>
      <c r="D27" s="504"/>
      <c r="E27" s="504"/>
      <c r="F27" s="504"/>
      <c r="G27" s="504"/>
      <c r="H27" s="504"/>
      <c r="I27" s="504"/>
      <c r="J27" s="504"/>
      <c r="K27" s="504"/>
      <c r="L27" s="504"/>
      <c r="M27" s="504"/>
      <c r="N27" s="504"/>
      <c r="O27" s="504"/>
      <c r="P27" s="504"/>
      <c r="Q27" s="504"/>
      <c r="R27" s="505"/>
    </row>
    <row r="28" spans="2:18" ht="13.15" customHeight="1" x14ac:dyDescent="0.2">
      <c r="B28" s="503"/>
      <c r="C28" s="504"/>
      <c r="D28" s="504"/>
      <c r="E28" s="504"/>
      <c r="F28" s="504"/>
      <c r="G28" s="504"/>
      <c r="H28" s="504"/>
      <c r="I28" s="504"/>
      <c r="J28" s="504"/>
      <c r="K28" s="504"/>
      <c r="L28" s="504"/>
      <c r="M28" s="504"/>
      <c r="N28" s="504"/>
      <c r="O28" s="504"/>
      <c r="P28" s="504"/>
      <c r="Q28" s="504"/>
      <c r="R28" s="505"/>
    </row>
    <row r="29" spans="2:18" ht="13.15" customHeight="1" x14ac:dyDescent="0.2">
      <c r="B29" s="503"/>
      <c r="C29" s="504"/>
      <c r="D29" s="504"/>
      <c r="E29" s="504"/>
      <c r="F29" s="504"/>
      <c r="G29" s="504"/>
      <c r="H29" s="504"/>
      <c r="I29" s="504"/>
      <c r="J29" s="504"/>
      <c r="K29" s="504"/>
      <c r="L29" s="504"/>
      <c r="M29" s="504"/>
      <c r="N29" s="504"/>
      <c r="O29" s="504"/>
      <c r="P29" s="504"/>
      <c r="Q29" s="504"/>
      <c r="R29" s="505"/>
    </row>
    <row r="30" spans="2:18" ht="13.15" customHeight="1" x14ac:dyDescent="0.2">
      <c r="B30" s="503"/>
      <c r="C30" s="504"/>
      <c r="D30" s="504"/>
      <c r="E30" s="504"/>
      <c r="F30" s="504"/>
      <c r="G30" s="504"/>
      <c r="H30" s="504"/>
      <c r="I30" s="504"/>
      <c r="J30" s="504"/>
      <c r="K30" s="504"/>
      <c r="L30" s="504"/>
      <c r="M30" s="504"/>
      <c r="N30" s="504"/>
      <c r="O30" s="504"/>
      <c r="P30" s="504"/>
      <c r="Q30" s="504"/>
      <c r="R30" s="505"/>
    </row>
    <row r="31" spans="2:18" ht="13.15" customHeight="1" x14ac:dyDescent="0.2">
      <c r="B31" s="503"/>
      <c r="C31" s="504"/>
      <c r="D31" s="504"/>
      <c r="E31" s="504"/>
      <c r="F31" s="504"/>
      <c r="G31" s="504"/>
      <c r="H31" s="504"/>
      <c r="I31" s="504"/>
      <c r="J31" s="504"/>
      <c r="K31" s="504"/>
      <c r="L31" s="504"/>
      <c r="M31" s="504"/>
      <c r="N31" s="504"/>
      <c r="O31" s="504"/>
      <c r="P31" s="504"/>
      <c r="Q31" s="504"/>
      <c r="R31" s="505"/>
    </row>
    <row r="32" spans="2:18" ht="13.15" customHeight="1" x14ac:dyDescent="0.2">
      <c r="B32" s="503"/>
      <c r="C32" s="504"/>
      <c r="D32" s="504"/>
      <c r="E32" s="504"/>
      <c r="F32" s="504"/>
      <c r="G32" s="504"/>
      <c r="H32" s="504"/>
      <c r="I32" s="504"/>
      <c r="J32" s="504"/>
      <c r="K32" s="504"/>
      <c r="L32" s="504"/>
      <c r="M32" s="504"/>
      <c r="N32" s="504"/>
      <c r="O32" s="504"/>
      <c r="P32" s="504"/>
      <c r="Q32" s="504"/>
      <c r="R32" s="505"/>
    </row>
    <row r="33" spans="2:18" ht="13.15" customHeight="1" x14ac:dyDescent="0.2">
      <c r="B33" s="503"/>
      <c r="C33" s="504"/>
      <c r="D33" s="504"/>
      <c r="E33" s="504"/>
      <c r="F33" s="504"/>
      <c r="G33" s="504"/>
      <c r="H33" s="504"/>
      <c r="I33" s="504"/>
      <c r="J33" s="504"/>
      <c r="K33" s="504"/>
      <c r="L33" s="504"/>
      <c r="M33" s="504"/>
      <c r="N33" s="504"/>
      <c r="O33" s="504"/>
      <c r="P33" s="504"/>
      <c r="Q33" s="504"/>
      <c r="R33" s="505"/>
    </row>
    <row r="34" spans="2:18" ht="13.15" customHeight="1" x14ac:dyDescent="0.2">
      <c r="B34" s="503"/>
      <c r="C34" s="504"/>
      <c r="D34" s="504"/>
      <c r="E34" s="504"/>
      <c r="F34" s="504"/>
      <c r="G34" s="504"/>
      <c r="H34" s="504"/>
      <c r="I34" s="504"/>
      <c r="J34" s="504"/>
      <c r="K34" s="504"/>
      <c r="L34" s="504"/>
      <c r="M34" s="504"/>
      <c r="N34" s="504"/>
      <c r="O34" s="504"/>
      <c r="P34" s="504"/>
      <c r="Q34" s="504"/>
      <c r="R34" s="505"/>
    </row>
    <row r="35" spans="2:18" ht="13.15" customHeight="1" x14ac:dyDescent="0.2">
      <c r="B35" s="503"/>
      <c r="C35" s="504"/>
      <c r="D35" s="504"/>
      <c r="E35" s="504"/>
      <c r="F35" s="504"/>
      <c r="G35" s="504"/>
      <c r="H35" s="504"/>
      <c r="I35" s="504"/>
      <c r="J35" s="504"/>
      <c r="K35" s="504"/>
      <c r="L35" s="504"/>
      <c r="M35" s="504"/>
      <c r="N35" s="504"/>
      <c r="O35" s="504"/>
      <c r="P35" s="504"/>
      <c r="Q35" s="504"/>
      <c r="R35" s="505"/>
    </row>
    <row r="36" spans="2:18" ht="13.15" customHeight="1" x14ac:dyDescent="0.2">
      <c r="B36" s="503"/>
      <c r="C36" s="504"/>
      <c r="D36" s="504"/>
      <c r="E36" s="504"/>
      <c r="F36" s="504"/>
      <c r="G36" s="504"/>
      <c r="H36" s="504"/>
      <c r="I36" s="504"/>
      <c r="J36" s="504"/>
      <c r="K36" s="504"/>
      <c r="L36" s="504"/>
      <c r="M36" s="504"/>
      <c r="N36" s="504"/>
      <c r="O36" s="504"/>
      <c r="P36" s="504"/>
      <c r="Q36" s="504"/>
      <c r="R36" s="505"/>
    </row>
    <row r="37" spans="2:18" ht="13.15" customHeight="1" x14ac:dyDescent="0.2">
      <c r="B37" s="503"/>
      <c r="C37" s="504"/>
      <c r="D37" s="504"/>
      <c r="E37" s="504"/>
      <c r="F37" s="504"/>
      <c r="G37" s="504"/>
      <c r="H37" s="504"/>
      <c r="I37" s="504"/>
      <c r="J37" s="504"/>
      <c r="K37" s="504"/>
      <c r="L37" s="504"/>
      <c r="M37" s="504"/>
      <c r="N37" s="504"/>
      <c r="O37" s="504"/>
      <c r="P37" s="504"/>
      <c r="Q37" s="504"/>
      <c r="R37" s="505"/>
    </row>
    <row r="38" spans="2:18" ht="13.15" customHeight="1" x14ac:dyDescent="0.2">
      <c r="B38" s="503"/>
      <c r="C38" s="504"/>
      <c r="D38" s="504"/>
      <c r="E38" s="504"/>
      <c r="F38" s="504"/>
      <c r="G38" s="504"/>
      <c r="H38" s="504"/>
      <c r="I38" s="504"/>
      <c r="J38" s="504"/>
      <c r="K38" s="504"/>
      <c r="L38" s="504"/>
      <c r="M38" s="504"/>
      <c r="N38" s="504"/>
      <c r="O38" s="504"/>
      <c r="P38" s="504"/>
      <c r="Q38" s="504"/>
      <c r="R38" s="505"/>
    </row>
    <row r="39" spans="2:18" ht="13.15" customHeight="1" x14ac:dyDescent="0.2">
      <c r="B39" s="503"/>
      <c r="C39" s="504"/>
      <c r="D39" s="504"/>
      <c r="E39" s="504"/>
      <c r="F39" s="504"/>
      <c r="G39" s="504"/>
      <c r="H39" s="504"/>
      <c r="I39" s="504"/>
      <c r="J39" s="504"/>
      <c r="K39" s="504"/>
      <c r="L39" s="504"/>
      <c r="M39" s="504"/>
      <c r="N39" s="504"/>
      <c r="O39" s="504"/>
      <c r="P39" s="504"/>
      <c r="Q39" s="504"/>
      <c r="R39" s="505"/>
    </row>
    <row r="40" spans="2:18" ht="13.15" customHeight="1" x14ac:dyDescent="0.2">
      <c r="B40" s="503"/>
      <c r="C40" s="504"/>
      <c r="D40" s="504"/>
      <c r="E40" s="504"/>
      <c r="F40" s="504"/>
      <c r="G40" s="504"/>
      <c r="H40" s="504"/>
      <c r="I40" s="504"/>
      <c r="J40" s="504"/>
      <c r="K40" s="504"/>
      <c r="L40" s="504"/>
      <c r="M40" s="504"/>
      <c r="N40" s="504"/>
      <c r="O40" s="504"/>
      <c r="P40" s="504"/>
      <c r="Q40" s="504"/>
      <c r="R40" s="505"/>
    </row>
    <row r="41" spans="2:18" ht="13.15" customHeight="1" x14ac:dyDescent="0.2">
      <c r="B41" s="503"/>
      <c r="C41" s="504"/>
      <c r="D41" s="504"/>
      <c r="E41" s="504"/>
      <c r="F41" s="504"/>
      <c r="G41" s="504"/>
      <c r="H41" s="504"/>
      <c r="I41" s="504"/>
      <c r="J41" s="504"/>
      <c r="K41" s="504"/>
      <c r="L41" s="504"/>
      <c r="M41" s="504"/>
      <c r="N41" s="504"/>
      <c r="O41" s="504"/>
      <c r="P41" s="504"/>
      <c r="Q41" s="504"/>
      <c r="R41" s="505"/>
    </row>
    <row r="42" spans="2:18" ht="13.15" customHeight="1" x14ac:dyDescent="0.2">
      <c r="B42" s="503"/>
      <c r="C42" s="504"/>
      <c r="D42" s="504"/>
      <c r="E42" s="504"/>
      <c r="F42" s="504"/>
      <c r="G42" s="504"/>
      <c r="H42" s="504"/>
      <c r="I42" s="504"/>
      <c r="J42" s="504"/>
      <c r="K42" s="504"/>
      <c r="L42" s="504"/>
      <c r="M42" s="504"/>
      <c r="N42" s="504"/>
      <c r="O42" s="504"/>
      <c r="P42" s="504"/>
      <c r="Q42" s="504"/>
      <c r="R42" s="505"/>
    </row>
    <row r="43" spans="2:18" ht="13.15" customHeight="1" x14ac:dyDescent="0.2">
      <c r="B43" s="503"/>
      <c r="C43" s="504"/>
      <c r="D43" s="504"/>
      <c r="E43" s="504"/>
      <c r="F43" s="504"/>
      <c r="G43" s="504"/>
      <c r="H43" s="504"/>
      <c r="I43" s="504"/>
      <c r="J43" s="504"/>
      <c r="K43" s="504"/>
      <c r="L43" s="504"/>
      <c r="M43" s="504"/>
      <c r="N43" s="504"/>
      <c r="O43" s="504"/>
      <c r="P43" s="504"/>
      <c r="Q43" s="504"/>
      <c r="R43" s="505"/>
    </row>
    <row r="44" spans="2:18" ht="13.15" customHeight="1" x14ac:dyDescent="0.2">
      <c r="B44" s="503"/>
      <c r="C44" s="504"/>
      <c r="D44" s="504"/>
      <c r="E44" s="504"/>
      <c r="F44" s="504"/>
      <c r="G44" s="504"/>
      <c r="H44" s="504"/>
      <c r="I44" s="504"/>
      <c r="J44" s="504"/>
      <c r="K44" s="504"/>
      <c r="L44" s="504"/>
      <c r="M44" s="504"/>
      <c r="N44" s="504"/>
      <c r="O44" s="504"/>
      <c r="P44" s="504"/>
      <c r="Q44" s="504"/>
      <c r="R44" s="505"/>
    </row>
    <row r="45" spans="2:18" ht="13.15" customHeight="1" x14ac:dyDescent="0.2">
      <c r="B45" s="503"/>
      <c r="C45" s="504"/>
      <c r="D45" s="504"/>
      <c r="E45" s="504"/>
      <c r="F45" s="504"/>
      <c r="G45" s="504"/>
      <c r="H45" s="504"/>
      <c r="I45" s="504"/>
      <c r="J45" s="504"/>
      <c r="K45" s="504"/>
      <c r="L45" s="504"/>
      <c r="M45" s="504"/>
      <c r="N45" s="504"/>
      <c r="O45" s="504"/>
      <c r="P45" s="504"/>
      <c r="Q45" s="504"/>
      <c r="R45" s="505"/>
    </row>
    <row r="46" spans="2:18" ht="13.15" customHeight="1" x14ac:dyDescent="0.2">
      <c r="B46" s="503"/>
      <c r="C46" s="504"/>
      <c r="D46" s="504"/>
      <c r="E46" s="504"/>
      <c r="F46" s="504"/>
      <c r="G46" s="504"/>
      <c r="H46" s="504"/>
      <c r="I46" s="504"/>
      <c r="J46" s="504"/>
      <c r="K46" s="504"/>
      <c r="L46" s="504"/>
      <c r="M46" s="504"/>
      <c r="N46" s="504"/>
      <c r="O46" s="504"/>
      <c r="P46" s="504"/>
      <c r="Q46" s="504"/>
      <c r="R46" s="505"/>
    </row>
    <row r="47" spans="2:18" ht="13.15" customHeight="1" x14ac:dyDescent="0.2">
      <c r="B47" s="503"/>
      <c r="C47" s="504"/>
      <c r="D47" s="504"/>
      <c r="E47" s="504"/>
      <c r="F47" s="504"/>
      <c r="G47" s="504"/>
      <c r="H47" s="504"/>
      <c r="I47" s="504"/>
      <c r="J47" s="504"/>
      <c r="K47" s="504"/>
      <c r="L47" s="504"/>
      <c r="M47" s="504"/>
      <c r="N47" s="504"/>
      <c r="O47" s="504"/>
      <c r="P47" s="504"/>
      <c r="Q47" s="504"/>
      <c r="R47" s="505"/>
    </row>
    <row r="48" spans="2:18" ht="13.15" customHeight="1" x14ac:dyDescent="0.2">
      <c r="B48" s="503"/>
      <c r="C48" s="504"/>
      <c r="D48" s="504"/>
      <c r="E48" s="504"/>
      <c r="F48" s="504"/>
      <c r="G48" s="504"/>
      <c r="H48" s="504"/>
      <c r="I48" s="504"/>
      <c r="J48" s="504"/>
      <c r="K48" s="504"/>
      <c r="L48" s="504"/>
      <c r="M48" s="504"/>
      <c r="N48" s="504"/>
      <c r="O48" s="504"/>
      <c r="P48" s="504"/>
      <c r="Q48" s="504"/>
      <c r="R48" s="505"/>
    </row>
    <row r="49" spans="2:18" ht="13.15" customHeight="1" x14ac:dyDescent="0.2">
      <c r="B49" s="503"/>
      <c r="C49" s="504"/>
      <c r="D49" s="504"/>
      <c r="E49" s="504"/>
      <c r="F49" s="504"/>
      <c r="G49" s="504"/>
      <c r="H49" s="504"/>
      <c r="I49" s="504"/>
      <c r="J49" s="504"/>
      <c r="K49" s="504"/>
      <c r="L49" s="504"/>
      <c r="M49" s="504"/>
      <c r="N49" s="504"/>
      <c r="O49" s="504"/>
      <c r="P49" s="504"/>
      <c r="Q49" s="504"/>
      <c r="R49" s="505"/>
    </row>
    <row r="50" spans="2:18" ht="13.15" customHeight="1" x14ac:dyDescent="0.2">
      <c r="B50" s="503"/>
      <c r="C50" s="504"/>
      <c r="D50" s="504"/>
      <c r="E50" s="504"/>
      <c r="F50" s="504"/>
      <c r="G50" s="504"/>
      <c r="H50" s="504"/>
      <c r="I50" s="504"/>
      <c r="J50" s="504"/>
      <c r="K50" s="504"/>
      <c r="L50" s="504"/>
      <c r="M50" s="504"/>
      <c r="N50" s="504"/>
      <c r="O50" s="504"/>
      <c r="P50" s="504"/>
      <c r="Q50" s="504"/>
      <c r="R50" s="505"/>
    </row>
    <row r="51" spans="2:18" ht="13.15" customHeight="1" x14ac:dyDescent="0.2">
      <c r="B51" s="503"/>
      <c r="C51" s="504"/>
      <c r="D51" s="504"/>
      <c r="E51" s="504"/>
      <c r="F51" s="504"/>
      <c r="G51" s="504"/>
      <c r="H51" s="504"/>
      <c r="I51" s="504"/>
      <c r="J51" s="504"/>
      <c r="K51" s="504"/>
      <c r="L51" s="504"/>
      <c r="M51" s="504"/>
      <c r="N51" s="504"/>
      <c r="O51" s="504"/>
      <c r="P51" s="504"/>
      <c r="Q51" s="504"/>
      <c r="R51" s="505"/>
    </row>
    <row r="52" spans="2:18" ht="13.15" customHeight="1" x14ac:dyDescent="0.2">
      <c r="B52" s="503"/>
      <c r="C52" s="504"/>
      <c r="D52" s="504"/>
      <c r="E52" s="504"/>
      <c r="F52" s="504"/>
      <c r="G52" s="504"/>
      <c r="H52" s="504"/>
      <c r="I52" s="504"/>
      <c r="J52" s="504"/>
      <c r="K52" s="504"/>
      <c r="L52" s="504"/>
      <c r="M52" s="504"/>
      <c r="N52" s="504"/>
      <c r="O52" s="504"/>
      <c r="P52" s="504"/>
      <c r="Q52" s="504"/>
      <c r="R52" s="505"/>
    </row>
    <row r="53" spans="2:18" ht="13.15" customHeight="1" x14ac:dyDescent="0.2">
      <c r="B53" s="503"/>
      <c r="C53" s="504"/>
      <c r="D53" s="504"/>
      <c r="E53" s="504"/>
      <c r="F53" s="504"/>
      <c r="G53" s="504"/>
      <c r="H53" s="504"/>
      <c r="I53" s="504"/>
      <c r="J53" s="504"/>
      <c r="K53" s="504"/>
      <c r="L53" s="504"/>
      <c r="M53" s="504"/>
      <c r="N53" s="504"/>
      <c r="O53" s="504"/>
      <c r="P53" s="504"/>
      <c r="Q53" s="504"/>
      <c r="R53" s="505"/>
    </row>
    <row r="54" spans="2:18" ht="13.15" customHeight="1" x14ac:dyDescent="0.2">
      <c r="B54" s="503"/>
      <c r="C54" s="504"/>
      <c r="D54" s="504"/>
      <c r="E54" s="504"/>
      <c r="F54" s="504"/>
      <c r="G54" s="504"/>
      <c r="H54" s="504"/>
      <c r="I54" s="504"/>
      <c r="J54" s="504"/>
      <c r="K54" s="504"/>
      <c r="L54" s="504"/>
      <c r="M54" s="504"/>
      <c r="N54" s="504"/>
      <c r="O54" s="504"/>
      <c r="P54" s="504"/>
      <c r="Q54" s="504"/>
      <c r="R54" s="505"/>
    </row>
    <row r="55" spans="2:18" ht="13.15" customHeight="1" x14ac:dyDescent="0.2">
      <c r="B55" s="503"/>
      <c r="C55" s="504"/>
      <c r="D55" s="504"/>
      <c r="E55" s="504"/>
      <c r="F55" s="504"/>
      <c r="G55" s="504"/>
      <c r="H55" s="504"/>
      <c r="I55" s="504"/>
      <c r="J55" s="504"/>
      <c r="K55" s="504"/>
      <c r="L55" s="504"/>
      <c r="M55" s="504"/>
      <c r="N55" s="504"/>
      <c r="O55" s="504"/>
      <c r="P55" s="504"/>
      <c r="Q55" s="504"/>
      <c r="R55" s="505"/>
    </row>
    <row r="56" spans="2:18" ht="13.15" customHeight="1" x14ac:dyDescent="0.2">
      <c r="B56" s="503"/>
      <c r="C56" s="504"/>
      <c r="D56" s="504"/>
      <c r="E56" s="504"/>
      <c r="F56" s="504"/>
      <c r="G56" s="504"/>
      <c r="H56" s="504"/>
      <c r="I56" s="504"/>
      <c r="J56" s="504"/>
      <c r="K56" s="504"/>
      <c r="L56" s="504"/>
      <c r="M56" s="504"/>
      <c r="N56" s="504"/>
      <c r="O56" s="504"/>
      <c r="P56" s="504"/>
      <c r="Q56" s="504"/>
      <c r="R56" s="505"/>
    </row>
    <row r="57" spans="2:18" ht="13.15" customHeight="1" x14ac:dyDescent="0.2">
      <c r="B57" s="503"/>
      <c r="C57" s="504"/>
      <c r="D57" s="504"/>
      <c r="E57" s="504"/>
      <c r="F57" s="504"/>
      <c r="G57" s="504"/>
      <c r="H57" s="504"/>
      <c r="I57" s="504"/>
      <c r="J57" s="504"/>
      <c r="K57" s="504"/>
      <c r="L57" s="504"/>
      <c r="M57" s="504"/>
      <c r="N57" s="504"/>
      <c r="O57" s="504"/>
      <c r="P57" s="504"/>
      <c r="Q57" s="504"/>
      <c r="R57" s="505"/>
    </row>
    <row r="58" spans="2:18" ht="13.15" customHeight="1" x14ac:dyDescent="0.2">
      <c r="B58" s="503"/>
      <c r="C58" s="504"/>
      <c r="D58" s="504"/>
      <c r="E58" s="504"/>
      <c r="F58" s="504"/>
      <c r="G58" s="504"/>
      <c r="H58" s="504"/>
      <c r="I58" s="504"/>
      <c r="J58" s="504"/>
      <c r="K58" s="504"/>
      <c r="L58" s="504"/>
      <c r="M58" s="504"/>
      <c r="N58" s="504"/>
      <c r="O58" s="504"/>
      <c r="P58" s="504"/>
      <c r="Q58" s="504"/>
      <c r="R58" s="505"/>
    </row>
    <row r="59" spans="2:18" ht="13.15" customHeight="1" x14ac:dyDescent="0.2">
      <c r="B59" s="503"/>
      <c r="C59" s="504"/>
      <c r="D59" s="504"/>
      <c r="E59" s="504"/>
      <c r="F59" s="504"/>
      <c r="G59" s="504"/>
      <c r="H59" s="504"/>
      <c r="I59" s="504"/>
      <c r="J59" s="504"/>
      <c r="K59" s="504"/>
      <c r="L59" s="504"/>
      <c r="M59" s="504"/>
      <c r="N59" s="504"/>
      <c r="O59" s="504"/>
      <c r="P59" s="504"/>
      <c r="Q59" s="504"/>
      <c r="R59" s="505"/>
    </row>
    <row r="60" spans="2:18" ht="13.15" customHeight="1" x14ac:dyDescent="0.2">
      <c r="B60" s="503"/>
      <c r="C60" s="504"/>
      <c r="D60" s="504"/>
      <c r="E60" s="504"/>
      <c r="F60" s="504"/>
      <c r="G60" s="504"/>
      <c r="H60" s="504"/>
      <c r="I60" s="504"/>
      <c r="J60" s="504"/>
      <c r="K60" s="504"/>
      <c r="L60" s="504"/>
      <c r="M60" s="504"/>
      <c r="N60" s="504"/>
      <c r="O60" s="504"/>
      <c r="P60" s="504"/>
      <c r="Q60" s="504"/>
      <c r="R60" s="505"/>
    </row>
    <row r="61" spans="2:18" ht="13.15" customHeight="1" x14ac:dyDescent="0.2">
      <c r="B61" s="503"/>
      <c r="C61" s="504"/>
      <c r="D61" s="504"/>
      <c r="E61" s="504"/>
      <c r="F61" s="504"/>
      <c r="G61" s="504"/>
      <c r="H61" s="504"/>
      <c r="I61" s="504"/>
      <c r="J61" s="504"/>
      <c r="K61" s="504"/>
      <c r="L61" s="504"/>
      <c r="M61" s="504"/>
      <c r="N61" s="504"/>
      <c r="O61" s="504"/>
      <c r="P61" s="504"/>
      <c r="Q61" s="504"/>
      <c r="R61" s="505"/>
    </row>
    <row r="62" spans="2:18" ht="13.15" customHeight="1" x14ac:dyDescent="0.2">
      <c r="B62" s="503"/>
      <c r="C62" s="504"/>
      <c r="D62" s="504"/>
      <c r="E62" s="504"/>
      <c r="F62" s="504"/>
      <c r="G62" s="504"/>
      <c r="H62" s="504"/>
      <c r="I62" s="504"/>
      <c r="J62" s="504"/>
      <c r="K62" s="504"/>
      <c r="L62" s="504"/>
      <c r="M62" s="504"/>
      <c r="N62" s="504"/>
      <c r="O62" s="504"/>
      <c r="P62" s="504"/>
      <c r="Q62" s="504"/>
      <c r="R62" s="505"/>
    </row>
    <row r="63" spans="2:18" ht="13.15" customHeight="1" x14ac:dyDescent="0.2">
      <c r="B63" s="503"/>
      <c r="C63" s="504"/>
      <c r="D63" s="504"/>
      <c r="E63" s="504"/>
      <c r="F63" s="504"/>
      <c r="G63" s="504"/>
      <c r="H63" s="504"/>
      <c r="I63" s="504"/>
      <c r="J63" s="504"/>
      <c r="K63" s="504"/>
      <c r="L63" s="504"/>
      <c r="M63" s="504"/>
      <c r="N63" s="504"/>
      <c r="O63" s="504"/>
      <c r="P63" s="504"/>
      <c r="Q63" s="504"/>
      <c r="R63" s="505"/>
    </row>
    <row r="64" spans="2:18" ht="13.15" customHeight="1" x14ac:dyDescent="0.2">
      <c r="B64" s="503"/>
      <c r="C64" s="504"/>
      <c r="D64" s="504"/>
      <c r="E64" s="504"/>
      <c r="F64" s="504"/>
      <c r="G64" s="504"/>
      <c r="H64" s="504"/>
      <c r="I64" s="504"/>
      <c r="J64" s="504"/>
      <c r="K64" s="504"/>
      <c r="L64" s="504"/>
      <c r="M64" s="504"/>
      <c r="N64" s="504"/>
      <c r="O64" s="504"/>
      <c r="P64" s="504"/>
      <c r="Q64" s="504"/>
      <c r="R64" s="505"/>
    </row>
    <row r="65" spans="2:18" ht="13.15" customHeight="1" x14ac:dyDescent="0.2">
      <c r="B65" s="503"/>
      <c r="C65" s="504"/>
      <c r="D65" s="504"/>
      <c r="E65" s="504"/>
      <c r="F65" s="504"/>
      <c r="G65" s="504"/>
      <c r="H65" s="504"/>
      <c r="I65" s="504"/>
      <c r="J65" s="504"/>
      <c r="K65" s="504"/>
      <c r="L65" s="504"/>
      <c r="M65" s="504"/>
      <c r="N65" s="504"/>
      <c r="O65" s="504"/>
      <c r="P65" s="504"/>
      <c r="Q65" s="504"/>
      <c r="R65" s="505"/>
    </row>
    <row r="66" spans="2:18" ht="13.15" customHeight="1" x14ac:dyDescent="0.2">
      <c r="B66" s="503"/>
      <c r="C66" s="504"/>
      <c r="D66" s="504"/>
      <c r="E66" s="504"/>
      <c r="F66" s="504"/>
      <c r="G66" s="504"/>
      <c r="H66" s="504"/>
      <c r="I66" s="504"/>
      <c r="J66" s="504"/>
      <c r="K66" s="504"/>
      <c r="L66" s="504"/>
      <c r="M66" s="504"/>
      <c r="N66" s="504"/>
      <c r="O66" s="504"/>
      <c r="P66" s="504"/>
      <c r="Q66" s="504"/>
      <c r="R66" s="505"/>
    </row>
    <row r="67" spans="2:18" ht="13.15" customHeight="1" x14ac:dyDescent="0.2">
      <c r="B67" s="503"/>
      <c r="C67" s="504"/>
      <c r="D67" s="504"/>
      <c r="E67" s="504"/>
      <c r="F67" s="504"/>
      <c r="G67" s="504"/>
      <c r="H67" s="504"/>
      <c r="I67" s="504"/>
      <c r="J67" s="504"/>
      <c r="K67" s="504"/>
      <c r="L67" s="504"/>
      <c r="M67" s="504"/>
      <c r="N67" s="504"/>
      <c r="O67" s="504"/>
      <c r="P67" s="504"/>
      <c r="Q67" s="504"/>
      <c r="R67" s="505"/>
    </row>
    <row r="68" spans="2:18" ht="13.15" customHeight="1" x14ac:dyDescent="0.2">
      <c r="B68" s="503"/>
      <c r="C68" s="504"/>
      <c r="D68" s="504"/>
      <c r="E68" s="504"/>
      <c r="F68" s="504"/>
      <c r="G68" s="504"/>
      <c r="H68" s="504"/>
      <c r="I68" s="504"/>
      <c r="J68" s="504"/>
      <c r="K68" s="504"/>
      <c r="L68" s="504"/>
      <c r="M68" s="504"/>
      <c r="N68" s="504"/>
      <c r="O68" s="504"/>
      <c r="P68" s="504"/>
      <c r="Q68" s="504"/>
      <c r="R68" s="505"/>
    </row>
    <row r="69" spans="2:18" ht="13.15" customHeight="1" x14ac:dyDescent="0.2">
      <c r="B69" s="503"/>
      <c r="C69" s="504"/>
      <c r="D69" s="504"/>
      <c r="E69" s="504"/>
      <c r="F69" s="504"/>
      <c r="G69" s="504"/>
      <c r="H69" s="504"/>
      <c r="I69" s="504"/>
      <c r="J69" s="504"/>
      <c r="K69" s="504"/>
      <c r="L69" s="504"/>
      <c r="M69" s="504"/>
      <c r="N69" s="504"/>
      <c r="O69" s="504"/>
      <c r="P69" s="504"/>
      <c r="Q69" s="504"/>
      <c r="R69" s="505"/>
    </row>
    <row r="70" spans="2:18" ht="13.15" customHeight="1" x14ac:dyDescent="0.2">
      <c r="B70" s="503"/>
      <c r="C70" s="504"/>
      <c r="D70" s="504"/>
      <c r="E70" s="504"/>
      <c r="F70" s="504"/>
      <c r="G70" s="504"/>
      <c r="H70" s="504"/>
      <c r="I70" s="504"/>
      <c r="J70" s="504"/>
      <c r="K70" s="504"/>
      <c r="L70" s="504"/>
      <c r="M70" s="504"/>
      <c r="N70" s="504"/>
      <c r="O70" s="504"/>
      <c r="P70" s="504"/>
      <c r="Q70" s="504"/>
      <c r="R70" s="505"/>
    </row>
    <row r="71" spans="2:18" ht="13.15" customHeight="1" x14ac:dyDescent="0.2">
      <c r="B71" s="503"/>
      <c r="C71" s="504"/>
      <c r="D71" s="504"/>
      <c r="E71" s="504"/>
      <c r="F71" s="504"/>
      <c r="G71" s="504"/>
      <c r="H71" s="504"/>
      <c r="I71" s="504"/>
      <c r="J71" s="504"/>
      <c r="K71" s="504"/>
      <c r="L71" s="504"/>
      <c r="M71" s="504"/>
      <c r="N71" s="504"/>
      <c r="O71" s="504"/>
      <c r="P71" s="504"/>
      <c r="Q71" s="504"/>
      <c r="R71" s="505"/>
    </row>
    <row r="72" spans="2:18" ht="13.15" customHeight="1" x14ac:dyDescent="0.2">
      <c r="B72" s="503"/>
      <c r="C72" s="504"/>
      <c r="D72" s="504"/>
      <c r="E72" s="504"/>
      <c r="F72" s="504"/>
      <c r="G72" s="504"/>
      <c r="H72" s="504"/>
      <c r="I72" s="504"/>
      <c r="J72" s="504"/>
      <c r="K72" s="504"/>
      <c r="L72" s="504"/>
      <c r="M72" s="504"/>
      <c r="N72" s="504"/>
      <c r="O72" s="504"/>
      <c r="P72" s="504"/>
      <c r="Q72" s="504"/>
      <c r="R72" s="505"/>
    </row>
    <row r="73" spans="2:18" ht="13.15" customHeight="1" x14ac:dyDescent="0.2">
      <c r="B73" s="503"/>
      <c r="C73" s="504"/>
      <c r="D73" s="504"/>
      <c r="E73" s="504"/>
      <c r="F73" s="504"/>
      <c r="G73" s="504"/>
      <c r="H73" s="504"/>
      <c r="I73" s="504"/>
      <c r="J73" s="504"/>
      <c r="K73" s="504"/>
      <c r="L73" s="504"/>
      <c r="M73" s="504"/>
      <c r="N73" s="504"/>
      <c r="O73" s="504"/>
      <c r="P73" s="504"/>
      <c r="Q73" s="504"/>
      <c r="R73" s="505"/>
    </row>
    <row r="74" spans="2:18" ht="13.15" customHeight="1" x14ac:dyDescent="0.2">
      <c r="B74" s="503"/>
      <c r="C74" s="504"/>
      <c r="D74" s="504"/>
      <c r="E74" s="504"/>
      <c r="F74" s="504"/>
      <c r="G74" s="504"/>
      <c r="H74" s="504"/>
      <c r="I74" s="504"/>
      <c r="J74" s="504"/>
      <c r="K74" s="504"/>
      <c r="L74" s="504"/>
      <c r="M74" s="504"/>
      <c r="N74" s="504"/>
      <c r="O74" s="504"/>
      <c r="P74" s="504"/>
      <c r="Q74" s="1329" t="s">
        <v>716</v>
      </c>
      <c r="R74" s="505"/>
    </row>
    <row r="75" spans="2:18" ht="13.15" customHeight="1" x14ac:dyDescent="0.2">
      <c r="B75" s="503"/>
      <c r="C75" s="504"/>
      <c r="D75" s="504"/>
      <c r="E75" s="504"/>
      <c r="F75" s="504"/>
      <c r="G75" s="504"/>
      <c r="H75" s="504"/>
      <c r="I75" s="504"/>
      <c r="J75" s="504"/>
      <c r="K75" s="504"/>
      <c r="L75" s="504"/>
      <c r="M75" s="504"/>
      <c r="N75" s="504"/>
      <c r="O75" s="504"/>
      <c r="P75" s="504"/>
      <c r="Q75" s="504"/>
      <c r="R75" s="505"/>
    </row>
    <row r="76" spans="2:18" ht="13.15" customHeight="1" x14ac:dyDescent="0.2">
      <c r="B76" s="503"/>
      <c r="C76" s="504"/>
      <c r="D76" s="504"/>
      <c r="E76" s="504"/>
      <c r="F76" s="504"/>
      <c r="G76" s="504"/>
      <c r="H76" s="504"/>
      <c r="I76" s="504"/>
      <c r="J76" s="504"/>
      <c r="K76" s="504"/>
      <c r="L76" s="504"/>
      <c r="M76" s="504"/>
      <c r="N76" s="504"/>
      <c r="O76" s="504"/>
      <c r="P76" s="504"/>
      <c r="Q76" s="504"/>
      <c r="R76" s="505"/>
    </row>
    <row r="77" spans="2:18" ht="13.15" customHeight="1" x14ac:dyDescent="0.2">
      <c r="B77" s="503"/>
      <c r="C77" s="504"/>
      <c r="D77" s="504"/>
      <c r="E77" s="504"/>
      <c r="F77" s="504"/>
      <c r="G77" s="504"/>
      <c r="H77" s="504"/>
      <c r="I77" s="504"/>
      <c r="J77" s="504"/>
      <c r="K77" s="504"/>
      <c r="L77" s="504"/>
      <c r="M77" s="504"/>
      <c r="N77" s="504"/>
      <c r="O77" s="504"/>
      <c r="P77" s="504"/>
      <c r="Q77" s="504"/>
      <c r="R77" s="505"/>
    </row>
    <row r="78" spans="2:18" ht="13.15" customHeight="1" x14ac:dyDescent="0.2">
      <c r="B78" s="503"/>
      <c r="C78" s="504"/>
      <c r="D78" s="504"/>
      <c r="E78" s="504"/>
      <c r="F78" s="504"/>
      <c r="G78" s="504"/>
      <c r="H78" s="504"/>
      <c r="I78" s="504"/>
      <c r="J78" s="504"/>
      <c r="K78" s="504"/>
      <c r="L78" s="504"/>
      <c r="M78" s="504"/>
      <c r="N78" s="504"/>
      <c r="O78" s="504"/>
      <c r="P78" s="504"/>
      <c r="Q78" s="504"/>
      <c r="R78" s="505"/>
    </row>
    <row r="79" spans="2:18" ht="13.15" customHeight="1" x14ac:dyDescent="0.2">
      <c r="B79" s="503"/>
      <c r="C79" s="504"/>
      <c r="D79" s="504"/>
      <c r="E79" s="504"/>
      <c r="F79" s="504"/>
      <c r="G79" s="504"/>
      <c r="H79" s="504"/>
      <c r="I79" s="504"/>
      <c r="J79" s="504"/>
      <c r="K79" s="504"/>
      <c r="L79" s="504"/>
      <c r="M79" s="504"/>
      <c r="N79" s="504"/>
      <c r="O79" s="504"/>
      <c r="P79" s="504"/>
      <c r="Q79" s="504"/>
      <c r="R79" s="505"/>
    </row>
    <row r="80" spans="2:18" ht="13.15" customHeight="1" x14ac:dyDescent="0.2">
      <c r="B80" s="503"/>
      <c r="C80" s="504"/>
      <c r="D80" s="504"/>
      <c r="E80" s="504"/>
      <c r="F80" s="504"/>
      <c r="G80" s="504"/>
      <c r="H80" s="504"/>
      <c r="I80" s="504"/>
      <c r="J80" s="504"/>
      <c r="K80" s="504"/>
      <c r="L80" s="504"/>
      <c r="M80" s="504"/>
      <c r="N80" s="504"/>
      <c r="O80" s="504"/>
      <c r="P80" s="504"/>
      <c r="Q80" s="504"/>
      <c r="R80" s="505"/>
    </row>
    <row r="81" spans="2:18" ht="13.15" customHeight="1" x14ac:dyDescent="0.2">
      <c r="B81" s="503"/>
      <c r="C81" s="504"/>
      <c r="D81" s="504"/>
      <c r="E81" s="504"/>
      <c r="F81" s="504"/>
      <c r="G81" s="504"/>
      <c r="H81" s="504"/>
      <c r="I81" s="504"/>
      <c r="J81" s="504"/>
      <c r="K81" s="504"/>
      <c r="L81" s="504"/>
      <c r="M81" s="504"/>
      <c r="N81" s="504"/>
      <c r="O81" s="504"/>
      <c r="P81" s="504"/>
      <c r="Q81" s="504"/>
      <c r="R81" s="505"/>
    </row>
    <row r="82" spans="2:18" ht="13.15" customHeight="1" x14ac:dyDescent="0.2">
      <c r="B82" s="503"/>
      <c r="C82" s="504"/>
      <c r="D82" s="504"/>
      <c r="E82" s="504"/>
      <c r="F82" s="504"/>
      <c r="G82" s="504"/>
      <c r="H82" s="504"/>
      <c r="I82" s="504"/>
      <c r="J82" s="504"/>
      <c r="K82" s="504"/>
      <c r="L82" s="504"/>
      <c r="M82" s="504"/>
      <c r="N82" s="504"/>
      <c r="O82" s="504"/>
      <c r="P82" s="504"/>
      <c r="Q82" s="504"/>
      <c r="R82" s="505"/>
    </row>
    <row r="83" spans="2:18" ht="13.15" customHeight="1" x14ac:dyDescent="0.2">
      <c r="B83" s="503"/>
      <c r="C83" s="504"/>
      <c r="D83" s="504"/>
      <c r="E83" s="504"/>
      <c r="F83" s="504"/>
      <c r="G83" s="504"/>
      <c r="H83" s="504"/>
      <c r="I83" s="504"/>
      <c r="J83" s="504"/>
      <c r="K83" s="504"/>
      <c r="L83" s="504"/>
      <c r="M83" s="504"/>
      <c r="N83" s="504"/>
      <c r="O83" s="504"/>
      <c r="P83" s="504"/>
      <c r="Q83" s="504"/>
      <c r="R83" s="505"/>
    </row>
    <row r="84" spans="2:18" ht="13.15" customHeight="1" x14ac:dyDescent="0.2">
      <c r="B84" s="503"/>
      <c r="C84" s="504"/>
      <c r="D84" s="504"/>
      <c r="E84" s="504"/>
      <c r="F84" s="504"/>
      <c r="G84" s="504"/>
      <c r="H84" s="504"/>
      <c r="I84" s="504"/>
      <c r="J84" s="504"/>
      <c r="K84" s="504"/>
      <c r="L84" s="504"/>
      <c r="M84" s="504"/>
      <c r="N84" s="504"/>
      <c r="O84" s="504"/>
      <c r="P84" s="504"/>
      <c r="Q84" s="504"/>
      <c r="R84" s="505"/>
    </row>
    <row r="85" spans="2:18" ht="13.15" customHeight="1" x14ac:dyDescent="0.2">
      <c r="B85" s="503"/>
      <c r="C85" s="504"/>
      <c r="D85" s="504"/>
      <c r="E85" s="504"/>
      <c r="F85" s="504"/>
      <c r="G85" s="504"/>
      <c r="H85" s="504"/>
      <c r="I85" s="504"/>
      <c r="J85" s="504"/>
      <c r="K85" s="504"/>
      <c r="L85" s="504"/>
      <c r="M85" s="504"/>
      <c r="N85" s="504"/>
      <c r="O85" s="504"/>
      <c r="P85" s="504"/>
      <c r="Q85" s="504"/>
      <c r="R85" s="505"/>
    </row>
    <row r="86" spans="2:18" ht="13.15" customHeight="1" x14ac:dyDescent="0.2">
      <c r="B86" s="503"/>
      <c r="C86" s="504"/>
      <c r="D86" s="504"/>
      <c r="E86" s="504"/>
      <c r="F86" s="504"/>
      <c r="G86" s="504"/>
      <c r="H86" s="504"/>
      <c r="I86" s="504"/>
      <c r="J86" s="504"/>
      <c r="K86" s="504"/>
      <c r="L86" s="504"/>
      <c r="M86" s="504"/>
      <c r="N86" s="504"/>
      <c r="O86" s="504"/>
      <c r="P86" s="504"/>
      <c r="Q86" s="504"/>
      <c r="R86" s="505"/>
    </row>
    <row r="87" spans="2:18" ht="13.15" customHeight="1" x14ac:dyDescent="0.2">
      <c r="B87" s="503"/>
      <c r="C87" s="504"/>
      <c r="D87" s="504"/>
      <c r="E87" s="504"/>
      <c r="F87" s="504"/>
      <c r="G87" s="504"/>
      <c r="H87" s="504"/>
      <c r="I87" s="504"/>
      <c r="J87" s="504"/>
      <c r="K87" s="504"/>
      <c r="L87" s="504"/>
      <c r="M87" s="504"/>
      <c r="N87" s="504"/>
      <c r="O87" s="504"/>
      <c r="P87" s="504"/>
      <c r="Q87" s="504"/>
      <c r="R87" s="505"/>
    </row>
    <row r="88" spans="2:18" ht="13.15" customHeight="1" x14ac:dyDescent="0.2">
      <c r="B88" s="503"/>
      <c r="C88" s="504"/>
      <c r="D88" s="504"/>
      <c r="E88" s="504"/>
      <c r="F88" s="504"/>
      <c r="G88" s="504"/>
      <c r="H88" s="504"/>
      <c r="I88" s="504"/>
      <c r="J88" s="504"/>
      <c r="K88" s="504"/>
      <c r="L88" s="504"/>
      <c r="M88" s="504"/>
      <c r="N88" s="504"/>
      <c r="O88" s="504"/>
      <c r="P88" s="504"/>
      <c r="Q88" s="504"/>
      <c r="R88" s="505"/>
    </row>
    <row r="89" spans="2:18" ht="13.15" customHeight="1" x14ac:dyDescent="0.2">
      <c r="B89" s="503"/>
      <c r="C89" s="504"/>
      <c r="D89" s="504"/>
      <c r="E89" s="504"/>
      <c r="F89" s="504"/>
      <c r="G89" s="504"/>
      <c r="H89" s="504"/>
      <c r="I89" s="504"/>
      <c r="J89" s="504"/>
      <c r="K89" s="504"/>
      <c r="L89" s="504"/>
      <c r="M89" s="504"/>
      <c r="N89" s="504"/>
      <c r="O89" s="504"/>
      <c r="P89" s="504"/>
      <c r="Q89" s="504"/>
      <c r="R89" s="505"/>
    </row>
    <row r="90" spans="2:18" ht="13.15" customHeight="1" x14ac:dyDescent="0.2">
      <c r="B90" s="503"/>
      <c r="C90" s="504"/>
      <c r="D90" s="504"/>
      <c r="E90" s="504"/>
      <c r="F90" s="504"/>
      <c r="G90" s="504"/>
      <c r="H90" s="504"/>
      <c r="I90" s="504"/>
      <c r="J90" s="504"/>
      <c r="K90" s="504"/>
      <c r="L90" s="504"/>
      <c r="M90" s="504"/>
      <c r="N90" s="504"/>
      <c r="O90" s="504"/>
      <c r="P90" s="504"/>
      <c r="Q90" s="504"/>
      <c r="R90" s="505"/>
    </row>
    <row r="91" spans="2:18" ht="13.15" customHeight="1" x14ac:dyDescent="0.2">
      <c r="B91" s="503"/>
      <c r="C91" s="504"/>
      <c r="D91" s="504"/>
      <c r="E91" s="504"/>
      <c r="F91" s="504"/>
      <c r="G91" s="504"/>
      <c r="H91" s="504"/>
      <c r="I91" s="504"/>
      <c r="J91" s="504"/>
      <c r="K91" s="504"/>
      <c r="L91" s="504"/>
      <c r="M91" s="504"/>
      <c r="N91" s="504"/>
      <c r="O91" s="504"/>
      <c r="P91" s="504"/>
      <c r="Q91" s="504"/>
      <c r="R91" s="505"/>
    </row>
    <row r="92" spans="2:18" ht="13.15" customHeight="1" x14ac:dyDescent="0.2">
      <c r="B92" s="503"/>
      <c r="C92" s="504"/>
      <c r="D92" s="504"/>
      <c r="E92" s="504"/>
      <c r="F92" s="504"/>
      <c r="G92" s="504"/>
      <c r="H92" s="504"/>
      <c r="I92" s="504"/>
      <c r="J92" s="504"/>
      <c r="K92" s="504"/>
      <c r="L92" s="504"/>
      <c r="M92" s="504"/>
      <c r="N92" s="504"/>
      <c r="O92" s="504"/>
      <c r="P92" s="504"/>
      <c r="Q92" s="504"/>
      <c r="R92" s="505"/>
    </row>
    <row r="93" spans="2:18" ht="13.15" customHeight="1" x14ac:dyDescent="0.2">
      <c r="B93" s="503"/>
      <c r="C93" s="504"/>
      <c r="D93" s="504"/>
      <c r="E93" s="504"/>
      <c r="F93" s="504"/>
      <c r="G93" s="504"/>
      <c r="H93" s="504"/>
      <c r="I93" s="504"/>
      <c r="J93" s="504"/>
      <c r="K93" s="504"/>
      <c r="L93" s="504"/>
      <c r="M93" s="504"/>
      <c r="N93" s="504"/>
      <c r="O93" s="504"/>
      <c r="P93" s="504"/>
      <c r="Q93" s="504"/>
      <c r="R93" s="505"/>
    </row>
    <row r="94" spans="2:18" ht="13.15" customHeight="1" x14ac:dyDescent="0.2">
      <c r="B94" s="503"/>
      <c r="C94" s="504"/>
      <c r="D94" s="504"/>
      <c r="E94" s="504"/>
      <c r="F94" s="504"/>
      <c r="G94" s="504"/>
      <c r="H94" s="504"/>
      <c r="I94" s="504"/>
      <c r="J94" s="504"/>
      <c r="K94" s="504"/>
      <c r="L94" s="504"/>
      <c r="M94" s="504"/>
      <c r="N94" s="504"/>
      <c r="O94" s="504"/>
      <c r="P94" s="504"/>
      <c r="Q94" s="504"/>
      <c r="R94" s="505"/>
    </row>
    <row r="95" spans="2:18" ht="13.15" customHeight="1" x14ac:dyDescent="0.2">
      <c r="B95" s="503"/>
      <c r="C95" s="504"/>
      <c r="D95" s="504"/>
      <c r="E95" s="504"/>
      <c r="F95" s="504"/>
      <c r="G95" s="504"/>
      <c r="H95" s="504"/>
      <c r="I95" s="504"/>
      <c r="J95" s="504"/>
      <c r="K95" s="504"/>
      <c r="L95" s="504"/>
      <c r="M95" s="504"/>
      <c r="N95" s="504"/>
      <c r="O95" s="504"/>
      <c r="P95" s="504"/>
      <c r="Q95" s="504"/>
      <c r="R95" s="505"/>
    </row>
    <row r="96" spans="2:18" ht="13.15" customHeight="1" x14ac:dyDescent="0.2">
      <c r="B96" s="503"/>
      <c r="C96" s="504"/>
      <c r="D96" s="504"/>
      <c r="E96" s="504"/>
      <c r="F96" s="504"/>
      <c r="G96" s="504"/>
      <c r="H96" s="504"/>
      <c r="I96" s="504"/>
      <c r="J96" s="504"/>
      <c r="K96" s="504"/>
      <c r="L96" s="504"/>
      <c r="M96" s="504"/>
      <c r="N96" s="504"/>
      <c r="O96" s="504"/>
      <c r="P96" s="504"/>
      <c r="Q96" s="504"/>
      <c r="R96" s="505"/>
    </row>
    <row r="97" spans="2:18" ht="13.15" customHeight="1" x14ac:dyDescent="0.2">
      <c r="B97" s="503"/>
      <c r="C97" s="504"/>
      <c r="D97" s="504"/>
      <c r="E97" s="504"/>
      <c r="F97" s="504"/>
      <c r="G97" s="504"/>
      <c r="H97" s="504"/>
      <c r="I97" s="504"/>
      <c r="J97" s="504"/>
      <c r="K97" s="504"/>
      <c r="L97" s="504"/>
      <c r="M97" s="504"/>
      <c r="N97" s="504"/>
      <c r="O97" s="504"/>
      <c r="P97" s="504"/>
      <c r="Q97" s="504"/>
      <c r="R97" s="505"/>
    </row>
    <row r="98" spans="2:18" ht="13.15" customHeight="1" x14ac:dyDescent="0.2">
      <c r="B98" s="503"/>
      <c r="C98" s="504"/>
      <c r="D98" s="504"/>
      <c r="E98" s="504"/>
      <c r="F98" s="504"/>
      <c r="G98" s="504"/>
      <c r="H98" s="504"/>
      <c r="I98" s="504"/>
      <c r="J98" s="504"/>
      <c r="K98" s="504"/>
      <c r="L98" s="504"/>
      <c r="M98" s="504"/>
      <c r="N98" s="504"/>
      <c r="O98" s="504"/>
      <c r="P98" s="504"/>
      <c r="Q98" s="504"/>
      <c r="R98" s="505"/>
    </row>
    <row r="99" spans="2:18" ht="13.15" customHeight="1" x14ac:dyDescent="0.2">
      <c r="B99" s="503"/>
      <c r="C99" s="504"/>
      <c r="D99" s="504"/>
      <c r="E99" s="504"/>
      <c r="F99" s="504"/>
      <c r="G99" s="504"/>
      <c r="H99" s="504"/>
      <c r="I99" s="504"/>
      <c r="J99" s="504"/>
      <c r="K99" s="504"/>
      <c r="L99" s="504"/>
      <c r="M99" s="504"/>
      <c r="N99" s="504"/>
      <c r="O99" s="504"/>
      <c r="P99" s="504"/>
      <c r="Q99" s="504"/>
      <c r="R99" s="505"/>
    </row>
    <row r="100" spans="2:18" ht="13.15" customHeight="1" x14ac:dyDescent="0.2">
      <c r="B100" s="503"/>
      <c r="C100" s="504"/>
      <c r="D100" s="504"/>
      <c r="E100" s="504"/>
      <c r="F100" s="504"/>
      <c r="G100" s="504"/>
      <c r="H100" s="504"/>
      <c r="I100" s="504"/>
      <c r="J100" s="504"/>
      <c r="K100" s="504"/>
      <c r="L100" s="504"/>
      <c r="M100" s="504"/>
      <c r="N100" s="504"/>
      <c r="O100" s="504"/>
      <c r="P100" s="504"/>
      <c r="Q100" s="504"/>
      <c r="R100" s="505"/>
    </row>
    <row r="101" spans="2:18" ht="13.15" customHeight="1" x14ac:dyDescent="0.2">
      <c r="B101" s="503"/>
      <c r="C101" s="504"/>
      <c r="D101" s="504"/>
      <c r="E101" s="504"/>
      <c r="F101" s="504"/>
      <c r="G101" s="504"/>
      <c r="H101" s="504"/>
      <c r="I101" s="504"/>
      <c r="J101" s="504"/>
      <c r="K101" s="504"/>
      <c r="L101" s="504"/>
      <c r="M101" s="504"/>
      <c r="N101" s="504"/>
      <c r="O101" s="504"/>
      <c r="P101" s="504"/>
      <c r="Q101" s="504"/>
      <c r="R101" s="505"/>
    </row>
    <row r="102" spans="2:18" ht="13.15" customHeight="1" x14ac:dyDescent="0.2">
      <c r="B102" s="503"/>
      <c r="C102" s="504"/>
      <c r="D102" s="504"/>
      <c r="E102" s="504"/>
      <c r="F102" s="504"/>
      <c r="G102" s="504"/>
      <c r="H102" s="504"/>
      <c r="I102" s="504"/>
      <c r="J102" s="504"/>
      <c r="K102" s="504"/>
      <c r="L102" s="504"/>
      <c r="M102" s="504"/>
      <c r="N102" s="504"/>
      <c r="O102" s="504"/>
      <c r="P102" s="504"/>
      <c r="Q102" s="504"/>
      <c r="R102" s="505"/>
    </row>
    <row r="103" spans="2:18" ht="13.15" customHeight="1" x14ac:dyDescent="0.2">
      <c r="B103" s="503"/>
      <c r="C103" s="504"/>
      <c r="D103" s="504"/>
      <c r="E103" s="504"/>
      <c r="F103" s="504"/>
      <c r="G103" s="504"/>
      <c r="H103" s="504"/>
      <c r="I103" s="504"/>
      <c r="J103" s="504"/>
      <c r="K103" s="504"/>
      <c r="L103" s="504"/>
      <c r="M103" s="504"/>
      <c r="N103" s="504"/>
      <c r="O103" s="504"/>
      <c r="P103" s="504"/>
      <c r="Q103" s="504"/>
      <c r="R103" s="505"/>
    </row>
    <row r="104" spans="2:18" ht="13.15" customHeight="1" x14ac:dyDescent="0.2">
      <c r="B104" s="503"/>
      <c r="C104" s="504"/>
      <c r="D104" s="504"/>
      <c r="E104" s="504"/>
      <c r="F104" s="504"/>
      <c r="G104" s="504"/>
      <c r="H104" s="504"/>
      <c r="I104" s="504"/>
      <c r="J104" s="504"/>
      <c r="K104" s="504"/>
      <c r="L104" s="504"/>
      <c r="M104" s="504"/>
      <c r="N104" s="504"/>
      <c r="O104" s="504"/>
      <c r="P104" s="504"/>
      <c r="Q104" s="504"/>
      <c r="R104" s="505"/>
    </row>
    <row r="105" spans="2:18" ht="13.15" customHeight="1" x14ac:dyDescent="0.2">
      <c r="B105" s="503"/>
      <c r="C105" s="504"/>
      <c r="D105" s="504"/>
      <c r="E105" s="504"/>
      <c r="F105" s="504"/>
      <c r="G105" s="504"/>
      <c r="H105" s="504"/>
      <c r="I105" s="504"/>
      <c r="J105" s="504"/>
      <c r="K105" s="504"/>
      <c r="L105" s="504"/>
      <c r="M105" s="504"/>
      <c r="N105" s="504"/>
      <c r="O105" s="504"/>
      <c r="P105" s="504"/>
      <c r="Q105" s="504"/>
      <c r="R105" s="505"/>
    </row>
    <row r="106" spans="2:18" ht="13.15" customHeight="1" x14ac:dyDescent="0.2">
      <c r="B106" s="503"/>
      <c r="C106" s="504"/>
      <c r="D106" s="504"/>
      <c r="E106" s="504"/>
      <c r="F106" s="504"/>
      <c r="G106" s="504"/>
      <c r="H106" s="504"/>
      <c r="I106" s="504"/>
      <c r="J106" s="504"/>
      <c r="K106" s="504"/>
      <c r="L106" s="504"/>
      <c r="M106" s="504"/>
      <c r="N106" s="504"/>
      <c r="O106" s="504"/>
      <c r="P106" s="504"/>
      <c r="Q106" s="504"/>
      <c r="R106" s="505"/>
    </row>
    <row r="107" spans="2:18" ht="13.15" customHeight="1" x14ac:dyDescent="0.2">
      <c r="B107" s="503"/>
      <c r="C107" s="504"/>
      <c r="D107" s="504"/>
      <c r="E107" s="504"/>
      <c r="F107" s="504"/>
      <c r="G107" s="504"/>
      <c r="H107" s="504"/>
      <c r="I107" s="504"/>
      <c r="J107" s="504"/>
      <c r="K107" s="504"/>
      <c r="L107" s="504"/>
      <c r="M107" s="504"/>
      <c r="N107" s="504"/>
      <c r="O107" s="504"/>
      <c r="P107" s="504"/>
      <c r="Q107" s="504"/>
      <c r="R107" s="505"/>
    </row>
    <row r="108" spans="2:18" ht="13.15" customHeight="1" x14ac:dyDescent="0.2">
      <c r="B108" s="503"/>
      <c r="C108" s="504"/>
      <c r="D108" s="504"/>
      <c r="E108" s="504"/>
      <c r="F108" s="504"/>
      <c r="G108" s="504"/>
      <c r="H108" s="504"/>
      <c r="I108" s="504"/>
      <c r="J108" s="504"/>
      <c r="K108" s="504"/>
      <c r="L108" s="504"/>
      <c r="M108" s="504"/>
      <c r="N108" s="504"/>
      <c r="O108" s="504"/>
      <c r="P108" s="504"/>
      <c r="Q108" s="504"/>
      <c r="R108" s="505"/>
    </row>
    <row r="109" spans="2:18" ht="13.15" customHeight="1" x14ac:dyDescent="0.2">
      <c r="B109" s="503"/>
      <c r="C109" s="504"/>
      <c r="D109" s="504"/>
      <c r="E109" s="504"/>
      <c r="F109" s="504"/>
      <c r="G109" s="504"/>
      <c r="H109" s="504"/>
      <c r="I109" s="504"/>
      <c r="J109" s="504"/>
      <c r="K109" s="504"/>
      <c r="L109" s="504"/>
      <c r="M109" s="504"/>
      <c r="N109" s="504"/>
      <c r="O109" s="504"/>
      <c r="P109" s="504"/>
      <c r="Q109" s="504"/>
      <c r="R109" s="505"/>
    </row>
    <row r="110" spans="2:18" ht="13.15" customHeight="1" x14ac:dyDescent="0.2">
      <c r="B110" s="503"/>
      <c r="C110" s="504"/>
      <c r="D110" s="504"/>
      <c r="E110" s="504"/>
      <c r="F110" s="504"/>
      <c r="G110" s="504"/>
      <c r="H110" s="504"/>
      <c r="I110" s="504"/>
      <c r="J110" s="504"/>
      <c r="K110" s="504"/>
      <c r="L110" s="504"/>
      <c r="M110" s="504"/>
      <c r="N110" s="504"/>
      <c r="O110" s="504"/>
      <c r="P110" s="504"/>
      <c r="Q110" s="504"/>
      <c r="R110" s="505"/>
    </row>
    <row r="111" spans="2:18" ht="13.15" customHeight="1" x14ac:dyDescent="0.2">
      <c r="B111" s="503"/>
      <c r="C111" s="504"/>
      <c r="D111" s="504"/>
      <c r="E111" s="504"/>
      <c r="F111" s="504"/>
      <c r="G111" s="504"/>
      <c r="H111" s="504"/>
      <c r="I111" s="504"/>
      <c r="J111" s="504"/>
      <c r="K111" s="504"/>
      <c r="L111" s="504"/>
      <c r="M111" s="504"/>
      <c r="N111" s="504"/>
      <c r="O111" s="504"/>
      <c r="P111" s="504"/>
      <c r="Q111" s="504"/>
      <c r="R111" s="505"/>
    </row>
    <row r="112" spans="2:18" ht="13.15" customHeight="1" x14ac:dyDescent="0.2">
      <c r="B112" s="503"/>
      <c r="C112" s="504"/>
      <c r="D112" s="504"/>
      <c r="E112" s="504"/>
      <c r="F112" s="504"/>
      <c r="G112" s="504"/>
      <c r="H112" s="504"/>
      <c r="I112" s="504"/>
      <c r="J112" s="504"/>
      <c r="K112" s="504"/>
      <c r="L112" s="504"/>
      <c r="M112" s="504"/>
      <c r="N112" s="504"/>
      <c r="O112" s="504"/>
      <c r="P112" s="504"/>
      <c r="Q112" s="504"/>
      <c r="R112" s="505"/>
    </row>
    <row r="113" spans="2:18" ht="13.15" customHeight="1" x14ac:dyDescent="0.2">
      <c r="B113" s="503"/>
      <c r="C113" s="504"/>
      <c r="D113" s="504"/>
      <c r="E113" s="504"/>
      <c r="F113" s="504"/>
      <c r="G113" s="504"/>
      <c r="H113" s="504"/>
      <c r="I113" s="504"/>
      <c r="J113" s="504"/>
      <c r="K113" s="504"/>
      <c r="L113" s="504"/>
      <c r="M113" s="504"/>
      <c r="N113" s="504"/>
      <c r="O113" s="504"/>
      <c r="P113" s="504"/>
      <c r="Q113" s="504"/>
      <c r="R113" s="505"/>
    </row>
    <row r="114" spans="2:18" ht="13.15" customHeight="1" x14ac:dyDescent="0.2">
      <c r="B114" s="503"/>
      <c r="C114" s="504"/>
      <c r="D114" s="504"/>
      <c r="E114" s="504"/>
      <c r="F114" s="504"/>
      <c r="G114" s="504"/>
      <c r="H114" s="504"/>
      <c r="I114" s="504"/>
      <c r="J114" s="504"/>
      <c r="K114" s="504"/>
      <c r="L114" s="504"/>
      <c r="M114" s="504"/>
      <c r="N114" s="504"/>
      <c r="O114" s="504"/>
      <c r="P114" s="504"/>
      <c r="Q114" s="504"/>
      <c r="R114" s="505"/>
    </row>
    <row r="115" spans="2:18" ht="13.15" customHeight="1" x14ac:dyDescent="0.2">
      <c r="B115" s="503"/>
      <c r="C115" s="504"/>
      <c r="D115" s="504"/>
      <c r="E115" s="504"/>
      <c r="F115" s="504"/>
      <c r="G115" s="504"/>
      <c r="H115" s="504"/>
      <c r="I115" s="504"/>
      <c r="J115" s="504"/>
      <c r="K115" s="504"/>
      <c r="L115" s="504"/>
      <c r="M115" s="504"/>
      <c r="N115" s="504"/>
      <c r="O115" s="504"/>
      <c r="P115" s="504"/>
      <c r="Q115" s="504"/>
      <c r="R115" s="505"/>
    </row>
    <row r="116" spans="2:18" ht="13.15" customHeight="1" x14ac:dyDescent="0.2">
      <c r="B116" s="503"/>
      <c r="C116" s="504"/>
      <c r="D116" s="504"/>
      <c r="E116" s="504"/>
      <c r="F116" s="504"/>
      <c r="G116" s="504"/>
      <c r="H116" s="504"/>
      <c r="I116" s="504"/>
      <c r="J116" s="504"/>
      <c r="K116" s="504"/>
      <c r="L116" s="504"/>
      <c r="M116" s="504"/>
      <c r="N116" s="504"/>
      <c r="O116" s="504"/>
      <c r="P116" s="504"/>
      <c r="Q116" s="504"/>
      <c r="R116" s="505"/>
    </row>
    <row r="117" spans="2:18" ht="13.15" customHeight="1" x14ac:dyDescent="0.2">
      <c r="B117" s="503"/>
      <c r="C117" s="504"/>
      <c r="D117" s="504"/>
      <c r="E117" s="504"/>
      <c r="F117" s="504"/>
      <c r="G117" s="504"/>
      <c r="H117" s="504"/>
      <c r="I117" s="504"/>
      <c r="J117" s="504"/>
      <c r="K117" s="504"/>
      <c r="L117" s="504"/>
      <c r="M117" s="504"/>
      <c r="N117" s="504"/>
      <c r="O117" s="504"/>
      <c r="P117" s="504"/>
      <c r="Q117" s="504"/>
      <c r="R117" s="505"/>
    </row>
    <row r="118" spans="2:18" ht="13.15" customHeight="1" x14ac:dyDescent="0.2">
      <c r="B118" s="503"/>
      <c r="C118" s="504"/>
      <c r="D118" s="504"/>
      <c r="E118" s="504"/>
      <c r="F118" s="504"/>
      <c r="G118" s="504"/>
      <c r="H118" s="504"/>
      <c r="I118" s="504"/>
      <c r="J118" s="504"/>
      <c r="K118" s="504"/>
      <c r="L118" s="504"/>
      <c r="M118" s="504"/>
      <c r="N118" s="504"/>
      <c r="O118" s="504"/>
      <c r="P118" s="504"/>
      <c r="Q118" s="504"/>
      <c r="R118" s="505"/>
    </row>
    <row r="119" spans="2:18" ht="13.15" customHeight="1" x14ac:dyDescent="0.2">
      <c r="B119" s="503"/>
      <c r="C119" s="504"/>
      <c r="D119" s="504"/>
      <c r="E119" s="504"/>
      <c r="F119" s="504"/>
      <c r="G119" s="504"/>
      <c r="H119" s="504"/>
      <c r="I119" s="504"/>
      <c r="J119" s="504"/>
      <c r="K119" s="504"/>
      <c r="L119" s="504"/>
      <c r="M119" s="504"/>
      <c r="N119" s="504"/>
      <c r="O119" s="504"/>
      <c r="P119" s="504"/>
      <c r="Q119" s="504"/>
      <c r="R119" s="505"/>
    </row>
    <row r="120" spans="2:18" ht="13.15" customHeight="1" x14ac:dyDescent="0.2">
      <c r="B120" s="503"/>
      <c r="C120" s="504"/>
      <c r="D120" s="504"/>
      <c r="E120" s="504"/>
      <c r="F120" s="504"/>
      <c r="G120" s="504"/>
      <c r="H120" s="504"/>
      <c r="I120" s="504"/>
      <c r="J120" s="504"/>
      <c r="K120" s="504"/>
      <c r="L120" s="504"/>
      <c r="M120" s="504"/>
      <c r="N120" s="504"/>
      <c r="O120" s="504"/>
      <c r="P120" s="504"/>
      <c r="Q120" s="504"/>
      <c r="R120" s="505"/>
    </row>
    <row r="121" spans="2:18" ht="13.15" customHeight="1" x14ac:dyDescent="0.2">
      <c r="B121" s="503"/>
      <c r="C121" s="504"/>
      <c r="D121" s="504"/>
      <c r="E121" s="504"/>
      <c r="F121" s="504"/>
      <c r="G121" s="504"/>
      <c r="H121" s="504"/>
      <c r="I121" s="504"/>
      <c r="J121" s="504"/>
      <c r="K121" s="504"/>
      <c r="L121" s="504"/>
      <c r="M121" s="504"/>
      <c r="N121" s="504"/>
      <c r="O121" s="504"/>
      <c r="P121" s="504"/>
      <c r="Q121" s="504"/>
      <c r="R121" s="505"/>
    </row>
    <row r="122" spans="2:18" ht="13.15" customHeight="1" x14ac:dyDescent="0.2">
      <c r="B122" s="503"/>
      <c r="C122" s="504"/>
      <c r="D122" s="504"/>
      <c r="E122" s="504"/>
      <c r="F122" s="504"/>
      <c r="G122" s="504"/>
      <c r="H122" s="504"/>
      <c r="I122" s="504"/>
      <c r="J122" s="504"/>
      <c r="K122" s="504"/>
      <c r="L122" s="504"/>
      <c r="M122" s="504"/>
      <c r="N122" s="504"/>
      <c r="O122" s="504"/>
      <c r="P122" s="504"/>
      <c r="Q122" s="504"/>
      <c r="R122" s="505"/>
    </row>
    <row r="123" spans="2:18" ht="13.15" customHeight="1" x14ac:dyDescent="0.2">
      <c r="B123" s="503"/>
      <c r="C123" s="504"/>
      <c r="D123" s="504"/>
      <c r="E123" s="504"/>
      <c r="F123" s="504"/>
      <c r="G123" s="504"/>
      <c r="H123" s="504"/>
      <c r="I123" s="504"/>
      <c r="J123" s="504"/>
      <c r="K123" s="504"/>
      <c r="L123" s="504"/>
      <c r="M123" s="504"/>
      <c r="N123" s="504"/>
      <c r="O123" s="504"/>
      <c r="P123" s="504"/>
      <c r="Q123" s="504"/>
      <c r="R123" s="505"/>
    </row>
    <row r="124" spans="2:18" ht="13.15" customHeight="1" x14ac:dyDescent="0.2">
      <c r="B124" s="503"/>
      <c r="C124" s="504"/>
      <c r="D124" s="504"/>
      <c r="E124" s="504"/>
      <c r="F124" s="504"/>
      <c r="G124" s="504"/>
      <c r="H124" s="504"/>
      <c r="I124" s="504"/>
      <c r="J124" s="504"/>
      <c r="K124" s="504"/>
      <c r="L124" s="504"/>
      <c r="M124" s="504"/>
      <c r="N124" s="504"/>
      <c r="O124" s="504"/>
      <c r="P124" s="504"/>
      <c r="Q124" s="504"/>
      <c r="R124" s="505"/>
    </row>
    <row r="125" spans="2:18" ht="13.15" customHeight="1" x14ac:dyDescent="0.2">
      <c r="B125" s="503"/>
      <c r="C125" s="504"/>
      <c r="D125" s="504"/>
      <c r="E125" s="504"/>
      <c r="F125" s="504"/>
      <c r="G125" s="504"/>
      <c r="H125" s="504"/>
      <c r="I125" s="504"/>
      <c r="J125" s="504"/>
      <c r="K125" s="504"/>
      <c r="L125" s="504"/>
      <c r="M125" s="504"/>
      <c r="N125" s="504"/>
      <c r="O125" s="504"/>
      <c r="P125" s="504"/>
      <c r="Q125" s="504"/>
      <c r="R125" s="505"/>
    </row>
    <row r="126" spans="2:18" ht="13.15" customHeight="1" x14ac:dyDescent="0.2">
      <c r="B126" s="503"/>
      <c r="C126" s="504"/>
      <c r="D126" s="504"/>
      <c r="E126" s="504"/>
      <c r="F126" s="504"/>
      <c r="G126" s="504"/>
      <c r="H126" s="504"/>
      <c r="I126" s="504"/>
      <c r="J126" s="504"/>
      <c r="K126" s="504"/>
      <c r="L126" s="504"/>
      <c r="M126" s="504"/>
      <c r="N126" s="504"/>
      <c r="O126" s="504"/>
      <c r="P126" s="504"/>
      <c r="Q126" s="504"/>
      <c r="R126" s="505"/>
    </row>
    <row r="127" spans="2:18" ht="13.15" customHeight="1" x14ac:dyDescent="0.2">
      <c r="B127" s="503"/>
      <c r="C127" s="504"/>
      <c r="D127" s="504"/>
      <c r="E127" s="504"/>
      <c r="F127" s="504"/>
      <c r="G127" s="504"/>
      <c r="H127" s="504"/>
      <c r="I127" s="504"/>
      <c r="J127" s="504"/>
      <c r="K127" s="504"/>
      <c r="L127" s="504"/>
      <c r="M127" s="504"/>
      <c r="N127" s="504"/>
      <c r="O127" s="504"/>
      <c r="P127" s="504"/>
      <c r="Q127" s="504"/>
      <c r="R127" s="505"/>
    </row>
    <row r="128" spans="2:18" ht="13.15" customHeight="1" x14ac:dyDescent="0.2">
      <c r="B128" s="503"/>
      <c r="C128" s="504"/>
      <c r="D128" s="504"/>
      <c r="E128" s="504"/>
      <c r="F128" s="504"/>
      <c r="G128" s="504"/>
      <c r="H128" s="504"/>
      <c r="I128" s="504"/>
      <c r="J128" s="504"/>
      <c r="K128" s="504"/>
      <c r="L128" s="504"/>
      <c r="M128" s="504"/>
      <c r="N128" s="504"/>
      <c r="O128" s="504"/>
      <c r="P128" s="504"/>
      <c r="Q128" s="504"/>
      <c r="R128" s="505"/>
    </row>
    <row r="129" spans="2:18" ht="13.15" customHeight="1" x14ac:dyDescent="0.2">
      <c r="B129" s="503"/>
      <c r="C129" s="504"/>
      <c r="D129" s="504"/>
      <c r="E129" s="504"/>
      <c r="F129" s="504"/>
      <c r="G129" s="504"/>
      <c r="H129" s="504"/>
      <c r="I129" s="504"/>
      <c r="J129" s="504"/>
      <c r="K129" s="504"/>
      <c r="L129" s="504"/>
      <c r="M129" s="504"/>
      <c r="N129" s="504"/>
      <c r="O129" s="504"/>
      <c r="P129" s="504"/>
      <c r="Q129" s="504"/>
      <c r="R129" s="505"/>
    </row>
    <row r="130" spans="2:18" ht="13.15" customHeight="1" x14ac:dyDescent="0.2">
      <c r="B130" s="503"/>
      <c r="C130" s="504"/>
      <c r="D130" s="504"/>
      <c r="E130" s="504"/>
      <c r="F130" s="504"/>
      <c r="G130" s="504"/>
      <c r="H130" s="504"/>
      <c r="I130" s="504"/>
      <c r="J130" s="504"/>
      <c r="K130" s="504"/>
      <c r="L130" s="504"/>
      <c r="M130" s="504"/>
      <c r="N130" s="504"/>
      <c r="O130" s="504"/>
      <c r="P130" s="504"/>
      <c r="Q130" s="504"/>
      <c r="R130" s="505"/>
    </row>
    <row r="131" spans="2:18" ht="13.15" customHeight="1" x14ac:dyDescent="0.2">
      <c r="B131" s="503"/>
      <c r="C131" s="504"/>
      <c r="D131" s="504"/>
      <c r="E131" s="504"/>
      <c r="F131" s="504"/>
      <c r="G131" s="504"/>
      <c r="H131" s="504"/>
      <c r="I131" s="504"/>
      <c r="J131" s="504"/>
      <c r="K131" s="504"/>
      <c r="L131" s="504"/>
      <c r="M131" s="504"/>
      <c r="N131" s="504"/>
      <c r="O131" s="504"/>
      <c r="P131" s="504"/>
      <c r="Q131" s="504"/>
      <c r="R131" s="505"/>
    </row>
    <row r="132" spans="2:18" ht="13.15" customHeight="1" x14ac:dyDescent="0.2">
      <c r="B132" s="503"/>
      <c r="C132" s="504"/>
      <c r="D132" s="504"/>
      <c r="E132" s="504"/>
      <c r="F132" s="504"/>
      <c r="G132" s="504"/>
      <c r="H132" s="504"/>
      <c r="I132" s="504"/>
      <c r="J132" s="504"/>
      <c r="K132" s="504"/>
      <c r="L132" s="504"/>
      <c r="M132" s="504"/>
      <c r="N132" s="504"/>
      <c r="O132" s="504"/>
      <c r="P132" s="504"/>
      <c r="Q132" s="504"/>
      <c r="R132" s="505"/>
    </row>
    <row r="133" spans="2:18" ht="13.15" customHeight="1" x14ac:dyDescent="0.2">
      <c r="B133" s="503"/>
      <c r="C133" s="504"/>
      <c r="D133" s="504"/>
      <c r="E133" s="504"/>
      <c r="F133" s="504"/>
      <c r="G133" s="504"/>
      <c r="H133" s="504"/>
      <c r="I133" s="504"/>
      <c r="J133" s="504"/>
      <c r="K133" s="504"/>
      <c r="L133" s="504"/>
      <c r="M133" s="504"/>
      <c r="N133" s="504"/>
      <c r="O133" s="504"/>
      <c r="P133" s="504"/>
      <c r="Q133" s="504"/>
      <c r="R133" s="505"/>
    </row>
    <row r="134" spans="2:18" ht="13.15" customHeight="1" x14ac:dyDescent="0.2">
      <c r="B134" s="503"/>
      <c r="C134" s="504"/>
      <c r="D134" s="504"/>
      <c r="E134" s="504"/>
      <c r="F134" s="504"/>
      <c r="G134" s="504"/>
      <c r="H134" s="504"/>
      <c r="I134" s="504"/>
      <c r="J134" s="504"/>
      <c r="K134" s="504"/>
      <c r="L134" s="504"/>
      <c r="M134" s="504"/>
      <c r="N134" s="504"/>
      <c r="O134" s="504"/>
      <c r="P134" s="504"/>
      <c r="Q134" s="504"/>
      <c r="R134" s="505"/>
    </row>
    <row r="135" spans="2:18" ht="13.15" customHeight="1" x14ac:dyDescent="0.2">
      <c r="B135" s="503"/>
      <c r="C135" s="504"/>
      <c r="D135" s="504"/>
      <c r="E135" s="504"/>
      <c r="F135" s="504"/>
      <c r="G135" s="504"/>
      <c r="H135" s="504"/>
      <c r="I135" s="504"/>
      <c r="J135" s="504"/>
      <c r="K135" s="504"/>
      <c r="L135" s="504"/>
      <c r="M135" s="504"/>
      <c r="N135" s="504"/>
      <c r="O135" s="504"/>
      <c r="P135" s="504"/>
      <c r="Q135" s="504"/>
      <c r="R135" s="505"/>
    </row>
    <row r="136" spans="2:18" ht="13.15" customHeight="1" x14ac:dyDescent="0.2">
      <c r="B136" s="503"/>
      <c r="C136" s="504"/>
      <c r="D136" s="504"/>
      <c r="E136" s="504"/>
      <c r="F136" s="504"/>
      <c r="G136" s="504"/>
      <c r="H136" s="504"/>
      <c r="I136" s="504"/>
      <c r="J136" s="504"/>
      <c r="K136" s="504"/>
      <c r="L136" s="504"/>
      <c r="M136" s="504"/>
      <c r="N136" s="504"/>
      <c r="O136" s="504"/>
      <c r="P136" s="504"/>
      <c r="Q136" s="504"/>
      <c r="R136" s="505"/>
    </row>
    <row r="137" spans="2:18" ht="13.15" customHeight="1" x14ac:dyDescent="0.2">
      <c r="B137" s="503"/>
      <c r="C137" s="504"/>
      <c r="D137" s="504"/>
      <c r="E137" s="504"/>
      <c r="F137" s="504"/>
      <c r="G137" s="504"/>
      <c r="H137" s="504"/>
      <c r="I137" s="504"/>
      <c r="J137" s="504"/>
      <c r="K137" s="504"/>
      <c r="L137" s="504"/>
      <c r="M137" s="504"/>
      <c r="N137" s="504"/>
      <c r="O137" s="504"/>
      <c r="P137" s="504"/>
      <c r="Q137" s="504"/>
      <c r="R137" s="505"/>
    </row>
    <row r="138" spans="2:18" ht="13.15" customHeight="1" x14ac:dyDescent="0.2">
      <c r="B138" s="503"/>
      <c r="C138" s="504"/>
      <c r="D138" s="504"/>
      <c r="E138" s="504"/>
      <c r="F138" s="504"/>
      <c r="G138" s="504"/>
      <c r="H138" s="504"/>
      <c r="I138" s="504"/>
      <c r="J138" s="504"/>
      <c r="K138" s="504"/>
      <c r="L138" s="504"/>
      <c r="M138" s="504"/>
      <c r="N138" s="504"/>
      <c r="O138" s="504"/>
      <c r="P138" s="504"/>
      <c r="Q138" s="504"/>
      <c r="R138" s="505"/>
    </row>
    <row r="139" spans="2:18" ht="13.15" customHeight="1" x14ac:dyDescent="0.2">
      <c r="B139" s="503"/>
      <c r="C139" s="504"/>
      <c r="D139" s="504"/>
      <c r="E139" s="504"/>
      <c r="F139" s="504"/>
      <c r="G139" s="504"/>
      <c r="H139" s="504"/>
      <c r="I139" s="504"/>
      <c r="J139" s="504"/>
      <c r="K139" s="504"/>
      <c r="L139" s="504"/>
      <c r="M139" s="504"/>
      <c r="N139" s="504"/>
      <c r="O139" s="504"/>
      <c r="P139" s="504"/>
      <c r="Q139" s="504"/>
      <c r="R139" s="505"/>
    </row>
    <row r="140" spans="2:18" ht="13.15" customHeight="1" x14ac:dyDescent="0.2">
      <c r="B140" s="503"/>
      <c r="C140" s="504"/>
      <c r="D140" s="504"/>
      <c r="E140" s="504"/>
      <c r="F140" s="504"/>
      <c r="G140" s="504"/>
      <c r="H140" s="504"/>
      <c r="I140" s="504"/>
      <c r="J140" s="504"/>
      <c r="K140" s="504"/>
      <c r="L140" s="504"/>
      <c r="M140" s="504"/>
      <c r="N140" s="504"/>
      <c r="O140" s="504"/>
      <c r="P140" s="504"/>
      <c r="Q140" s="504"/>
      <c r="R140" s="505"/>
    </row>
    <row r="141" spans="2:18" ht="13.15" customHeight="1" x14ac:dyDescent="0.2">
      <c r="B141" s="503"/>
      <c r="C141" s="504"/>
      <c r="D141" s="504"/>
      <c r="E141" s="504"/>
      <c r="F141" s="504"/>
      <c r="G141" s="504"/>
      <c r="H141" s="504"/>
      <c r="I141" s="504"/>
      <c r="J141" s="504"/>
      <c r="K141" s="504"/>
      <c r="L141" s="504"/>
      <c r="M141" s="504"/>
      <c r="N141" s="504"/>
      <c r="O141" s="504"/>
      <c r="P141" s="504"/>
      <c r="Q141" s="504"/>
      <c r="R141" s="505"/>
    </row>
    <row r="142" spans="2:18" ht="13.15" customHeight="1" x14ac:dyDescent="0.2">
      <c r="B142" s="511"/>
      <c r="C142" s="512"/>
      <c r="D142" s="512"/>
      <c r="E142" s="512"/>
      <c r="F142" s="512"/>
      <c r="G142" s="512"/>
      <c r="H142" s="512"/>
      <c r="I142" s="512"/>
      <c r="J142" s="512"/>
      <c r="K142" s="512"/>
      <c r="L142" s="512"/>
      <c r="M142" s="512"/>
      <c r="N142" s="512"/>
      <c r="O142" s="512"/>
      <c r="P142" s="512"/>
      <c r="Q142" s="513" t="s">
        <v>716</v>
      </c>
      <c r="R142" s="514"/>
    </row>
    <row r="143" spans="2:18" ht="13.15" customHeight="1" x14ac:dyDescent="0.2"/>
    <row r="144" spans="2:18" ht="13.15" customHeight="1" x14ac:dyDescent="0.2"/>
    <row r="145" ht="13.15" customHeight="1" x14ac:dyDescent="0.2"/>
    <row r="146" ht="13.15" customHeight="1" x14ac:dyDescent="0.2"/>
    <row r="147" ht="13.15" customHeight="1" x14ac:dyDescent="0.2"/>
    <row r="148" ht="13.15" customHeight="1" x14ac:dyDescent="0.2"/>
    <row r="149" ht="13.15" customHeight="1" x14ac:dyDescent="0.2"/>
    <row r="150" ht="13.15" customHeight="1" x14ac:dyDescent="0.2"/>
    <row r="151" ht="13.15" customHeight="1" x14ac:dyDescent="0.2"/>
    <row r="152" ht="13.15" customHeight="1" x14ac:dyDescent="0.2"/>
    <row r="153" ht="13.15" customHeight="1" x14ac:dyDescent="0.2"/>
    <row r="154" ht="13.15" customHeight="1" x14ac:dyDescent="0.2"/>
    <row r="155" ht="13.15" customHeight="1" x14ac:dyDescent="0.2"/>
    <row r="156" ht="13.15" customHeight="1" x14ac:dyDescent="0.2"/>
    <row r="157" ht="13.15" customHeight="1" x14ac:dyDescent="0.2"/>
    <row r="158" ht="13.15" customHeight="1" x14ac:dyDescent="0.2"/>
    <row r="159" ht="13.15" customHeight="1" x14ac:dyDescent="0.2"/>
    <row r="160" ht="13.15" customHeight="1" x14ac:dyDescent="0.2"/>
    <row r="161" ht="13.15" customHeight="1" x14ac:dyDescent="0.2"/>
    <row r="162" ht="13.15" customHeight="1" x14ac:dyDescent="0.2"/>
    <row r="163" ht="13.15" customHeight="1" x14ac:dyDescent="0.2"/>
    <row r="164" ht="13.15" customHeight="1" x14ac:dyDescent="0.2"/>
    <row r="165" ht="13.15" customHeight="1" x14ac:dyDescent="0.2"/>
    <row r="166" ht="13.15" customHeight="1" x14ac:dyDescent="0.2"/>
    <row r="167" ht="13.15" customHeight="1" x14ac:dyDescent="0.2"/>
    <row r="168" ht="13.15" customHeight="1" x14ac:dyDescent="0.2"/>
    <row r="169" ht="13.15" customHeight="1" x14ac:dyDescent="0.2"/>
    <row r="170" ht="13.15" customHeight="1" x14ac:dyDescent="0.2"/>
    <row r="171" ht="13.15" customHeight="1" x14ac:dyDescent="0.2"/>
    <row r="172" ht="13.15" customHeight="1" x14ac:dyDescent="0.2"/>
    <row r="173" ht="13.15" customHeight="1" x14ac:dyDescent="0.2"/>
    <row r="174" ht="13.15" customHeight="1" x14ac:dyDescent="0.2"/>
    <row r="175" ht="13.15" customHeight="1" x14ac:dyDescent="0.2"/>
    <row r="176" ht="13.15" customHeight="1" x14ac:dyDescent="0.2"/>
    <row r="177" ht="13.15" customHeight="1" x14ac:dyDescent="0.2"/>
    <row r="178" ht="13.15" customHeight="1" x14ac:dyDescent="0.2"/>
    <row r="179" ht="13.15" customHeight="1" x14ac:dyDescent="0.2"/>
    <row r="180" ht="13.15" customHeight="1" x14ac:dyDescent="0.2"/>
    <row r="181" ht="13.15" customHeight="1" x14ac:dyDescent="0.2"/>
    <row r="182" ht="13.15" customHeight="1" x14ac:dyDescent="0.2"/>
    <row r="183" ht="13.15" customHeight="1" x14ac:dyDescent="0.2"/>
    <row r="184" ht="13.15" customHeight="1" x14ac:dyDescent="0.2"/>
    <row r="185" ht="13.15" customHeight="1" x14ac:dyDescent="0.2"/>
    <row r="186" ht="13.15" customHeight="1" x14ac:dyDescent="0.2"/>
    <row r="187" ht="13.15" customHeight="1" x14ac:dyDescent="0.2"/>
    <row r="188" ht="13.15" customHeight="1" x14ac:dyDescent="0.2"/>
    <row r="189" ht="13.15" customHeight="1" x14ac:dyDescent="0.2"/>
    <row r="190" ht="13.15" customHeight="1" x14ac:dyDescent="0.2"/>
    <row r="191" ht="13.15" customHeight="1" x14ac:dyDescent="0.2"/>
    <row r="192" ht="13.15" customHeight="1" x14ac:dyDescent="0.2"/>
    <row r="193" ht="13.15" customHeight="1" x14ac:dyDescent="0.2"/>
    <row r="194" ht="13.15" customHeight="1" x14ac:dyDescent="0.2"/>
    <row r="195" ht="13.15" customHeight="1" x14ac:dyDescent="0.2"/>
    <row r="196" ht="13.15" customHeight="1" x14ac:dyDescent="0.2"/>
    <row r="197" ht="13.15" customHeight="1" x14ac:dyDescent="0.2"/>
    <row r="198" ht="13.15" customHeight="1" x14ac:dyDescent="0.2"/>
    <row r="199" ht="13.15" customHeight="1" x14ac:dyDescent="0.2"/>
    <row r="200" ht="13.15" customHeight="1" x14ac:dyDescent="0.2"/>
    <row r="201" ht="13.15" customHeight="1" x14ac:dyDescent="0.2"/>
    <row r="202" ht="13.15" customHeight="1" x14ac:dyDescent="0.2"/>
    <row r="203" ht="13.15" customHeight="1" x14ac:dyDescent="0.2"/>
    <row r="204" ht="13.15" customHeight="1" x14ac:dyDescent="0.2"/>
    <row r="205" ht="13.15" customHeight="1" x14ac:dyDescent="0.2"/>
    <row r="206" ht="13.15" customHeight="1" x14ac:dyDescent="0.2"/>
    <row r="207" ht="13.15" customHeight="1" x14ac:dyDescent="0.2"/>
    <row r="208" ht="13.15" customHeight="1" x14ac:dyDescent="0.2"/>
    <row r="209" spans="2:3" ht="13.15" customHeight="1" x14ac:dyDescent="0.2"/>
    <row r="210" spans="2:3" ht="13.15" customHeight="1" x14ac:dyDescent="0.2"/>
    <row r="211" spans="2:3" ht="13.15" customHeight="1" x14ac:dyDescent="0.2"/>
    <row r="212" spans="2:3" ht="13.15" customHeight="1" x14ac:dyDescent="0.2"/>
    <row r="213" spans="2:3" ht="13.15" customHeight="1" x14ac:dyDescent="0.2"/>
    <row r="214" spans="2:3" ht="13.15" customHeight="1" x14ac:dyDescent="0.2"/>
    <row r="215" spans="2:3" ht="13.15" customHeight="1" x14ac:dyDescent="0.2"/>
    <row r="219" spans="2:3" ht="18.75" x14ac:dyDescent="0.3">
      <c r="B219" s="515"/>
      <c r="C219" s="515"/>
    </row>
  </sheetData>
  <sheetProtection algorithmName="SHA-512" hashValue="EdPCXJAeq5OvefKQtWlW4uD7Iz0c7UlN2ruTO12n1BqoA/L9Ph/LyuV02NsndOWlWKcN53rsVBbIZFzKLHyKfg==" saltValue="SMta1xZfOJNWoONq1RTrBw==" spinCount="100000" sheet="1" objects="1" scenarios="1"/>
  <hyperlinks>
    <hyperlink ref="Q74" r:id="rId1"/>
    <hyperlink ref="Q142" r:id="rId2"/>
  </hyperlinks>
  <pageMargins left="0.7" right="0.7" top="0.75" bottom="0.75" header="0.3" footer="0.3"/>
  <pageSetup paperSize="9" scale="59" orientation="portrait" r:id="rId3"/>
  <headerFooter>
    <oddHeader>&amp;L&amp;"Arial,Vet"&amp;F&amp;R&amp;"Arial,Vet"&amp;A</oddHeader>
    <oddFooter>&amp;L&amp;"Arial,Vet"keizer / goedhart&amp;C&amp;"Arial,Vet"pagina &amp;P&amp;R&amp;"Arial,Vet"&amp;D</oddFooter>
  </headerFooter>
  <rowBreaks count="1" manualBreakCount="1">
    <brk id="96" min="1" max="17" man="1"/>
  </rowBreaks>
  <drawing r:id="rId4"/>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T270"/>
  <sheetViews>
    <sheetView zoomScale="80" zoomScaleNormal="80" workbookViewId="0">
      <pane ySplit="5" topLeftCell="A6" activePane="bottomLeft" state="frozen"/>
      <selection activeCell="B2" sqref="B2"/>
      <selection pane="bottomLeft"/>
    </sheetView>
  </sheetViews>
  <sheetFormatPr defaultColWidth="9.140625" defaultRowHeight="12.75" x14ac:dyDescent="0.2"/>
  <cols>
    <col min="1" max="1" width="44.5703125" style="349" customWidth="1"/>
    <col min="2" max="2" width="3.140625" style="349" customWidth="1"/>
    <col min="3" max="3" width="16.42578125" style="349" customWidth="1"/>
    <col min="4" max="4" width="15.5703125" style="349" customWidth="1"/>
    <col min="5" max="5" width="15.7109375" style="349" customWidth="1"/>
    <col min="6" max="6" width="15.5703125" style="349" customWidth="1"/>
    <col min="7" max="8" width="14.85546875" style="349" customWidth="1"/>
    <col min="9" max="9" width="16.7109375" style="349" customWidth="1"/>
    <col min="10" max="10" width="14.85546875" style="349" customWidth="1"/>
    <col min="11" max="11" width="15.42578125" style="349" customWidth="1"/>
    <col min="12" max="16" width="14.85546875" style="349" customWidth="1"/>
    <col min="17" max="17" width="15.5703125" style="349" customWidth="1"/>
    <col min="18" max="21" width="14.85546875" style="349" customWidth="1"/>
    <col min="22" max="22" width="16.85546875" style="349" customWidth="1"/>
    <col min="23" max="34" width="14.85546875" style="349" customWidth="1"/>
    <col min="35" max="16384" width="9.140625" style="349"/>
  </cols>
  <sheetData>
    <row r="2" spans="1:13" x14ac:dyDescent="0.2">
      <c r="A2" s="347" t="s">
        <v>255</v>
      </c>
      <c r="B2" s="348"/>
      <c r="C2" s="385" t="s">
        <v>400</v>
      </c>
      <c r="D2" s="347" t="s">
        <v>467</v>
      </c>
      <c r="E2" s="347" t="s">
        <v>538</v>
      </c>
      <c r="F2" s="347" t="s">
        <v>539</v>
      </c>
      <c r="G2" s="347" t="s">
        <v>540</v>
      </c>
      <c r="H2" s="347" t="s">
        <v>45</v>
      </c>
      <c r="I2" s="347" t="s">
        <v>229</v>
      </c>
      <c r="J2" s="435" t="s">
        <v>921</v>
      </c>
      <c r="M2" s="353"/>
    </row>
    <row r="3" spans="1:13" x14ac:dyDescent="0.2">
      <c r="A3" s="347" t="s">
        <v>303</v>
      </c>
      <c r="B3" s="348"/>
      <c r="C3" s="414">
        <v>41913</v>
      </c>
      <c r="D3" s="414">
        <v>42278</v>
      </c>
      <c r="E3" s="414">
        <v>42644</v>
      </c>
      <c r="F3" s="414">
        <v>43009</v>
      </c>
      <c r="G3" s="414">
        <v>43374</v>
      </c>
      <c r="H3" s="414">
        <v>43739</v>
      </c>
      <c r="I3" s="414">
        <v>44105</v>
      </c>
      <c r="J3" s="414">
        <v>44470</v>
      </c>
    </row>
    <row r="4" spans="1:13" s="352" customFormat="1" x14ac:dyDescent="0.2">
      <c r="A4" s="350" t="s">
        <v>273</v>
      </c>
      <c r="B4" s="351"/>
      <c r="C4" s="350">
        <v>2015</v>
      </c>
      <c r="D4" s="350">
        <f t="shared" ref="D4:J4" si="0">C4+1</f>
        <v>2016</v>
      </c>
      <c r="E4" s="350">
        <f t="shared" si="0"/>
        <v>2017</v>
      </c>
      <c r="F4" s="350">
        <f t="shared" si="0"/>
        <v>2018</v>
      </c>
      <c r="G4" s="350">
        <f t="shared" si="0"/>
        <v>2019</v>
      </c>
      <c r="H4" s="350">
        <f t="shared" si="0"/>
        <v>2020</v>
      </c>
      <c r="I4" s="350">
        <f t="shared" si="0"/>
        <v>2021</v>
      </c>
      <c r="J4" s="350">
        <f t="shared" si="0"/>
        <v>2022</v>
      </c>
    </row>
    <row r="5" spans="1:13" x14ac:dyDescent="0.2">
      <c r="B5" s="395"/>
    </row>
    <row r="7" spans="1:13" ht="15.75" x14ac:dyDescent="0.25">
      <c r="A7" s="397" t="s">
        <v>656</v>
      </c>
      <c r="B7" s="347"/>
      <c r="C7" s="624"/>
      <c r="D7" s="353"/>
    </row>
    <row r="8" spans="1:13" x14ac:dyDescent="0.2">
      <c r="A8" s="348"/>
      <c r="B8" s="347"/>
      <c r="C8" s="348"/>
      <c r="D8" s="347"/>
      <c r="E8" s="347"/>
    </row>
    <row r="9" spans="1:13" x14ac:dyDescent="0.2">
      <c r="A9" s="354" t="s">
        <v>647</v>
      </c>
      <c r="B9" s="347"/>
      <c r="C9" s="348"/>
      <c r="D9" s="347"/>
      <c r="E9" s="408" t="s">
        <v>725</v>
      </c>
      <c r="F9" s="347"/>
      <c r="G9" s="347"/>
      <c r="H9" s="347"/>
      <c r="J9" s="395"/>
      <c r="K9" s="395"/>
      <c r="L9" s="395" t="s">
        <v>771</v>
      </c>
    </row>
    <row r="10" spans="1:13" x14ac:dyDescent="0.2">
      <c r="A10" s="347" t="s">
        <v>443</v>
      </c>
      <c r="B10" s="347"/>
      <c r="C10" s="355">
        <v>4.5199999999999997E-2</v>
      </c>
      <c r="E10" s="448" t="s">
        <v>726</v>
      </c>
      <c r="F10" s="387">
        <v>2010</v>
      </c>
      <c r="G10" s="387">
        <v>2011</v>
      </c>
      <c r="H10" s="426">
        <v>2012</v>
      </c>
      <c r="I10" s="426">
        <v>2013</v>
      </c>
      <c r="J10" s="426">
        <v>2014</v>
      </c>
      <c r="K10" s="426">
        <v>2015</v>
      </c>
      <c r="L10" s="426">
        <v>2016</v>
      </c>
    </row>
    <row r="11" spans="1:13" x14ac:dyDescent="0.2">
      <c r="A11" s="347" t="s">
        <v>444</v>
      </c>
      <c r="B11" s="347"/>
      <c r="C11" s="355">
        <v>6.4600000000000005E-2</v>
      </c>
      <c r="E11" s="435" t="s">
        <v>727</v>
      </c>
      <c r="F11" s="449">
        <v>2.7150000000000001E-2</v>
      </c>
      <c r="G11" s="449">
        <v>2.6790000000000001E-2</v>
      </c>
      <c r="H11" s="449">
        <v>2.597E-2</v>
      </c>
      <c r="I11" s="647">
        <v>2.5180000000000001E-2</v>
      </c>
      <c r="J11" s="647">
        <v>2.4660000000000001E-2</v>
      </c>
      <c r="K11" s="1543">
        <v>2.35E-2</v>
      </c>
      <c r="L11" s="1543">
        <v>2.35E-2</v>
      </c>
    </row>
    <row r="12" spans="1:13" x14ac:dyDescent="0.2">
      <c r="A12" s="347" t="s">
        <v>445</v>
      </c>
      <c r="B12" s="347"/>
      <c r="C12" s="355">
        <v>4.0099999999999997E-2</v>
      </c>
      <c r="E12" s="435" t="s">
        <v>728</v>
      </c>
      <c r="F12" s="449">
        <v>1.3339999999999999E-2</v>
      </c>
      <c r="G12" s="449">
        <v>1.354E-2</v>
      </c>
      <c r="H12" s="449">
        <v>1.333E-2</v>
      </c>
      <c r="I12" s="647">
        <v>1.3440000000000001E-2</v>
      </c>
      <c r="J12" s="647">
        <v>1.336E-2</v>
      </c>
      <c r="K12" s="1543">
        <v>1.274E-2</v>
      </c>
      <c r="L12" s="1543">
        <v>1.274E-2</v>
      </c>
    </row>
    <row r="13" spans="1:13" x14ac:dyDescent="0.2">
      <c r="A13" s="347" t="s">
        <v>446</v>
      </c>
      <c r="B13" s="347"/>
      <c r="C13" s="355">
        <f>+C10+C11</f>
        <v>0.10980000000000001</v>
      </c>
      <c r="E13" s="435" t="s">
        <v>729</v>
      </c>
      <c r="F13" s="449">
        <v>8.9999999999999998E-4</v>
      </c>
      <c r="G13" s="449">
        <v>8.8999999999999995E-4</v>
      </c>
      <c r="H13" s="449">
        <v>8.9999999999999998E-4</v>
      </c>
      <c r="I13" s="648">
        <v>9.1E-4</v>
      </c>
      <c r="J13" s="647">
        <v>9.8999999999999999E-4</v>
      </c>
      <c r="K13" s="1543">
        <v>1.0499999999999999E-3</v>
      </c>
      <c r="L13" s="1543">
        <v>1.0499999999999999E-3</v>
      </c>
    </row>
    <row r="14" spans="1:13" x14ac:dyDescent="0.2">
      <c r="A14" s="354"/>
      <c r="B14" s="347"/>
      <c r="C14" s="347"/>
      <c r="E14" s="435" t="s">
        <v>730</v>
      </c>
      <c r="F14" s="449">
        <v>2.0899999999999998E-3</v>
      </c>
      <c r="G14" s="449">
        <v>2.1199999999999999E-3</v>
      </c>
      <c r="H14" s="449">
        <v>2.0899999999999998E-3</v>
      </c>
      <c r="I14" s="647">
        <v>1.99E-3</v>
      </c>
      <c r="J14" s="647">
        <v>1.91E-3</v>
      </c>
      <c r="K14" s="1543">
        <v>1.7700000000000001E-3</v>
      </c>
      <c r="L14" s="1543">
        <v>1.7700000000000001E-3</v>
      </c>
    </row>
    <row r="15" spans="1:13" x14ac:dyDescent="0.2">
      <c r="A15" s="356" t="s">
        <v>447</v>
      </c>
      <c r="B15" s="347"/>
      <c r="C15" s="347"/>
      <c r="E15" s="435" t="s">
        <v>731</v>
      </c>
      <c r="F15" s="449">
        <v>1.6330000000000001E-2</v>
      </c>
      <c r="G15" s="449">
        <v>1.6549999999999999E-2</v>
      </c>
      <c r="H15" s="449">
        <v>1.6320000000000001E-2</v>
      </c>
      <c r="I15" s="647">
        <v>1.634E-2</v>
      </c>
      <c r="J15" s="647">
        <v>1.6250000000000001E-2</v>
      </c>
      <c r="K15" s="1543">
        <v>1.555E-2</v>
      </c>
      <c r="L15" s="1543">
        <v>1.555E-2</v>
      </c>
    </row>
    <row r="16" spans="1:13" x14ac:dyDescent="0.2">
      <c r="A16" s="357" t="s">
        <v>448</v>
      </c>
      <c r="B16" s="347"/>
      <c r="C16" s="358">
        <v>2.3700000000000001E-3</v>
      </c>
      <c r="E16" s="416"/>
      <c r="F16" s="416"/>
      <c r="G16" s="416"/>
      <c r="H16" s="416"/>
      <c r="I16" s="416"/>
      <c r="J16" s="416"/>
    </row>
    <row r="17" spans="1:10" s="361" customFormat="1" x14ac:dyDescent="0.2">
      <c r="A17" s="359"/>
      <c r="B17" s="360"/>
      <c r="C17" s="360"/>
      <c r="E17" s="416"/>
      <c r="F17" s="416"/>
      <c r="G17" s="416"/>
      <c r="H17" s="416"/>
      <c r="I17" s="416"/>
      <c r="J17" s="416"/>
    </row>
    <row r="18" spans="1:10" x14ac:dyDescent="0.2">
      <c r="A18" s="356" t="s">
        <v>449</v>
      </c>
      <c r="B18" s="347"/>
      <c r="C18" s="362"/>
      <c r="E18" s="416"/>
      <c r="F18" s="416"/>
      <c r="G18" s="416"/>
      <c r="H18" s="416"/>
      <c r="I18" s="416"/>
      <c r="J18" s="416"/>
    </row>
    <row r="19" spans="1:10" x14ac:dyDescent="0.2">
      <c r="A19" s="357" t="s">
        <v>648</v>
      </c>
      <c r="B19" s="347"/>
      <c r="C19" s="363">
        <f>+C24</f>
        <v>66081.14</v>
      </c>
      <c r="D19" s="407">
        <v>66231.8</v>
      </c>
      <c r="E19" s="416"/>
      <c r="F19" s="416"/>
      <c r="G19" s="416"/>
      <c r="H19" s="416"/>
      <c r="I19" s="416"/>
      <c r="J19" s="416"/>
    </row>
    <row r="20" spans="1:10" x14ac:dyDescent="0.2">
      <c r="A20" s="364"/>
      <c r="B20" s="347"/>
      <c r="C20" s="347"/>
      <c r="E20" s="416"/>
      <c r="F20" s="416"/>
      <c r="G20" s="416"/>
      <c r="H20" s="416"/>
      <c r="I20" s="416"/>
      <c r="J20" s="416"/>
    </row>
    <row r="21" spans="1:10" x14ac:dyDescent="0.2">
      <c r="A21" s="356" t="s">
        <v>188</v>
      </c>
      <c r="B21" s="347"/>
      <c r="C21" s="363"/>
      <c r="D21" s="1510"/>
      <c r="E21" s="416"/>
      <c r="F21" s="416"/>
      <c r="G21" s="416"/>
      <c r="H21" s="416"/>
      <c r="I21" s="416"/>
      <c r="J21" s="416"/>
    </row>
    <row r="22" spans="1:10" x14ac:dyDescent="0.2">
      <c r="A22" s="364" t="s">
        <v>189</v>
      </c>
      <c r="B22" s="347"/>
      <c r="C22" s="1327">
        <v>83625.2</v>
      </c>
      <c r="D22" s="1544">
        <v>83743.11</v>
      </c>
      <c r="E22" s="1518"/>
      <c r="F22" s="416"/>
      <c r="G22" s="416"/>
      <c r="H22" s="416"/>
      <c r="I22" s="416"/>
      <c r="J22" s="416"/>
    </row>
    <row r="23" spans="1:10" x14ac:dyDescent="0.2">
      <c r="A23" s="402" t="s">
        <v>722</v>
      </c>
      <c r="B23" s="347"/>
      <c r="C23" s="1327">
        <v>2464</v>
      </c>
      <c r="D23" s="1544">
        <v>2468</v>
      </c>
      <c r="E23" s="961"/>
      <c r="F23" s="416"/>
      <c r="G23" s="416"/>
      <c r="H23" s="416"/>
      <c r="I23" s="416"/>
      <c r="J23" s="416"/>
    </row>
    <row r="24" spans="1:10" x14ac:dyDescent="0.2">
      <c r="A24" s="357" t="s">
        <v>190</v>
      </c>
      <c r="B24" s="347"/>
      <c r="C24" s="1327">
        <v>66081.14</v>
      </c>
      <c r="D24" s="1544">
        <v>66231.8</v>
      </c>
      <c r="E24" s="960"/>
      <c r="F24" s="363"/>
      <c r="G24" s="363"/>
      <c r="H24" s="347"/>
    </row>
    <row r="25" spans="1:10" x14ac:dyDescent="0.2">
      <c r="A25" s="357" t="s">
        <v>191</v>
      </c>
      <c r="B25" s="347"/>
      <c r="C25" s="1327">
        <v>28120.78</v>
      </c>
      <c r="D25" s="1544">
        <v>28192.66</v>
      </c>
      <c r="E25" s="960"/>
      <c r="F25" s="363"/>
      <c r="G25" s="363"/>
      <c r="H25" s="347"/>
    </row>
    <row r="26" spans="1:10" x14ac:dyDescent="0.2">
      <c r="A26" s="357" t="s">
        <v>192</v>
      </c>
      <c r="B26" s="347"/>
      <c r="C26" s="1327">
        <v>910.54</v>
      </c>
      <c r="D26" s="1544">
        <v>912.87</v>
      </c>
      <c r="E26" s="363"/>
      <c r="F26" s="363"/>
      <c r="G26" s="363"/>
      <c r="H26" s="347"/>
    </row>
    <row r="27" spans="1:10" x14ac:dyDescent="0.2">
      <c r="A27" s="357" t="s">
        <v>193</v>
      </c>
      <c r="B27" s="347"/>
      <c r="C27" s="1328">
        <v>41.69</v>
      </c>
      <c r="D27" s="1545">
        <v>41.67</v>
      </c>
      <c r="E27" s="365"/>
      <c r="F27" s="365"/>
      <c r="G27" s="365"/>
      <c r="H27" s="347"/>
    </row>
    <row r="28" spans="1:10" s="361" customFormat="1" x14ac:dyDescent="0.2">
      <c r="A28" s="359"/>
      <c r="B28" s="360"/>
      <c r="C28" s="360"/>
      <c r="D28" s="1546"/>
      <c r="E28" s="360"/>
      <c r="F28" s="360"/>
      <c r="G28" s="360"/>
      <c r="H28" s="360"/>
    </row>
    <row r="29" spans="1:10" x14ac:dyDescent="0.2">
      <c r="A29" s="597" t="s">
        <v>195</v>
      </c>
      <c r="B29" s="347"/>
      <c r="C29" s="347"/>
      <c r="D29" s="435"/>
      <c r="E29" s="347"/>
      <c r="F29" s="347"/>
      <c r="G29" s="347"/>
      <c r="H29" s="347"/>
    </row>
    <row r="30" spans="1:10" x14ac:dyDescent="0.2">
      <c r="A30" s="364" t="s">
        <v>189</v>
      </c>
      <c r="B30" s="347"/>
      <c r="C30" s="1327">
        <v>77561.34</v>
      </c>
      <c r="D30" s="1544">
        <v>77670.7</v>
      </c>
      <c r="E30" s="1518"/>
      <c r="F30" s="363"/>
      <c r="G30" s="363"/>
      <c r="H30" s="347"/>
    </row>
    <row r="31" spans="1:10" x14ac:dyDescent="0.2">
      <c r="A31" s="402" t="s">
        <v>722</v>
      </c>
      <c r="B31" s="347"/>
      <c r="C31" s="1327">
        <v>2654</v>
      </c>
      <c r="D31" s="1544">
        <v>2657</v>
      </c>
      <c r="E31" s="961"/>
      <c r="F31" s="363"/>
      <c r="G31" s="363"/>
      <c r="H31" s="347"/>
    </row>
    <row r="32" spans="1:10" x14ac:dyDescent="0.2">
      <c r="A32" s="357" t="s">
        <v>190</v>
      </c>
      <c r="B32" s="347"/>
      <c r="C32" s="1327">
        <v>60780.35</v>
      </c>
      <c r="D32" s="1544">
        <v>60918.93</v>
      </c>
      <c r="E32" s="960"/>
      <c r="F32" s="363"/>
      <c r="G32" s="363"/>
      <c r="H32" s="347"/>
    </row>
    <row r="33" spans="1:8" x14ac:dyDescent="0.2">
      <c r="A33" s="357" t="s">
        <v>191</v>
      </c>
      <c r="B33" s="347"/>
      <c r="C33" s="1327">
        <v>29015.17</v>
      </c>
      <c r="D33" s="1544">
        <v>29145.15</v>
      </c>
      <c r="E33" s="407"/>
      <c r="F33" s="363"/>
      <c r="G33" s="363"/>
      <c r="H33" s="347"/>
    </row>
    <row r="34" spans="1:8" x14ac:dyDescent="0.2">
      <c r="A34" s="357" t="s">
        <v>192</v>
      </c>
      <c r="B34" s="347"/>
      <c r="C34" s="1327">
        <v>782.97</v>
      </c>
      <c r="D34" s="1544">
        <v>786.48</v>
      </c>
      <c r="E34" s="363"/>
      <c r="F34" s="363"/>
      <c r="G34" s="363"/>
      <c r="H34" s="347"/>
    </row>
    <row r="35" spans="1:8" x14ac:dyDescent="0.2">
      <c r="A35" s="357" t="s">
        <v>193</v>
      </c>
      <c r="B35" s="347"/>
      <c r="C35" s="1328">
        <v>40.57</v>
      </c>
      <c r="D35" s="1545">
        <v>40.4</v>
      </c>
      <c r="E35" s="365"/>
      <c r="F35" s="365"/>
      <c r="G35" s="365"/>
      <c r="H35" s="347"/>
    </row>
    <row r="36" spans="1:8" s="361" customFormat="1" x14ac:dyDescent="0.2">
      <c r="A36" s="366"/>
      <c r="B36" s="360"/>
      <c r="C36" s="360"/>
      <c r="E36" s="360"/>
      <c r="F36" s="360"/>
      <c r="G36" s="360"/>
      <c r="H36" s="360"/>
    </row>
    <row r="37" spans="1:8" x14ac:dyDescent="0.2">
      <c r="A37" s="408" t="s">
        <v>663</v>
      </c>
      <c r="B37" s="347"/>
      <c r="C37" s="347"/>
      <c r="E37" s="347"/>
      <c r="F37" s="347"/>
      <c r="G37" s="347"/>
      <c r="H37" s="353"/>
    </row>
    <row r="38" spans="1:8" x14ac:dyDescent="0.2">
      <c r="A38" s="347" t="s">
        <v>450</v>
      </c>
      <c r="B38" s="347"/>
      <c r="C38" s="363">
        <f>ROUND(C19*$C16,2)</f>
        <v>156.61000000000001</v>
      </c>
      <c r="D38" s="363">
        <f>ROUND(D19*$C16,2)</f>
        <v>156.97</v>
      </c>
      <c r="E38" s="363"/>
      <c r="F38" s="363"/>
      <c r="G38" s="363"/>
      <c r="H38" s="353"/>
    </row>
    <row r="39" spans="1:8" x14ac:dyDescent="0.2">
      <c r="A39" s="347"/>
      <c r="B39" s="347"/>
      <c r="C39" s="347"/>
      <c r="E39" s="347"/>
      <c r="F39" s="347"/>
      <c r="G39" s="347"/>
      <c r="H39" s="353"/>
    </row>
    <row r="40" spans="1:8" x14ac:dyDescent="0.2">
      <c r="A40" s="348" t="s">
        <v>172</v>
      </c>
      <c r="B40" s="347"/>
      <c r="C40" s="348"/>
      <c r="E40" s="348"/>
      <c r="F40" s="348"/>
      <c r="G40" s="348"/>
      <c r="H40" s="353"/>
    </row>
    <row r="41" spans="1:8" x14ac:dyDescent="0.2">
      <c r="A41" s="347" t="s">
        <v>451</v>
      </c>
      <c r="B41" s="347"/>
      <c r="C41" s="367">
        <f>ROUND($C10*tab!C$25,2)</f>
        <v>1271.06</v>
      </c>
      <c r="D41" s="367">
        <f>ROUND($C10*tab!D$25,2)</f>
        <v>1274.31</v>
      </c>
      <c r="E41" s="367"/>
      <c r="F41" s="367"/>
      <c r="G41" s="367"/>
      <c r="H41" s="353"/>
    </row>
    <row r="42" spans="1:8" x14ac:dyDescent="0.2">
      <c r="A42" s="347" t="s">
        <v>452</v>
      </c>
      <c r="B42" s="347"/>
      <c r="C42" s="367">
        <f>ROUND(tab!$C10*tab!C$26,2)</f>
        <v>41.16</v>
      </c>
      <c r="D42" s="367">
        <f>ROUND(tab!$C10*tab!D$26,2)</f>
        <v>41.26</v>
      </c>
      <c r="E42" s="367"/>
      <c r="F42" s="367"/>
      <c r="G42" s="367"/>
      <c r="H42" s="353"/>
    </row>
    <row r="43" spans="1:8" x14ac:dyDescent="0.2">
      <c r="A43" s="347" t="s">
        <v>453</v>
      </c>
      <c r="B43" s="347"/>
      <c r="C43" s="367">
        <f>ROUND($C11*tab!C$25,2)</f>
        <v>1816.6</v>
      </c>
      <c r="D43" s="367">
        <f>ROUND($C11*tab!D$25,2)</f>
        <v>1821.25</v>
      </c>
      <c r="E43" s="367"/>
      <c r="F43" s="367"/>
      <c r="G43" s="367"/>
      <c r="H43" s="353"/>
    </row>
    <row r="44" spans="1:8" x14ac:dyDescent="0.2">
      <c r="A44" s="347" t="s">
        <v>454</v>
      </c>
      <c r="B44" s="347"/>
      <c r="C44" s="367">
        <f>ROUND(tab!$C11*tab!C$26,2)</f>
        <v>58.82</v>
      </c>
      <c r="D44" s="367">
        <f>ROUND(tab!$C11*tab!D$26,2)</f>
        <v>58.97</v>
      </c>
      <c r="E44" s="367"/>
      <c r="F44" s="367"/>
      <c r="G44" s="367"/>
      <c r="H44" s="353"/>
    </row>
    <row r="45" spans="1:8" x14ac:dyDescent="0.2">
      <c r="A45" s="347" t="s">
        <v>455</v>
      </c>
      <c r="B45" s="347"/>
      <c r="C45" s="367">
        <f>ROUND($C12*tab!C$25,2)</f>
        <v>1127.6400000000001</v>
      </c>
      <c r="D45" s="367">
        <f>ROUND($C12*tab!D$25,2)</f>
        <v>1130.53</v>
      </c>
      <c r="E45" s="367"/>
      <c r="F45" s="367"/>
      <c r="G45" s="367"/>
      <c r="H45" s="353"/>
    </row>
    <row r="46" spans="1:8" x14ac:dyDescent="0.2">
      <c r="A46" s="347" t="s">
        <v>456</v>
      </c>
      <c r="B46" s="347"/>
      <c r="C46" s="367">
        <f>ROUND(tab!$C12*tab!C$26,2)</f>
        <v>36.51</v>
      </c>
      <c r="D46" s="367">
        <f>ROUND(tab!$C12*tab!D$26,2)</f>
        <v>36.61</v>
      </c>
      <c r="E46" s="367"/>
      <c r="F46" s="367"/>
      <c r="G46" s="367"/>
      <c r="H46" s="353"/>
    </row>
    <row r="47" spans="1:8" x14ac:dyDescent="0.2">
      <c r="A47" s="347"/>
      <c r="B47" s="347"/>
      <c r="C47" s="367"/>
      <c r="E47" s="367"/>
      <c r="F47" s="367"/>
      <c r="G47" s="367"/>
      <c r="H47" s="353"/>
    </row>
    <row r="48" spans="1:8" x14ac:dyDescent="0.2">
      <c r="A48" s="348" t="s">
        <v>253</v>
      </c>
      <c r="B48" s="347"/>
      <c r="C48" s="348"/>
      <c r="E48" s="348"/>
      <c r="F48" s="348"/>
      <c r="G48" s="348"/>
      <c r="H48" s="353"/>
    </row>
    <row r="49" spans="1:46" x14ac:dyDescent="0.2">
      <c r="A49" s="347" t="s">
        <v>457</v>
      </c>
      <c r="B49" s="347"/>
      <c r="C49" s="363">
        <f>ROUND($C10*tab!C24,2)</f>
        <v>2986.87</v>
      </c>
      <c r="D49" s="363">
        <f>ROUND($C10*tab!D24,2)</f>
        <v>2993.68</v>
      </c>
      <c r="E49" s="365"/>
      <c r="F49" s="365"/>
      <c r="G49" s="365"/>
      <c r="H49" s="353"/>
    </row>
    <row r="50" spans="1:46" x14ac:dyDescent="0.2">
      <c r="A50" s="347" t="s">
        <v>450</v>
      </c>
      <c r="B50" s="347"/>
      <c r="C50" s="363">
        <f>ROUND($C11*tab!C24,2)</f>
        <v>4268.84</v>
      </c>
      <c r="D50" s="363">
        <f>ROUND($C11*tab!D24,2)</f>
        <v>4278.57</v>
      </c>
      <c r="E50" s="365"/>
      <c r="F50" s="365"/>
      <c r="G50" s="365"/>
      <c r="H50" s="353"/>
    </row>
    <row r="51" spans="1:46" x14ac:dyDescent="0.2">
      <c r="A51" s="347" t="s">
        <v>458</v>
      </c>
      <c r="B51" s="347"/>
      <c r="C51" s="363">
        <f>ROUND($C12*tab!C24,2)</f>
        <v>2649.85</v>
      </c>
      <c r="D51" s="363">
        <f>ROUND($C12*tab!D24,2)</f>
        <v>2655.9</v>
      </c>
      <c r="E51" s="365"/>
      <c r="F51" s="365"/>
      <c r="G51" s="365"/>
      <c r="H51" s="353"/>
    </row>
    <row r="52" spans="1:46" x14ac:dyDescent="0.2">
      <c r="A52" s="347" t="s">
        <v>459</v>
      </c>
      <c r="B52" s="347"/>
      <c r="C52" s="363">
        <f>ROUND($C13*tab!C24,2)</f>
        <v>7255.71</v>
      </c>
      <c r="D52" s="363">
        <f>ROUND($C13*tab!D24,2)</f>
        <v>7272.25</v>
      </c>
      <c r="E52" s="365"/>
      <c r="F52" s="365"/>
      <c r="G52" s="372"/>
      <c r="H52" s="353"/>
    </row>
    <row r="53" spans="1:46" s="361" customFormat="1" x14ac:dyDescent="0.2">
      <c r="A53" s="360"/>
      <c r="B53" s="360"/>
      <c r="C53" s="360"/>
      <c r="F53" s="396" t="s">
        <v>1028</v>
      </c>
      <c r="G53" s="372"/>
      <c r="H53" s="368"/>
    </row>
    <row r="54" spans="1:46" x14ac:dyDescent="0.2">
      <c r="A54" s="413" t="s">
        <v>664</v>
      </c>
      <c r="B54" s="347"/>
      <c r="C54" s="369">
        <f>C4</f>
        <v>2015</v>
      </c>
      <c r="D54" s="369">
        <f>D4</f>
        <v>2016</v>
      </c>
      <c r="E54" s="369">
        <v>2017</v>
      </c>
      <c r="F54" s="1331">
        <v>0</v>
      </c>
      <c r="G54" s="372"/>
      <c r="H54" s="347"/>
      <c r="I54" s="347"/>
    </row>
    <row r="55" spans="1:46" x14ac:dyDescent="0.2">
      <c r="A55" s="364" t="s">
        <v>649</v>
      </c>
      <c r="B55" s="347"/>
      <c r="C55" s="367">
        <v>785</v>
      </c>
      <c r="D55" s="367">
        <v>787</v>
      </c>
      <c r="E55" s="367">
        <f>ROUND(D55*(1+F$54),0)</f>
        <v>787</v>
      </c>
      <c r="G55" s="367"/>
      <c r="H55" s="372"/>
      <c r="I55" s="367"/>
      <c r="J55" s="367"/>
      <c r="K55" s="367"/>
    </row>
    <row r="56" spans="1:46" x14ac:dyDescent="0.2">
      <c r="A56" s="364" t="s">
        <v>650</v>
      </c>
      <c r="B56" s="347"/>
      <c r="C56" s="367">
        <v>223.32</v>
      </c>
      <c r="D56" s="367">
        <v>223.77</v>
      </c>
      <c r="E56" s="367">
        <f>ROUND(D56*(1+F$54),2)</f>
        <v>223.77</v>
      </c>
      <c r="G56" s="367"/>
      <c r="H56" s="367"/>
      <c r="I56" s="367"/>
      <c r="J56" s="367"/>
      <c r="K56" s="367"/>
    </row>
    <row r="57" spans="1:46" x14ac:dyDescent="0.2">
      <c r="A57" s="364" t="s">
        <v>460</v>
      </c>
      <c r="B57" s="347"/>
      <c r="C57" s="367">
        <v>7.43</v>
      </c>
      <c r="D57" s="367">
        <v>7.44</v>
      </c>
      <c r="E57" s="367">
        <f>ROUND(D57*(1+F$54),2)</f>
        <v>7.44</v>
      </c>
      <c r="G57" s="363"/>
      <c r="H57" s="416"/>
      <c r="I57" s="416"/>
      <c r="J57" s="416"/>
      <c r="K57" s="416"/>
      <c r="L57" s="416"/>
    </row>
    <row r="58" spans="1:46" s="361" customFormat="1" x14ac:dyDescent="0.2">
      <c r="A58" s="359"/>
      <c r="B58" s="360"/>
      <c r="C58" s="360"/>
      <c r="E58" s="360"/>
      <c r="F58" s="360"/>
      <c r="G58" s="416"/>
      <c r="H58" s="416"/>
      <c r="I58" s="416"/>
      <c r="J58" s="416"/>
      <c r="K58" s="416"/>
      <c r="L58" s="349"/>
    </row>
    <row r="59" spans="1:46" x14ac:dyDescent="0.2">
      <c r="A59" s="348" t="s">
        <v>254</v>
      </c>
      <c r="B59" s="347"/>
      <c r="C59" s="362"/>
      <c r="E59" s="347"/>
      <c r="F59" s="347"/>
      <c r="G59" s="416"/>
      <c r="H59" s="416"/>
      <c r="I59" s="416"/>
      <c r="J59" s="416"/>
      <c r="K59" s="416"/>
      <c r="L59" s="411"/>
    </row>
    <row r="60" spans="1:46" x14ac:dyDescent="0.2">
      <c r="A60" s="347" t="s">
        <v>301</v>
      </c>
      <c r="B60" s="347"/>
      <c r="C60" s="1327">
        <v>112.22</v>
      </c>
      <c r="E60" s="347"/>
      <c r="F60" s="347"/>
      <c r="G60" s="416"/>
      <c r="H60" s="416"/>
      <c r="I60" s="416"/>
      <c r="J60" s="416"/>
      <c r="K60" s="416"/>
      <c r="L60" s="445"/>
      <c r="M60" s="447"/>
      <c r="N60" s="412"/>
      <c r="O60" s="412"/>
    </row>
    <row r="61" spans="1:46" s="361" customFormat="1" x14ac:dyDescent="0.2">
      <c r="A61" s="366"/>
      <c r="B61" s="360"/>
      <c r="C61" s="368"/>
      <c r="H61" s="349"/>
      <c r="I61" s="454"/>
      <c r="J61" s="454"/>
      <c r="K61" s="454"/>
      <c r="L61" s="454"/>
      <c r="M61" s="455"/>
      <c r="N61" s="456"/>
      <c r="O61" s="455"/>
    </row>
    <row r="62" spans="1:46" x14ac:dyDescent="0.2">
      <c r="I62" s="457"/>
      <c r="J62" s="457"/>
      <c r="K62" s="457"/>
      <c r="L62" s="457"/>
      <c r="M62" s="457"/>
      <c r="N62" s="457"/>
      <c r="O62" s="457"/>
      <c r="R62" s="361"/>
      <c r="S62" s="361"/>
      <c r="T62" s="361"/>
      <c r="U62" s="361"/>
      <c r="V62" s="361"/>
      <c r="W62" s="361"/>
      <c r="X62" s="361"/>
      <c r="Y62" s="361"/>
      <c r="Z62" s="361"/>
      <c r="AA62" s="361"/>
      <c r="AB62" s="361"/>
      <c r="AC62" s="361"/>
      <c r="AD62" s="361"/>
      <c r="AE62" s="361"/>
      <c r="AF62" s="361"/>
      <c r="AG62" s="361"/>
      <c r="AH62" s="361"/>
      <c r="AI62" s="361"/>
      <c r="AJ62" s="361"/>
      <c r="AK62" s="361"/>
      <c r="AL62" s="361"/>
      <c r="AM62" s="361"/>
      <c r="AN62" s="361"/>
      <c r="AO62" s="361"/>
    </row>
    <row r="63" spans="1:46" ht="15.75" x14ac:dyDescent="0.25">
      <c r="A63" s="397" t="s">
        <v>461</v>
      </c>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row>
    <row r="64" spans="1:46" x14ac:dyDescent="0.2">
      <c r="A64" s="370" t="s">
        <v>636</v>
      </c>
      <c r="C64" s="415" t="str">
        <f t="shared" ref="C64:I64" si="1">+C2</f>
        <v>2015/16</v>
      </c>
      <c r="D64" s="415" t="str">
        <f t="shared" si="1"/>
        <v>2016/17</v>
      </c>
      <c r="E64" s="415" t="str">
        <f t="shared" si="1"/>
        <v>2017/18</v>
      </c>
      <c r="F64" s="415" t="str">
        <f t="shared" si="1"/>
        <v>2018/19</v>
      </c>
      <c r="G64" s="415" t="str">
        <f t="shared" si="1"/>
        <v>2019/20</v>
      </c>
      <c r="H64" s="415" t="str">
        <f t="shared" si="1"/>
        <v>2020/21</v>
      </c>
      <c r="I64" s="415" t="str">
        <f t="shared" si="1"/>
        <v>2021/22</v>
      </c>
      <c r="W64" s="361"/>
      <c r="X64" s="361"/>
      <c r="Y64" s="361"/>
      <c r="Z64" s="361"/>
      <c r="AA64" s="361"/>
      <c r="AB64" s="361"/>
      <c r="AC64" s="361"/>
      <c r="AD64" s="361"/>
      <c r="AE64" s="361"/>
      <c r="AF64" s="361"/>
      <c r="AG64" s="361"/>
      <c r="AH64" s="361"/>
      <c r="AI64" s="361"/>
      <c r="AJ64" s="361"/>
      <c r="AK64" s="361"/>
      <c r="AL64" s="361"/>
      <c r="AM64" s="361"/>
      <c r="AN64" s="361"/>
      <c r="AO64" s="361"/>
      <c r="AP64" s="361"/>
      <c r="AQ64" s="361"/>
      <c r="AR64" s="361"/>
      <c r="AS64" s="361"/>
      <c r="AT64" s="361"/>
    </row>
    <row r="65" spans="1:46" x14ac:dyDescent="0.2">
      <c r="A65" s="395" t="s">
        <v>783</v>
      </c>
      <c r="C65" s="578">
        <v>4.8939999999999999E-3</v>
      </c>
      <c r="D65" s="578">
        <v>4.8939999999999999E-3</v>
      </c>
      <c r="E65" s="578">
        <v>4.8939999999999999E-3</v>
      </c>
      <c r="F65" s="578">
        <v>4.8939999999999999E-3</v>
      </c>
      <c r="G65" s="578">
        <v>4.8939999999999999E-3</v>
      </c>
      <c r="H65" s="578">
        <v>4.8939999999999999E-3</v>
      </c>
      <c r="I65" s="578">
        <v>4.8939999999999999E-3</v>
      </c>
      <c r="J65" s="617"/>
      <c r="K65" s="618"/>
      <c r="L65" s="617"/>
      <c r="W65" s="361"/>
      <c r="X65" s="361"/>
      <c r="Y65" s="361"/>
      <c r="Z65" s="361"/>
      <c r="AA65" s="361"/>
      <c r="AB65" s="361"/>
      <c r="AC65" s="361"/>
      <c r="AD65" s="361"/>
      <c r="AE65" s="361"/>
      <c r="AF65" s="361"/>
      <c r="AG65" s="361"/>
      <c r="AH65" s="361"/>
      <c r="AI65" s="361"/>
      <c r="AJ65" s="361"/>
      <c r="AK65" s="361"/>
      <c r="AL65" s="361"/>
      <c r="AM65" s="361"/>
      <c r="AN65" s="361"/>
      <c r="AO65" s="361"/>
      <c r="AP65" s="361"/>
      <c r="AQ65" s="361"/>
      <c r="AR65" s="361"/>
      <c r="AS65" s="361"/>
      <c r="AT65" s="361"/>
    </row>
    <row r="66" spans="1:46" x14ac:dyDescent="0.2">
      <c r="A66" s="395" t="s">
        <v>658</v>
      </c>
      <c r="C66" s="969">
        <f>ROUND(C65*$C123,2)+7.7-2.01+0.21</f>
        <v>318.83</v>
      </c>
      <c r="D66" s="969">
        <f>ROUND(D65*$C123,2)+7.7+3.08-2.01+1.05</f>
        <v>322.75</v>
      </c>
      <c r="E66" s="969">
        <f>ROUND(E65*$C123,2)+7.7+3.08-2.01+1.36</f>
        <v>323.06</v>
      </c>
      <c r="F66" s="969">
        <f>ROUND(F65*$C123,2)+7.7+3.08-2.01+1.93</f>
        <v>323.63</v>
      </c>
      <c r="G66" s="969">
        <f t="shared" ref="G66:I66" si="2">ROUND(G65*$C123,2)+7.7+3.08-2.01+1.93</f>
        <v>323.63</v>
      </c>
      <c r="H66" s="969">
        <f t="shared" si="2"/>
        <v>323.63</v>
      </c>
      <c r="I66" s="969">
        <f t="shared" si="2"/>
        <v>323.63</v>
      </c>
      <c r="J66" s="575"/>
      <c r="K66" s="574"/>
      <c r="L66" s="574"/>
      <c r="M66" s="574"/>
      <c r="N66" s="574"/>
      <c r="V66" s="361"/>
      <c r="W66" s="361"/>
      <c r="X66" s="361"/>
      <c r="Y66" s="361"/>
      <c r="Z66" s="361"/>
      <c r="AA66" s="361"/>
      <c r="AB66" s="361"/>
      <c r="AC66" s="361"/>
      <c r="AD66" s="361"/>
      <c r="AE66" s="361"/>
      <c r="AF66" s="361"/>
      <c r="AG66" s="361"/>
      <c r="AH66" s="361"/>
      <c r="AI66" s="361"/>
      <c r="AJ66" s="361"/>
      <c r="AK66" s="361"/>
      <c r="AL66" s="361"/>
      <c r="AM66" s="361"/>
      <c r="AN66" s="361"/>
      <c r="AO66" s="361"/>
      <c r="AP66" s="361"/>
      <c r="AQ66" s="361"/>
      <c r="AR66" s="361"/>
      <c r="AS66" s="361"/>
    </row>
    <row r="67" spans="1:46" x14ac:dyDescent="0.2">
      <c r="F67" s="575"/>
      <c r="G67" s="577"/>
      <c r="H67" s="576"/>
      <c r="I67" s="576"/>
      <c r="J67" s="576"/>
      <c r="R67" s="361"/>
      <c r="S67" s="361"/>
      <c r="T67" s="361"/>
      <c r="U67" s="361"/>
      <c r="V67" s="361"/>
      <c r="W67" s="361"/>
      <c r="X67" s="361"/>
      <c r="Y67" s="361"/>
      <c r="Z67" s="361"/>
      <c r="AA67" s="361"/>
      <c r="AB67" s="361"/>
      <c r="AC67" s="361"/>
      <c r="AD67" s="361"/>
      <c r="AE67" s="361"/>
      <c r="AF67" s="361"/>
      <c r="AG67" s="361"/>
      <c r="AH67" s="361"/>
      <c r="AI67" s="361"/>
      <c r="AJ67" s="361"/>
      <c r="AK67" s="361"/>
      <c r="AL67" s="361"/>
      <c r="AM67" s="361"/>
      <c r="AN67" s="361"/>
      <c r="AO67" s="361"/>
      <c r="AP67" s="347"/>
      <c r="AQ67" s="347"/>
      <c r="AR67" s="347"/>
      <c r="AS67" s="347"/>
      <c r="AT67" s="347"/>
    </row>
    <row r="68" spans="1:46" x14ac:dyDescent="0.2">
      <c r="A68" s="370" t="s">
        <v>637</v>
      </c>
      <c r="C68" s="371">
        <f>+C4</f>
        <v>2015</v>
      </c>
      <c r="D68" s="371">
        <f>+D4</f>
        <v>2016</v>
      </c>
      <c r="F68" s="575"/>
      <c r="G68" s="574"/>
      <c r="H68" s="576"/>
      <c r="I68" s="576"/>
      <c r="J68" s="576"/>
      <c r="O68" s="361"/>
      <c r="P68" s="361"/>
      <c r="Q68" s="361"/>
      <c r="R68" s="361"/>
      <c r="S68" s="361"/>
      <c r="T68" s="361"/>
      <c r="U68" s="361"/>
      <c r="V68" s="361"/>
      <c r="W68" s="361"/>
      <c r="X68" s="361"/>
      <c r="Y68" s="361"/>
      <c r="Z68" s="361"/>
      <c r="AA68" s="361"/>
      <c r="AB68" s="361"/>
      <c r="AC68" s="361"/>
      <c r="AD68" s="361"/>
      <c r="AE68" s="361"/>
      <c r="AF68" s="361"/>
      <c r="AG68" s="361"/>
      <c r="AH68" s="361"/>
      <c r="AI68" s="361"/>
      <c r="AJ68" s="361"/>
      <c r="AK68" s="361"/>
      <c r="AL68" s="361"/>
      <c r="AM68" s="347"/>
      <c r="AN68" s="347"/>
      <c r="AO68" s="347"/>
      <c r="AP68" s="347"/>
      <c r="AQ68" s="347"/>
    </row>
    <row r="69" spans="1:46" x14ac:dyDescent="0.2">
      <c r="A69" s="403" t="s">
        <v>1015</v>
      </c>
      <c r="C69" s="373">
        <v>30.01</v>
      </c>
      <c r="D69" s="373">
        <v>30.64</v>
      </c>
      <c r="F69" s="401"/>
      <c r="O69" s="361"/>
      <c r="P69" s="361"/>
      <c r="Q69" s="361"/>
      <c r="R69" s="361"/>
      <c r="S69" s="361"/>
      <c r="T69" s="361"/>
      <c r="U69" s="361"/>
      <c r="V69" s="361"/>
      <c r="W69" s="361"/>
      <c r="X69" s="361"/>
      <c r="Y69" s="361"/>
      <c r="Z69" s="361"/>
      <c r="AA69" s="361"/>
      <c r="AB69" s="361"/>
      <c r="AC69" s="361"/>
      <c r="AD69" s="361"/>
      <c r="AE69" s="361"/>
      <c r="AF69" s="361"/>
      <c r="AG69" s="361"/>
      <c r="AH69" s="361"/>
      <c r="AI69" s="361"/>
      <c r="AJ69" s="361"/>
      <c r="AK69" s="361"/>
      <c r="AL69" s="361"/>
      <c r="AM69" s="372"/>
      <c r="AN69" s="372"/>
      <c r="AO69" s="372"/>
      <c r="AP69" s="372"/>
    </row>
    <row r="70" spans="1:46" x14ac:dyDescent="0.2">
      <c r="C70" s="373"/>
      <c r="D70" s="373"/>
      <c r="F70" s="401"/>
      <c r="O70" s="361"/>
      <c r="P70" s="361"/>
      <c r="Q70" s="361"/>
      <c r="R70" s="361"/>
      <c r="S70" s="361"/>
      <c r="T70" s="361"/>
      <c r="U70" s="361"/>
      <c r="V70" s="361"/>
      <c r="W70" s="361"/>
      <c r="X70" s="361"/>
      <c r="Y70" s="361"/>
      <c r="Z70" s="361"/>
      <c r="AA70" s="361"/>
      <c r="AB70" s="361"/>
      <c r="AC70" s="361"/>
      <c r="AD70" s="361"/>
      <c r="AE70" s="361"/>
      <c r="AF70" s="361"/>
      <c r="AG70" s="361"/>
      <c r="AH70" s="361"/>
      <c r="AI70" s="361"/>
      <c r="AJ70" s="361"/>
      <c r="AK70" s="361"/>
      <c r="AL70" s="361"/>
      <c r="AM70" s="372"/>
      <c r="AN70" s="372"/>
      <c r="AO70" s="372"/>
      <c r="AP70" s="372"/>
    </row>
    <row r="71" spans="1:46" x14ac:dyDescent="0.2">
      <c r="A71" s="410" t="s">
        <v>675</v>
      </c>
      <c r="C71" s="395" t="s">
        <v>636</v>
      </c>
      <c r="D71" s="395" t="s">
        <v>637</v>
      </c>
      <c r="O71" s="361"/>
      <c r="P71" s="361"/>
      <c r="Q71" s="361"/>
      <c r="R71" s="361"/>
      <c r="S71" s="361"/>
      <c r="T71" s="361"/>
      <c r="U71" s="361"/>
      <c r="V71" s="361"/>
      <c r="W71" s="361"/>
      <c r="X71" s="361"/>
      <c r="Y71" s="361"/>
      <c r="Z71" s="361"/>
      <c r="AA71" s="361"/>
      <c r="AB71" s="361"/>
      <c r="AC71" s="361"/>
      <c r="AD71" s="361"/>
      <c r="AE71" s="361"/>
      <c r="AF71" s="361"/>
      <c r="AG71" s="361"/>
      <c r="AH71" s="361"/>
      <c r="AI71" s="361"/>
      <c r="AJ71" s="361"/>
      <c r="AK71" s="361"/>
      <c r="AL71" s="361"/>
      <c r="AM71" s="372"/>
      <c r="AN71" s="372"/>
      <c r="AO71" s="372"/>
      <c r="AP71" s="372"/>
    </row>
    <row r="72" spans="1:46" x14ac:dyDescent="0.2">
      <c r="A72" s="349" t="s">
        <v>630</v>
      </c>
      <c r="C72" s="406">
        <f>+'geg ZO'!I12</f>
        <v>0</v>
      </c>
      <c r="D72" s="406">
        <f>'geg ZO'!J12</f>
        <v>0</v>
      </c>
      <c r="O72" s="361"/>
      <c r="P72" s="361"/>
      <c r="Q72" s="361"/>
      <c r="R72" s="361"/>
      <c r="S72" s="361"/>
      <c r="T72" s="361"/>
      <c r="U72" s="361"/>
      <c r="V72" s="361"/>
      <c r="W72" s="361"/>
      <c r="X72" s="361"/>
      <c r="Y72" s="361"/>
      <c r="Z72" s="361"/>
      <c r="AA72" s="361"/>
      <c r="AB72" s="361"/>
      <c r="AC72" s="361"/>
      <c r="AD72" s="361"/>
      <c r="AE72" s="361"/>
      <c r="AF72" s="361"/>
      <c r="AG72" s="361"/>
      <c r="AH72" s="361"/>
      <c r="AI72" s="361"/>
      <c r="AJ72" s="361"/>
      <c r="AK72" s="361"/>
      <c r="AL72" s="361"/>
      <c r="AM72" s="372"/>
      <c r="AN72" s="372"/>
      <c r="AO72" s="372"/>
      <c r="AP72" s="372"/>
    </row>
    <row r="73" spans="1:46" x14ac:dyDescent="0.2">
      <c r="A73" s="349" t="s">
        <v>646</v>
      </c>
      <c r="C73" s="406">
        <f>'geg ZO'!I13</f>
        <v>0</v>
      </c>
      <c r="D73" s="406">
        <f>'geg ZO'!J13</f>
        <v>0</v>
      </c>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72"/>
      <c r="AN73" s="372"/>
      <c r="AO73" s="372"/>
      <c r="AP73" s="372"/>
    </row>
    <row r="74" spans="1:46" x14ac:dyDescent="0.2">
      <c r="A74" s="349" t="s">
        <v>105</v>
      </c>
      <c r="C74" s="406">
        <f>IF(C72&gt;C73,C72-C73,0)</f>
        <v>0</v>
      </c>
      <c r="D74" s="406">
        <f>IF(D72&gt;D73,D72-D73,0)</f>
        <v>0</v>
      </c>
      <c r="O74" s="361"/>
      <c r="P74" s="361"/>
      <c r="Q74" s="361"/>
      <c r="R74" s="361"/>
      <c r="S74" s="361"/>
      <c r="T74" s="361"/>
      <c r="U74" s="361"/>
      <c r="V74" s="361"/>
      <c r="W74" s="361"/>
      <c r="X74" s="361"/>
      <c r="Y74" s="361"/>
      <c r="Z74" s="361"/>
      <c r="AA74" s="361"/>
      <c r="AB74" s="361"/>
      <c r="AC74" s="361"/>
      <c r="AD74" s="361"/>
      <c r="AE74" s="361"/>
      <c r="AF74" s="361"/>
      <c r="AG74" s="361"/>
      <c r="AH74" s="361"/>
      <c r="AI74" s="361"/>
      <c r="AJ74" s="361"/>
      <c r="AK74" s="361"/>
      <c r="AL74" s="361"/>
      <c r="AM74" s="372"/>
      <c r="AN74" s="372"/>
      <c r="AO74" s="372"/>
      <c r="AP74" s="372"/>
    </row>
    <row r="75" spans="1:46" x14ac:dyDescent="0.2">
      <c r="A75" s="349" t="s">
        <v>104</v>
      </c>
      <c r="C75" s="406">
        <f>IF(C72&lt;C73,C73-C72,0)</f>
        <v>0</v>
      </c>
      <c r="D75" s="406">
        <f>IF(D72&lt;D73,D73-D72,0)</f>
        <v>0</v>
      </c>
      <c r="O75" s="361"/>
      <c r="P75" s="361"/>
      <c r="Q75" s="361"/>
      <c r="R75" s="361"/>
      <c r="S75" s="361"/>
      <c r="T75" s="361"/>
      <c r="U75" s="361"/>
      <c r="V75" s="361"/>
      <c r="W75" s="361"/>
      <c r="X75" s="361"/>
      <c r="Y75" s="361"/>
      <c r="Z75" s="361"/>
      <c r="AA75" s="361"/>
      <c r="AB75" s="361"/>
      <c r="AC75" s="361"/>
      <c r="AD75" s="361"/>
      <c r="AE75" s="361"/>
      <c r="AF75" s="361"/>
      <c r="AG75" s="361"/>
      <c r="AH75" s="361"/>
      <c r="AI75" s="361"/>
      <c r="AJ75" s="361"/>
      <c r="AK75" s="361"/>
      <c r="AL75" s="361"/>
      <c r="AM75" s="372"/>
      <c r="AN75" s="372"/>
      <c r="AO75" s="372"/>
      <c r="AP75" s="372"/>
    </row>
    <row r="76" spans="1:46" x14ac:dyDescent="0.2">
      <c r="A76" s="395" t="s">
        <v>124</v>
      </c>
      <c r="C76" s="407">
        <f>+C73-C72</f>
        <v>0</v>
      </c>
      <c r="D76" s="407">
        <f>+D73-D72</f>
        <v>0</v>
      </c>
      <c r="O76" s="361"/>
      <c r="P76" s="361"/>
      <c r="Q76" s="361"/>
      <c r="R76" s="361"/>
      <c r="S76" s="361"/>
      <c r="T76" s="361"/>
      <c r="U76" s="361"/>
      <c r="V76" s="361"/>
      <c r="W76" s="361"/>
      <c r="X76" s="361"/>
      <c r="Y76" s="361"/>
      <c r="Z76" s="361"/>
      <c r="AA76" s="361"/>
      <c r="AB76" s="361"/>
      <c r="AC76" s="361"/>
      <c r="AD76" s="361"/>
      <c r="AE76" s="361"/>
      <c r="AF76" s="361"/>
      <c r="AG76" s="361"/>
      <c r="AH76" s="361"/>
      <c r="AI76" s="361"/>
      <c r="AJ76" s="361"/>
      <c r="AK76" s="361"/>
      <c r="AL76" s="361"/>
      <c r="AM76" s="372"/>
      <c r="AN76" s="372"/>
      <c r="AO76" s="372"/>
      <c r="AP76" s="372"/>
    </row>
    <row r="77" spans="1:46" x14ac:dyDescent="0.2">
      <c r="C77" s="376">
        <v>1</v>
      </c>
      <c r="D77" s="596" t="s">
        <v>818</v>
      </c>
      <c r="E77" s="596" t="s">
        <v>819</v>
      </c>
      <c r="F77" s="583">
        <v>0.6</v>
      </c>
      <c r="G77" s="583">
        <v>0.3</v>
      </c>
      <c r="H77" s="583">
        <v>0</v>
      </c>
      <c r="O77" s="361"/>
      <c r="P77" s="361"/>
      <c r="Q77" s="361"/>
      <c r="R77" s="361"/>
      <c r="S77" s="361"/>
      <c r="T77" s="361"/>
      <c r="U77" s="361"/>
      <c r="V77" s="361"/>
      <c r="W77" s="361"/>
      <c r="X77" s="361"/>
      <c r="Y77" s="361"/>
      <c r="Z77" s="361"/>
      <c r="AA77" s="361"/>
      <c r="AB77" s="361"/>
      <c r="AC77" s="361"/>
      <c r="AD77" s="361"/>
      <c r="AE77" s="361"/>
      <c r="AF77" s="361"/>
      <c r="AG77" s="361"/>
      <c r="AH77" s="361"/>
      <c r="AI77" s="361"/>
      <c r="AJ77" s="361"/>
      <c r="AK77" s="361"/>
      <c r="AL77" s="361"/>
      <c r="AM77" s="372"/>
      <c r="AN77" s="372"/>
      <c r="AO77" s="372"/>
      <c r="AP77" s="372"/>
    </row>
    <row r="78" spans="1:46" x14ac:dyDescent="0.2">
      <c r="C78" s="983" t="str">
        <f t="shared" ref="C78:H78" si="3">C2</f>
        <v>2015/16</v>
      </c>
      <c r="D78" s="983" t="str">
        <f t="shared" si="3"/>
        <v>2016/17</v>
      </c>
      <c r="E78" s="983" t="str">
        <f t="shared" si="3"/>
        <v>2017/18</v>
      </c>
      <c r="F78" s="983" t="str">
        <f t="shared" si="3"/>
        <v>2018/19</v>
      </c>
      <c r="G78" s="983" t="str">
        <f t="shared" si="3"/>
        <v>2019/20</v>
      </c>
      <c r="H78" s="983" t="str">
        <f t="shared" si="3"/>
        <v>2020/21</v>
      </c>
      <c r="O78" s="361"/>
      <c r="P78" s="361"/>
      <c r="Q78" s="361"/>
      <c r="R78" s="361"/>
      <c r="S78" s="361"/>
      <c r="T78" s="361"/>
      <c r="U78" s="361"/>
      <c r="V78" s="361"/>
      <c r="W78" s="361"/>
      <c r="X78" s="361"/>
      <c r="Y78" s="361"/>
      <c r="Z78" s="361"/>
      <c r="AA78" s="361"/>
      <c r="AB78" s="361"/>
      <c r="AC78" s="361"/>
      <c r="AD78" s="361"/>
      <c r="AE78" s="361"/>
      <c r="AF78" s="361"/>
      <c r="AG78" s="361"/>
      <c r="AH78" s="361"/>
      <c r="AI78" s="361"/>
      <c r="AJ78" s="361"/>
      <c r="AK78" s="361"/>
      <c r="AL78" s="361"/>
      <c r="AM78" s="372"/>
      <c r="AN78" s="372"/>
      <c r="AO78" s="372"/>
      <c r="AP78" s="372"/>
    </row>
    <row r="79" spans="1:46" x14ac:dyDescent="0.2">
      <c r="A79" s="451" t="s">
        <v>92</v>
      </c>
      <c r="C79" s="407">
        <f>+$C76*C77</f>
        <v>0</v>
      </c>
      <c r="D79" s="407">
        <f>ROUND(IF($C81&lt;0,$C81*0.9,$C81*0.95),2)</f>
        <v>0</v>
      </c>
      <c r="E79" s="407">
        <f>ROUND(IF($C81&lt;0,$C81*0.75,$C81*0.8)*(1+D80),2)</f>
        <v>0</v>
      </c>
      <c r="F79" s="407">
        <f>ROUND(+$C81*F77*(1+D80)*(1+E80),2)</f>
        <v>0</v>
      </c>
      <c r="G79" s="407">
        <f>ROUND(+$C81*G77*(1+D80)*(1+E80)*(1+F80),2)</f>
        <v>0</v>
      </c>
      <c r="H79" s="375">
        <f>ROUND(+$C81*H77,2)</f>
        <v>0</v>
      </c>
      <c r="O79" s="361"/>
      <c r="P79" s="361"/>
      <c r="Q79" s="361"/>
      <c r="R79" s="361"/>
      <c r="S79" s="361"/>
      <c r="T79" s="361"/>
      <c r="U79" s="361"/>
      <c r="V79" s="361"/>
      <c r="W79" s="361"/>
      <c r="X79" s="361"/>
      <c r="Y79" s="361"/>
      <c r="Z79" s="361"/>
      <c r="AA79" s="361"/>
      <c r="AB79" s="361"/>
      <c r="AC79" s="361"/>
      <c r="AD79" s="361"/>
      <c r="AE79" s="361"/>
      <c r="AF79" s="361"/>
      <c r="AG79" s="361"/>
      <c r="AH79" s="361"/>
      <c r="AI79" s="361"/>
      <c r="AJ79" s="361"/>
      <c r="AK79" s="361"/>
      <c r="AL79" s="361"/>
      <c r="AM79" s="372"/>
      <c r="AN79" s="372"/>
      <c r="AO79" s="372"/>
      <c r="AP79" s="372"/>
    </row>
    <row r="80" spans="1:46" x14ac:dyDescent="0.2">
      <c r="A80" s="451" t="s">
        <v>735</v>
      </c>
      <c r="C80" s="1330">
        <v>3.3149999999999999E-2</v>
      </c>
      <c r="D80" s="1330">
        <v>2.2799999999999999E-3</v>
      </c>
      <c r="E80" s="1330">
        <v>0</v>
      </c>
      <c r="F80" s="1330">
        <v>0</v>
      </c>
      <c r="G80" s="1330">
        <v>0</v>
      </c>
      <c r="H80" s="1330">
        <v>0</v>
      </c>
      <c r="O80" s="361"/>
      <c r="P80" s="361"/>
      <c r="Q80" s="361"/>
      <c r="R80" s="361"/>
      <c r="S80" s="361"/>
      <c r="T80" s="361"/>
      <c r="U80" s="361"/>
      <c r="V80" s="361"/>
      <c r="W80" s="361"/>
      <c r="X80" s="361"/>
      <c r="Y80" s="361"/>
      <c r="Z80" s="361"/>
      <c r="AA80" s="361"/>
      <c r="AB80" s="361"/>
      <c r="AC80" s="361"/>
      <c r="AD80" s="361"/>
      <c r="AE80" s="361"/>
      <c r="AF80" s="361"/>
      <c r="AG80" s="361"/>
      <c r="AH80" s="361"/>
      <c r="AI80" s="361"/>
      <c r="AJ80" s="361"/>
      <c r="AK80" s="361"/>
      <c r="AL80" s="361"/>
      <c r="AM80" s="372"/>
      <c r="AN80" s="372"/>
      <c r="AO80" s="372"/>
      <c r="AP80" s="372"/>
    </row>
    <row r="81" spans="1:43" x14ac:dyDescent="0.2">
      <c r="A81" s="451" t="s">
        <v>736</v>
      </c>
      <c r="C81" s="407">
        <f>+C79*(1+C80)</f>
        <v>0</v>
      </c>
      <c r="D81" s="407">
        <f t="shared" ref="D81:H81" si="4">+D79*(1+D80)</f>
        <v>0</v>
      </c>
      <c r="E81" s="407">
        <f t="shared" si="4"/>
        <v>0</v>
      </c>
      <c r="F81" s="407">
        <f t="shared" si="4"/>
        <v>0</v>
      </c>
      <c r="G81" s="407">
        <f t="shared" si="4"/>
        <v>0</v>
      </c>
      <c r="H81" s="375">
        <f t="shared" si="4"/>
        <v>0</v>
      </c>
      <c r="O81" s="361"/>
      <c r="P81" s="361"/>
      <c r="Q81" s="361"/>
      <c r="R81" s="361"/>
      <c r="S81" s="361"/>
      <c r="T81" s="361"/>
      <c r="U81" s="361"/>
      <c r="V81" s="361"/>
      <c r="W81" s="361"/>
      <c r="X81" s="361"/>
      <c r="Y81" s="361"/>
      <c r="Z81" s="361"/>
      <c r="AA81" s="361"/>
      <c r="AB81" s="361"/>
      <c r="AC81" s="361"/>
      <c r="AD81" s="361"/>
      <c r="AE81" s="361"/>
      <c r="AF81" s="361"/>
      <c r="AG81" s="361"/>
      <c r="AH81" s="361"/>
      <c r="AI81" s="361"/>
      <c r="AJ81" s="361"/>
      <c r="AK81" s="361"/>
      <c r="AL81" s="361"/>
      <c r="AM81" s="372"/>
      <c r="AN81" s="372"/>
      <c r="AO81" s="372"/>
      <c r="AP81" s="372"/>
    </row>
    <row r="82" spans="1:43" x14ac:dyDescent="0.2">
      <c r="A82" s="451"/>
      <c r="C82" s="371"/>
      <c r="D82" s="371">
        <f t="shared" ref="D82:H82" si="5">D4</f>
        <v>2016</v>
      </c>
      <c r="E82" s="371">
        <f t="shared" si="5"/>
        <v>2017</v>
      </c>
      <c r="F82" s="371">
        <f t="shared" si="5"/>
        <v>2018</v>
      </c>
      <c r="G82" s="371">
        <f t="shared" si="5"/>
        <v>2019</v>
      </c>
      <c r="H82" s="371">
        <f t="shared" si="5"/>
        <v>2020</v>
      </c>
      <c r="O82" s="361"/>
      <c r="P82" s="361"/>
      <c r="Q82" s="361"/>
      <c r="R82" s="361"/>
      <c r="S82" s="361"/>
      <c r="T82" s="361"/>
      <c r="U82" s="361"/>
      <c r="V82" s="361"/>
      <c r="W82" s="361"/>
      <c r="X82" s="361"/>
      <c r="Y82" s="361"/>
      <c r="Z82" s="361"/>
      <c r="AA82" s="361"/>
      <c r="AB82" s="361"/>
      <c r="AC82" s="361"/>
      <c r="AD82" s="361"/>
      <c r="AE82" s="361"/>
      <c r="AF82" s="361"/>
      <c r="AG82" s="361"/>
      <c r="AH82" s="361"/>
      <c r="AI82" s="361"/>
      <c r="AJ82" s="361"/>
      <c r="AK82" s="361"/>
      <c r="AL82" s="361"/>
      <c r="AM82" s="372"/>
      <c r="AN82" s="372"/>
      <c r="AO82" s="372"/>
      <c r="AP82" s="372"/>
    </row>
    <row r="83" spans="1:43" x14ac:dyDescent="0.2">
      <c r="A83" s="451" t="s">
        <v>97</v>
      </c>
      <c r="C83" s="375">
        <f>+$D76*C77</f>
        <v>0</v>
      </c>
      <c r="D83" s="375">
        <f>ROUND(IF($C85&gt;0,$C85*0.95,$C85*0.9),2)</f>
        <v>0</v>
      </c>
      <c r="E83" s="375">
        <f>ROUND(IF($C83&gt;0,$D76*0.8,$D76*0.75)*(1+D84),2)</f>
        <v>0</v>
      </c>
      <c r="F83" s="375">
        <f>+$C85*F77*(1+D84)*(1+E84)</f>
        <v>0</v>
      </c>
      <c r="G83" s="375">
        <f>+$C85*G77*(1+D84)*(1+E84)*(1+F84)</f>
        <v>0</v>
      </c>
      <c r="H83" s="375">
        <f>+$C85*H77</f>
        <v>0</v>
      </c>
      <c r="O83" s="361"/>
      <c r="P83" s="361"/>
      <c r="Q83" s="361"/>
      <c r="R83" s="361"/>
      <c r="S83" s="361"/>
      <c r="T83" s="361"/>
      <c r="U83" s="361"/>
      <c r="V83" s="361"/>
      <c r="W83" s="361"/>
      <c r="X83" s="361"/>
      <c r="Y83" s="361"/>
      <c r="Z83" s="361"/>
      <c r="AA83" s="361"/>
      <c r="AB83" s="361"/>
      <c r="AC83" s="361"/>
      <c r="AD83" s="361"/>
      <c r="AE83" s="361"/>
      <c r="AF83" s="361"/>
      <c r="AG83" s="361"/>
      <c r="AH83" s="361"/>
      <c r="AI83" s="361"/>
      <c r="AJ83" s="361"/>
      <c r="AK83" s="361"/>
      <c r="AL83" s="361"/>
      <c r="AM83" s="372"/>
      <c r="AN83" s="372"/>
      <c r="AO83" s="372"/>
      <c r="AP83" s="372"/>
    </row>
    <row r="84" spans="1:43" x14ac:dyDescent="0.2">
      <c r="A84" s="451" t="s">
        <v>735</v>
      </c>
      <c r="C84" s="1552"/>
      <c r="D84" s="1332">
        <v>2.1000000000000001E-2</v>
      </c>
      <c r="E84" s="1332">
        <v>0</v>
      </c>
      <c r="F84" s="1332">
        <f t="shared" ref="F84:H84" si="6">E84</f>
        <v>0</v>
      </c>
      <c r="G84" s="1332">
        <f t="shared" si="6"/>
        <v>0</v>
      </c>
      <c r="H84" s="1332">
        <f t="shared" si="6"/>
        <v>0</v>
      </c>
      <c r="O84" s="361"/>
      <c r="P84" s="361"/>
      <c r="Q84" s="361"/>
      <c r="R84" s="361"/>
      <c r="S84" s="361"/>
      <c r="T84" s="361"/>
      <c r="U84" s="361"/>
      <c r="V84" s="361"/>
      <c r="W84" s="361"/>
      <c r="X84" s="361"/>
      <c r="Y84" s="361"/>
      <c r="Z84" s="361"/>
      <c r="AA84" s="361"/>
      <c r="AB84" s="361"/>
      <c r="AC84" s="361"/>
      <c r="AD84" s="361"/>
      <c r="AE84" s="361"/>
      <c r="AF84" s="361"/>
      <c r="AG84" s="361"/>
      <c r="AH84" s="361"/>
      <c r="AI84" s="361"/>
      <c r="AJ84" s="361"/>
      <c r="AK84" s="361"/>
      <c r="AL84" s="361"/>
      <c r="AM84" s="372"/>
      <c r="AN84" s="372"/>
      <c r="AO84" s="372"/>
      <c r="AP84" s="372"/>
    </row>
    <row r="85" spans="1:43" x14ac:dyDescent="0.2">
      <c r="A85" s="451" t="s">
        <v>736</v>
      </c>
      <c r="C85" s="375">
        <f>+C83*(1+C84)</f>
        <v>0</v>
      </c>
      <c r="D85" s="375">
        <f t="shared" ref="D85:H85" si="7">+D83*(1+D84)</f>
        <v>0</v>
      </c>
      <c r="E85" s="375">
        <f t="shared" si="7"/>
        <v>0</v>
      </c>
      <c r="F85" s="375">
        <f t="shared" si="7"/>
        <v>0</v>
      </c>
      <c r="G85" s="375">
        <f t="shared" si="7"/>
        <v>0</v>
      </c>
      <c r="H85" s="375">
        <f t="shared" si="7"/>
        <v>0</v>
      </c>
      <c r="O85" s="361"/>
      <c r="P85" s="361"/>
      <c r="Q85" s="361"/>
      <c r="R85" s="361"/>
      <c r="S85" s="361"/>
      <c r="T85" s="361"/>
      <c r="U85" s="361"/>
      <c r="V85" s="361"/>
      <c r="W85" s="361"/>
      <c r="X85" s="361"/>
      <c r="Y85" s="361"/>
      <c r="Z85" s="361"/>
      <c r="AA85" s="361"/>
      <c r="AB85" s="361"/>
      <c r="AC85" s="361"/>
      <c r="AD85" s="361"/>
      <c r="AE85" s="361"/>
      <c r="AF85" s="361"/>
      <c r="AG85" s="361"/>
      <c r="AH85" s="361"/>
      <c r="AI85" s="361"/>
      <c r="AJ85" s="361"/>
      <c r="AK85" s="361"/>
      <c r="AL85" s="361"/>
      <c r="AM85" s="372"/>
      <c r="AN85" s="372"/>
      <c r="AO85" s="372"/>
      <c r="AP85" s="372"/>
    </row>
    <row r="86" spans="1:43" x14ac:dyDescent="0.2">
      <c r="O86" s="361"/>
      <c r="P86" s="361"/>
      <c r="Q86" s="361"/>
      <c r="R86" s="361"/>
      <c r="S86" s="361"/>
      <c r="T86" s="361"/>
      <c r="U86" s="361"/>
      <c r="V86" s="361"/>
      <c r="W86" s="361"/>
      <c r="X86" s="361"/>
      <c r="Y86" s="361"/>
      <c r="Z86" s="361"/>
      <c r="AA86" s="361"/>
      <c r="AB86" s="361"/>
      <c r="AC86" s="361"/>
      <c r="AD86" s="361"/>
      <c r="AE86" s="361"/>
      <c r="AF86" s="361"/>
      <c r="AG86" s="361"/>
      <c r="AH86" s="361"/>
      <c r="AI86" s="361"/>
      <c r="AJ86" s="361"/>
      <c r="AK86" s="361"/>
      <c r="AL86" s="361"/>
      <c r="AM86" s="372"/>
      <c r="AN86" s="372"/>
      <c r="AO86" s="372"/>
      <c r="AP86" s="372"/>
    </row>
    <row r="87" spans="1:43" x14ac:dyDescent="0.2">
      <c r="A87" s="370" t="s">
        <v>141</v>
      </c>
      <c r="C87" s="415" t="str">
        <f>+C2</f>
        <v>2015/16</v>
      </c>
      <c r="D87" s="395" t="s">
        <v>467</v>
      </c>
      <c r="H87" s="405"/>
      <c r="O87" s="361"/>
      <c r="P87" s="361"/>
      <c r="Q87" s="361"/>
      <c r="R87" s="361"/>
      <c r="S87" s="361"/>
      <c r="T87" s="361"/>
      <c r="U87" s="361"/>
      <c r="V87" s="361"/>
      <c r="W87" s="361"/>
      <c r="X87" s="361"/>
      <c r="Y87" s="361"/>
      <c r="Z87" s="361"/>
      <c r="AA87" s="361"/>
      <c r="AB87" s="361"/>
      <c r="AC87" s="361"/>
      <c r="AD87" s="361"/>
      <c r="AE87" s="361"/>
      <c r="AF87" s="361"/>
      <c r="AG87" s="361"/>
      <c r="AH87" s="361"/>
      <c r="AI87" s="361"/>
      <c r="AJ87" s="361"/>
      <c r="AK87" s="361"/>
      <c r="AL87" s="361"/>
      <c r="AM87" s="372"/>
      <c r="AN87" s="372"/>
      <c r="AO87" s="372"/>
      <c r="AP87" s="372"/>
    </row>
    <row r="88" spans="1:43" x14ac:dyDescent="0.2">
      <c r="A88" s="349" t="s">
        <v>631</v>
      </c>
      <c r="C88" s="1333">
        <v>9059.77</v>
      </c>
      <c r="D88" s="1547">
        <v>9076.5</v>
      </c>
      <c r="E88" s="372"/>
      <c r="F88" s="537">
        <f>+C88+C97</f>
        <v>9762.0300000000007</v>
      </c>
      <c r="G88" s="537">
        <f>+D88+D97</f>
        <v>9814.2099999999991</v>
      </c>
      <c r="H88" s="417"/>
      <c r="O88" s="361"/>
      <c r="P88" s="361"/>
      <c r="Q88" s="361"/>
      <c r="R88" s="361"/>
      <c r="S88" s="361"/>
      <c r="T88" s="361"/>
      <c r="U88" s="361"/>
      <c r="V88" s="361"/>
      <c r="W88" s="361"/>
      <c r="X88" s="361"/>
      <c r="Y88" s="361"/>
      <c r="Z88" s="361"/>
      <c r="AA88" s="361"/>
      <c r="AB88" s="361"/>
      <c r="AC88" s="361"/>
      <c r="AD88" s="361"/>
      <c r="AE88" s="361"/>
      <c r="AF88" s="361"/>
      <c r="AG88" s="361"/>
      <c r="AH88" s="361"/>
      <c r="AI88" s="361"/>
      <c r="AJ88" s="361"/>
      <c r="AK88" s="361"/>
      <c r="AL88" s="361"/>
      <c r="AM88" s="372"/>
      <c r="AN88" s="372"/>
      <c r="AO88" s="372"/>
      <c r="AP88" s="372"/>
    </row>
    <row r="89" spans="1:43" x14ac:dyDescent="0.2">
      <c r="A89" s="349" t="s">
        <v>632</v>
      </c>
      <c r="C89" s="1333">
        <v>13281.76</v>
      </c>
      <c r="D89" s="1547">
        <v>13304.46</v>
      </c>
      <c r="E89" s="372"/>
      <c r="F89" s="537">
        <f t="shared" ref="F89:G90" si="8">+C89+C98</f>
        <v>14453.48</v>
      </c>
      <c r="G89" s="537">
        <f t="shared" si="8"/>
        <v>14512.57</v>
      </c>
      <c r="H89" s="417"/>
      <c r="I89" s="372"/>
      <c r="O89" s="361"/>
      <c r="P89" s="361"/>
      <c r="Q89" s="361"/>
      <c r="R89" s="361"/>
      <c r="S89" s="361"/>
      <c r="T89" s="361"/>
      <c r="U89" s="361"/>
      <c r="V89" s="361"/>
      <c r="W89" s="361"/>
      <c r="X89" s="361"/>
      <c r="Y89" s="361"/>
      <c r="Z89" s="361"/>
      <c r="AA89" s="361"/>
      <c r="AB89" s="361"/>
      <c r="AC89" s="361"/>
      <c r="AD89" s="361"/>
      <c r="AE89" s="361"/>
      <c r="AF89" s="361"/>
      <c r="AG89" s="361"/>
      <c r="AH89" s="361"/>
      <c r="AI89" s="361"/>
      <c r="AJ89" s="361"/>
      <c r="AK89" s="361"/>
      <c r="AL89" s="361"/>
      <c r="AM89" s="372"/>
      <c r="AN89" s="372"/>
      <c r="AO89" s="372"/>
      <c r="AP89" s="372"/>
    </row>
    <row r="90" spans="1:43" x14ac:dyDescent="0.2">
      <c r="A90" s="349" t="s">
        <v>633</v>
      </c>
      <c r="C90" s="1333">
        <v>20228.810000000001</v>
      </c>
      <c r="D90" s="1547">
        <v>20265.32</v>
      </c>
      <c r="E90" s="372"/>
      <c r="F90" s="537">
        <f t="shared" si="8"/>
        <v>21774.25</v>
      </c>
      <c r="G90" s="537">
        <f t="shared" si="8"/>
        <v>21847.9</v>
      </c>
      <c r="H90" s="417"/>
      <c r="I90" s="372"/>
      <c r="O90" s="361"/>
      <c r="P90" s="361"/>
      <c r="Q90" s="361"/>
      <c r="R90" s="361"/>
      <c r="S90" s="361"/>
      <c r="T90" s="361"/>
      <c r="U90" s="361"/>
      <c r="V90" s="361"/>
      <c r="W90" s="361"/>
      <c r="X90" s="361"/>
      <c r="Y90" s="361"/>
      <c r="Z90" s="361"/>
      <c r="AA90" s="361"/>
      <c r="AB90" s="361"/>
      <c r="AC90" s="361"/>
      <c r="AD90" s="361"/>
      <c r="AE90" s="361"/>
      <c r="AF90" s="361"/>
      <c r="AG90" s="361"/>
      <c r="AH90" s="361"/>
      <c r="AI90" s="361"/>
      <c r="AJ90" s="361"/>
      <c r="AK90" s="361"/>
      <c r="AL90" s="361"/>
      <c r="AM90" s="372"/>
      <c r="AN90" s="372"/>
      <c r="AO90" s="372"/>
      <c r="AP90" s="372"/>
    </row>
    <row r="91" spans="1:43" s="353" customFormat="1" x14ac:dyDescent="0.2">
      <c r="A91" s="370" t="s">
        <v>142</v>
      </c>
      <c r="C91" s="418"/>
      <c r="D91" s="377"/>
      <c r="E91" s="377"/>
      <c r="F91" s="538"/>
      <c r="G91" s="538"/>
      <c r="H91" s="377"/>
      <c r="I91" s="377"/>
      <c r="M91" s="349"/>
      <c r="N91" s="349"/>
      <c r="O91" s="361"/>
      <c r="P91" s="361"/>
      <c r="Q91" s="361"/>
      <c r="R91" s="361"/>
      <c r="S91" s="361"/>
      <c r="T91" s="361"/>
      <c r="U91" s="361"/>
      <c r="V91" s="361"/>
      <c r="W91" s="361"/>
      <c r="X91" s="361"/>
      <c r="Y91" s="361"/>
      <c r="Z91" s="361"/>
      <c r="AA91" s="361"/>
      <c r="AB91" s="361"/>
      <c r="AC91" s="361"/>
      <c r="AD91" s="361"/>
      <c r="AE91" s="361"/>
      <c r="AF91" s="368"/>
      <c r="AG91" s="368"/>
      <c r="AH91" s="368"/>
      <c r="AI91" s="368"/>
      <c r="AJ91" s="368"/>
      <c r="AK91" s="368"/>
      <c r="AL91" s="368"/>
      <c r="AM91" s="377"/>
      <c r="AN91" s="377"/>
      <c r="AO91" s="377"/>
      <c r="AP91" s="377"/>
    </row>
    <row r="92" spans="1:43" x14ac:dyDescent="0.2">
      <c r="A92" s="349" t="s">
        <v>631</v>
      </c>
      <c r="C92" s="1333">
        <v>8220.9500000000007</v>
      </c>
      <c r="D92" s="1547">
        <v>8237.41</v>
      </c>
      <c r="E92" s="372"/>
      <c r="F92" s="537">
        <f>+C92+C101</f>
        <v>9005.35</v>
      </c>
      <c r="G92" s="537">
        <f>+D92+D101</f>
        <v>9057.43</v>
      </c>
      <c r="H92" s="417"/>
      <c r="I92" s="372"/>
      <c r="O92" s="361"/>
      <c r="P92" s="361"/>
      <c r="Q92" s="361"/>
      <c r="R92" s="361"/>
      <c r="S92" s="361"/>
      <c r="T92" s="361"/>
      <c r="U92" s="361"/>
      <c r="V92" s="361"/>
      <c r="W92" s="361"/>
      <c r="X92" s="361"/>
      <c r="Y92" s="361"/>
      <c r="Z92" s="361"/>
      <c r="AA92" s="361"/>
      <c r="AB92" s="361"/>
      <c r="AC92" s="361"/>
      <c r="AD92" s="361"/>
      <c r="AE92" s="361"/>
      <c r="AF92" s="361"/>
      <c r="AG92" s="361"/>
      <c r="AH92" s="361"/>
      <c r="AI92" s="361"/>
      <c r="AJ92" s="361"/>
      <c r="AK92" s="361"/>
      <c r="AL92" s="361"/>
      <c r="AM92" s="372"/>
      <c r="AN92" s="372"/>
      <c r="AO92" s="372"/>
      <c r="AP92" s="372"/>
    </row>
    <row r="93" spans="1:43" x14ac:dyDescent="0.2">
      <c r="A93" s="349" t="s">
        <v>632</v>
      </c>
      <c r="C93" s="1333">
        <v>14381.55</v>
      </c>
      <c r="D93" s="1547">
        <v>14406.75</v>
      </c>
      <c r="E93" s="372"/>
      <c r="F93" s="537">
        <f t="shared" ref="F93:G94" si="9">+C93+C102</f>
        <v>15633.99</v>
      </c>
      <c r="G93" s="537">
        <f t="shared" si="9"/>
        <v>15695.74</v>
      </c>
      <c r="H93" s="417"/>
      <c r="I93" s="372"/>
      <c r="O93" s="361"/>
      <c r="P93" s="361"/>
      <c r="Q93" s="361"/>
      <c r="R93" s="361"/>
      <c r="S93" s="361"/>
      <c r="T93" s="361"/>
      <c r="U93" s="361"/>
      <c r="V93" s="361"/>
      <c r="W93" s="361"/>
      <c r="X93" s="361"/>
      <c r="Y93" s="361"/>
      <c r="Z93" s="361"/>
      <c r="AA93" s="361"/>
      <c r="AB93" s="361"/>
      <c r="AC93" s="361"/>
      <c r="AD93" s="361"/>
      <c r="AE93" s="361"/>
      <c r="AF93" s="361"/>
      <c r="AG93" s="361"/>
      <c r="AH93" s="361"/>
      <c r="AI93" s="361"/>
      <c r="AJ93" s="361"/>
      <c r="AK93" s="361"/>
      <c r="AL93" s="361"/>
      <c r="AM93" s="372"/>
      <c r="AN93" s="372"/>
      <c r="AO93" s="372"/>
      <c r="AP93" s="372"/>
    </row>
    <row r="94" spans="1:43" x14ac:dyDescent="0.2">
      <c r="A94" s="349" t="s">
        <v>633</v>
      </c>
      <c r="C94" s="1333">
        <v>21328.6</v>
      </c>
      <c r="D94" s="1547">
        <v>21367.62</v>
      </c>
      <c r="E94" s="372"/>
      <c r="F94" s="537">
        <f t="shared" si="9"/>
        <v>22867.68</v>
      </c>
      <c r="G94" s="537">
        <f t="shared" si="9"/>
        <v>22943.829999999998</v>
      </c>
      <c r="H94" s="417"/>
      <c r="I94" s="372"/>
      <c r="O94" s="361"/>
      <c r="P94" s="361"/>
      <c r="Q94" s="361"/>
      <c r="R94" s="361"/>
      <c r="S94" s="361"/>
      <c r="T94" s="361"/>
      <c r="U94" s="361"/>
      <c r="V94" s="361"/>
      <c r="W94" s="361"/>
      <c r="X94" s="361"/>
      <c r="Y94" s="361"/>
      <c r="Z94" s="361"/>
      <c r="AA94" s="361"/>
      <c r="AB94" s="361"/>
      <c r="AC94" s="361"/>
      <c r="AD94" s="361"/>
      <c r="AE94" s="361"/>
      <c r="AF94" s="361"/>
      <c r="AG94" s="361"/>
      <c r="AH94" s="361"/>
      <c r="AI94" s="361"/>
      <c r="AJ94" s="361"/>
      <c r="AK94" s="361"/>
      <c r="AL94" s="361"/>
      <c r="AM94" s="372"/>
      <c r="AN94" s="372"/>
      <c r="AO94" s="372"/>
      <c r="AP94" s="372"/>
    </row>
    <row r="95" spans="1:43" x14ac:dyDescent="0.2">
      <c r="E95" s="372"/>
      <c r="F95" s="372"/>
      <c r="G95" s="372"/>
      <c r="H95" s="372"/>
      <c r="I95" s="372"/>
      <c r="O95" s="361"/>
      <c r="P95" s="361"/>
      <c r="Q95" s="361"/>
      <c r="R95" s="361"/>
      <c r="S95" s="361"/>
      <c r="T95" s="361"/>
      <c r="U95" s="361"/>
      <c r="V95" s="361"/>
      <c r="W95" s="361"/>
      <c r="X95" s="361"/>
      <c r="Y95" s="361"/>
      <c r="Z95" s="361"/>
      <c r="AA95" s="361"/>
      <c r="AB95" s="361"/>
      <c r="AC95" s="361"/>
      <c r="AD95" s="361"/>
      <c r="AE95" s="361"/>
      <c r="AF95" s="361"/>
      <c r="AG95" s="361"/>
      <c r="AH95" s="361"/>
      <c r="AI95" s="361"/>
      <c r="AJ95" s="361"/>
      <c r="AK95" s="361"/>
      <c r="AL95" s="361"/>
      <c r="AM95" s="372"/>
      <c r="AN95" s="372"/>
      <c r="AO95" s="372"/>
      <c r="AP95" s="372"/>
    </row>
    <row r="96" spans="1:43" x14ac:dyDescent="0.2">
      <c r="A96" s="370" t="s">
        <v>143</v>
      </c>
      <c r="C96" s="419">
        <f>+C4</f>
        <v>2015</v>
      </c>
      <c r="D96" s="419">
        <f>+D4</f>
        <v>2016</v>
      </c>
      <c r="E96" s="419">
        <v>2017</v>
      </c>
      <c r="F96" s="1331">
        <v>0</v>
      </c>
      <c r="G96" s="372"/>
      <c r="H96" s="372"/>
      <c r="I96" s="372"/>
      <c r="J96" s="372"/>
      <c r="P96" s="361"/>
      <c r="Q96" s="361"/>
      <c r="R96" s="361"/>
      <c r="S96" s="361"/>
      <c r="T96" s="361"/>
      <c r="U96" s="361"/>
      <c r="V96" s="361"/>
      <c r="W96" s="361"/>
      <c r="X96" s="361"/>
      <c r="Y96" s="361"/>
      <c r="Z96" s="361"/>
      <c r="AA96" s="361"/>
      <c r="AB96" s="361"/>
      <c r="AC96" s="361"/>
      <c r="AD96" s="361"/>
      <c r="AE96" s="361"/>
      <c r="AF96" s="361"/>
      <c r="AG96" s="361"/>
      <c r="AH96" s="361"/>
      <c r="AI96" s="361"/>
      <c r="AJ96" s="361"/>
      <c r="AK96" s="361"/>
      <c r="AL96" s="361"/>
      <c r="AM96" s="361"/>
      <c r="AN96" s="372"/>
      <c r="AO96" s="372"/>
      <c r="AP96" s="372"/>
      <c r="AQ96" s="372"/>
    </row>
    <row r="97" spans="1:42" x14ac:dyDescent="0.2">
      <c r="A97" s="349" t="s">
        <v>631</v>
      </c>
      <c r="B97" s="370"/>
      <c r="C97" s="1333">
        <v>702.26</v>
      </c>
      <c r="D97" s="1333">
        <v>737.71</v>
      </c>
      <c r="E97" s="1548">
        <f>ROUND(D97*(1+F$96),2)</f>
        <v>737.71</v>
      </c>
      <c r="F97" s="372"/>
      <c r="G97" s="372"/>
      <c r="H97" s="372"/>
      <c r="I97" s="372"/>
      <c r="J97" s="372"/>
      <c r="O97" s="361"/>
      <c r="P97" s="361"/>
      <c r="Q97" s="361"/>
      <c r="R97" s="361"/>
      <c r="S97" s="361"/>
      <c r="T97" s="361"/>
      <c r="U97" s="361"/>
      <c r="V97" s="361"/>
      <c r="W97" s="361"/>
      <c r="X97" s="361"/>
      <c r="Y97" s="361"/>
      <c r="Z97" s="361"/>
      <c r="AA97" s="361"/>
      <c r="AB97" s="361"/>
      <c r="AC97" s="361"/>
      <c r="AD97" s="361"/>
      <c r="AE97" s="361"/>
      <c r="AF97" s="361"/>
      <c r="AG97" s="361"/>
      <c r="AH97" s="361"/>
      <c r="AI97" s="361"/>
      <c r="AJ97" s="361"/>
      <c r="AK97" s="361"/>
      <c r="AL97" s="361"/>
      <c r="AM97" s="372"/>
      <c r="AN97" s="372"/>
      <c r="AO97" s="372"/>
      <c r="AP97" s="372"/>
    </row>
    <row r="98" spans="1:42" x14ac:dyDescent="0.2">
      <c r="A98" s="349" t="s">
        <v>632</v>
      </c>
      <c r="C98" s="1333">
        <v>1171.72</v>
      </c>
      <c r="D98" s="1333">
        <v>1208.1099999999999</v>
      </c>
      <c r="E98" s="1548">
        <f t="shared" ref="E98:E103" si="10">ROUND(D98*(1+F$96),2)</f>
        <v>1208.1099999999999</v>
      </c>
      <c r="F98" s="372"/>
      <c r="G98" s="372"/>
      <c r="H98" s="372"/>
      <c r="I98" s="372"/>
      <c r="J98" s="372"/>
      <c r="O98" s="361"/>
      <c r="P98" s="361"/>
      <c r="Q98" s="361"/>
      <c r="R98" s="361"/>
      <c r="S98" s="361"/>
      <c r="T98" s="361"/>
      <c r="U98" s="361"/>
      <c r="V98" s="361"/>
      <c r="W98" s="361"/>
      <c r="X98" s="361"/>
      <c r="Y98" s="361"/>
      <c r="Z98" s="361"/>
      <c r="AA98" s="361"/>
      <c r="AB98" s="361"/>
      <c r="AC98" s="361"/>
      <c r="AD98" s="361"/>
      <c r="AE98" s="361"/>
      <c r="AF98" s="361"/>
      <c r="AG98" s="361"/>
      <c r="AH98" s="361"/>
      <c r="AI98" s="361"/>
      <c r="AJ98" s="361"/>
      <c r="AK98" s="361"/>
      <c r="AL98" s="361"/>
      <c r="AM98" s="372"/>
      <c r="AN98" s="372"/>
      <c r="AO98" s="372"/>
      <c r="AP98" s="372"/>
    </row>
    <row r="99" spans="1:42" x14ac:dyDescent="0.2">
      <c r="A99" s="349" t="s">
        <v>633</v>
      </c>
      <c r="C99" s="1333">
        <v>1545.44</v>
      </c>
      <c r="D99" s="1333">
        <v>1582.58</v>
      </c>
      <c r="E99" s="1548">
        <f t="shared" si="10"/>
        <v>1582.58</v>
      </c>
      <c r="I99" s="372"/>
      <c r="J99" s="372"/>
      <c r="O99" s="361"/>
      <c r="P99" s="361"/>
      <c r="Q99" s="361"/>
      <c r="R99" s="361"/>
      <c r="S99" s="361"/>
      <c r="T99" s="361"/>
      <c r="U99" s="361"/>
      <c r="V99" s="361"/>
      <c r="W99" s="361"/>
      <c r="X99" s="361"/>
      <c r="Y99" s="361"/>
      <c r="Z99" s="361"/>
      <c r="AA99" s="361"/>
      <c r="AB99" s="361"/>
      <c r="AC99" s="361"/>
      <c r="AD99" s="361"/>
      <c r="AE99" s="361"/>
      <c r="AF99" s="361"/>
      <c r="AG99" s="361"/>
      <c r="AH99" s="361"/>
      <c r="AI99" s="361"/>
      <c r="AJ99" s="361"/>
      <c r="AK99" s="361"/>
      <c r="AL99" s="361"/>
      <c r="AM99" s="372"/>
      <c r="AN99" s="372"/>
      <c r="AO99" s="372"/>
      <c r="AP99" s="372"/>
    </row>
    <row r="100" spans="1:42" x14ac:dyDescent="0.2">
      <c r="A100" s="370" t="s">
        <v>144</v>
      </c>
      <c r="C100" s="418"/>
      <c r="D100" s="418"/>
      <c r="E100" s="407"/>
      <c r="I100" s="372"/>
      <c r="J100" s="372"/>
      <c r="M100" s="353"/>
      <c r="N100" s="353"/>
      <c r="O100" s="368"/>
      <c r="P100" s="368"/>
      <c r="Q100" s="368"/>
      <c r="R100" s="368"/>
      <c r="S100" s="368"/>
      <c r="T100" s="368"/>
      <c r="U100" s="368"/>
      <c r="V100" s="368"/>
      <c r="W100" s="368"/>
      <c r="X100" s="368"/>
      <c r="Y100" s="368"/>
      <c r="Z100" s="368"/>
      <c r="AA100" s="368"/>
      <c r="AB100" s="368"/>
      <c r="AC100" s="368"/>
      <c r="AD100" s="368"/>
      <c r="AE100" s="368"/>
      <c r="AF100" s="361"/>
      <c r="AG100" s="361"/>
      <c r="AH100" s="361"/>
      <c r="AI100" s="361"/>
      <c r="AJ100" s="361"/>
      <c r="AK100" s="361"/>
      <c r="AL100" s="361"/>
      <c r="AM100" s="372"/>
      <c r="AN100" s="372"/>
      <c r="AO100" s="372"/>
      <c r="AP100" s="372"/>
    </row>
    <row r="101" spans="1:42" x14ac:dyDescent="0.2">
      <c r="A101" s="349" t="s">
        <v>631</v>
      </c>
      <c r="C101" s="1333">
        <v>784.4</v>
      </c>
      <c r="D101" s="1333">
        <v>820.02</v>
      </c>
      <c r="E101" s="1548">
        <f t="shared" si="10"/>
        <v>820.02</v>
      </c>
      <c r="I101" s="372"/>
      <c r="J101" s="372"/>
      <c r="O101" s="361"/>
      <c r="P101" s="361"/>
      <c r="Q101" s="361"/>
      <c r="R101" s="361"/>
      <c r="S101" s="361"/>
      <c r="T101" s="361"/>
      <c r="U101" s="361"/>
      <c r="V101" s="361"/>
      <c r="W101" s="361"/>
      <c r="X101" s="361"/>
      <c r="Y101" s="361"/>
      <c r="Z101" s="361"/>
      <c r="AA101" s="361"/>
      <c r="AB101" s="361"/>
      <c r="AC101" s="361"/>
      <c r="AD101" s="361"/>
      <c r="AE101" s="361"/>
      <c r="AF101" s="361"/>
      <c r="AG101" s="361"/>
      <c r="AH101" s="361"/>
      <c r="AI101" s="361"/>
      <c r="AJ101" s="361"/>
      <c r="AK101" s="361"/>
      <c r="AL101" s="361"/>
      <c r="AM101" s="372"/>
      <c r="AN101" s="372"/>
      <c r="AO101" s="372"/>
      <c r="AP101" s="372"/>
    </row>
    <row r="102" spans="1:42" x14ac:dyDescent="0.2">
      <c r="A102" s="349" t="s">
        <v>632</v>
      </c>
      <c r="C102" s="1333">
        <v>1252.44</v>
      </c>
      <c r="D102" s="1333">
        <v>1288.99</v>
      </c>
      <c r="E102" s="1548">
        <f t="shared" si="10"/>
        <v>1288.99</v>
      </c>
      <c r="G102" s="437" t="s">
        <v>705</v>
      </c>
      <c r="H102" s="437"/>
      <c r="I102" s="410" t="s">
        <v>706</v>
      </c>
      <c r="N102" s="361"/>
      <c r="O102" s="361"/>
      <c r="P102" s="361"/>
      <c r="Q102" s="361"/>
      <c r="R102" s="361"/>
      <c r="S102" s="361"/>
      <c r="T102" s="361"/>
      <c r="U102" s="361"/>
      <c r="V102" s="361"/>
      <c r="W102" s="361"/>
      <c r="X102" s="361"/>
      <c r="Y102" s="361"/>
      <c r="Z102" s="361"/>
      <c r="AA102" s="361"/>
      <c r="AB102" s="361"/>
      <c r="AC102" s="361"/>
      <c r="AD102" s="361"/>
      <c r="AE102" s="361"/>
      <c r="AF102" s="361"/>
      <c r="AG102" s="361"/>
      <c r="AH102" s="361"/>
      <c r="AI102" s="361"/>
      <c r="AJ102" s="361"/>
      <c r="AK102" s="361"/>
      <c r="AL102" s="372"/>
      <c r="AM102" s="372"/>
      <c r="AN102" s="372"/>
      <c r="AO102" s="372"/>
    </row>
    <row r="103" spans="1:42" x14ac:dyDescent="0.2">
      <c r="A103" s="349" t="s">
        <v>633</v>
      </c>
      <c r="C103" s="1333">
        <v>1539.08</v>
      </c>
      <c r="D103" s="1333">
        <v>1576.21</v>
      </c>
      <c r="E103" s="1548">
        <f t="shared" si="10"/>
        <v>1576.21</v>
      </c>
      <c r="G103" s="432"/>
      <c r="H103" s="432" t="s">
        <v>4</v>
      </c>
      <c r="I103" s="408" t="str">
        <f>+C2</f>
        <v>2015/16</v>
      </c>
      <c r="M103" s="361"/>
      <c r="N103" s="361"/>
      <c r="O103" s="361"/>
      <c r="P103" s="361"/>
      <c r="Q103" s="361"/>
      <c r="R103" s="361"/>
      <c r="S103" s="361"/>
      <c r="T103" s="361"/>
      <c r="U103" s="361"/>
      <c r="V103" s="361"/>
      <c r="W103" s="361"/>
      <c r="X103" s="361"/>
      <c r="Y103" s="361"/>
      <c r="Z103" s="361"/>
      <c r="AA103" s="361"/>
      <c r="AB103" s="361"/>
      <c r="AC103" s="361"/>
      <c r="AD103" s="361"/>
      <c r="AE103" s="361"/>
      <c r="AF103" s="361"/>
      <c r="AG103" s="361"/>
      <c r="AH103" s="361"/>
      <c r="AI103" s="361"/>
      <c r="AJ103" s="361"/>
      <c r="AK103" s="372"/>
      <c r="AL103" s="372"/>
      <c r="AM103" s="372"/>
      <c r="AN103" s="372"/>
    </row>
    <row r="104" spans="1:42" x14ac:dyDescent="0.2">
      <c r="G104" s="438" t="s">
        <v>707</v>
      </c>
      <c r="H104" s="439">
        <v>4.9399999999999999E-2</v>
      </c>
      <c r="I104" s="407">
        <f>ROUND(+H104*$C$123,2)</f>
        <v>3158.7</v>
      </c>
      <c r="M104" s="361"/>
      <c r="N104" s="361"/>
      <c r="O104" s="361"/>
      <c r="P104" s="361"/>
      <c r="Q104" s="361"/>
      <c r="R104" s="361"/>
      <c r="S104" s="361"/>
      <c r="T104" s="361"/>
      <c r="U104" s="361"/>
      <c r="V104" s="361"/>
      <c r="W104" s="361"/>
      <c r="X104" s="361"/>
      <c r="Y104" s="361"/>
      <c r="Z104" s="361"/>
      <c r="AA104" s="361"/>
      <c r="AB104" s="361"/>
      <c r="AC104" s="361"/>
      <c r="AD104" s="361"/>
      <c r="AE104" s="361"/>
      <c r="AF104" s="361"/>
      <c r="AG104" s="361"/>
      <c r="AH104" s="361"/>
      <c r="AI104" s="361"/>
      <c r="AJ104" s="361"/>
      <c r="AK104" s="372"/>
      <c r="AL104" s="372"/>
      <c r="AM104" s="372"/>
      <c r="AN104" s="372"/>
    </row>
    <row r="105" spans="1:42" x14ac:dyDescent="0.2">
      <c r="A105" s="370" t="s">
        <v>6</v>
      </c>
      <c r="C105" s="415" t="str">
        <f>+C2</f>
        <v>2015/16</v>
      </c>
      <c r="E105" s="378"/>
      <c r="F105" s="378"/>
      <c r="G105" s="438" t="s">
        <v>708</v>
      </c>
      <c r="H105" s="439">
        <v>5.0000000000000001E-4</v>
      </c>
      <c r="I105" s="407">
        <f>ROUND(+H105*$C$123,2)</f>
        <v>31.97</v>
      </c>
      <c r="M105" s="361"/>
      <c r="N105" s="361"/>
      <c r="O105" s="361"/>
      <c r="P105" s="361"/>
      <c r="Q105" s="361"/>
      <c r="R105" s="361"/>
      <c r="S105" s="361"/>
      <c r="T105" s="361"/>
      <c r="U105" s="361"/>
      <c r="V105" s="361"/>
      <c r="W105" s="361"/>
      <c r="X105" s="361"/>
      <c r="Y105" s="361"/>
      <c r="Z105" s="361"/>
      <c r="AA105" s="361"/>
      <c r="AB105" s="361"/>
      <c r="AC105" s="361"/>
      <c r="AD105" s="361"/>
      <c r="AE105" s="361"/>
      <c r="AF105" s="361"/>
      <c r="AG105" s="361"/>
      <c r="AH105" s="361"/>
      <c r="AI105" s="361"/>
      <c r="AJ105" s="361"/>
      <c r="AK105" s="361"/>
      <c r="AL105" s="372"/>
      <c r="AM105" s="372"/>
      <c r="AN105" s="372"/>
      <c r="AO105" s="372"/>
    </row>
    <row r="106" spans="1:42" x14ac:dyDescent="0.2">
      <c r="A106" s="370" t="s">
        <v>18</v>
      </c>
      <c r="C106" s="415" t="s">
        <v>0</v>
      </c>
      <c r="D106" s="415" t="s">
        <v>1</v>
      </c>
      <c r="E106" s="379" t="s">
        <v>4</v>
      </c>
      <c r="F106" s="379"/>
      <c r="G106" s="438" t="s">
        <v>709</v>
      </c>
      <c r="H106" s="439">
        <v>1.1999999999999999E-3</v>
      </c>
      <c r="I106" s="407">
        <f>ROUND(+H106*$C$123,2)</f>
        <v>76.73</v>
      </c>
      <c r="M106" s="361"/>
      <c r="N106" s="361"/>
      <c r="O106" s="361"/>
      <c r="P106" s="361"/>
      <c r="Q106" s="361"/>
      <c r="R106" s="361"/>
      <c r="S106" s="361"/>
      <c r="T106" s="361"/>
      <c r="U106" s="361"/>
      <c r="V106" s="361"/>
      <c r="W106" s="361"/>
      <c r="X106" s="361"/>
      <c r="Y106" s="361"/>
      <c r="Z106" s="361"/>
      <c r="AA106" s="361"/>
      <c r="AB106" s="361"/>
      <c r="AC106" s="361"/>
      <c r="AD106" s="361"/>
      <c r="AE106" s="361"/>
      <c r="AF106" s="361"/>
      <c r="AG106" s="361"/>
      <c r="AH106" s="361"/>
      <c r="AI106" s="361"/>
      <c r="AJ106" s="361"/>
      <c r="AK106" s="361"/>
      <c r="AL106" s="372"/>
      <c r="AM106" s="372"/>
      <c r="AN106" s="372"/>
      <c r="AO106" s="372"/>
    </row>
    <row r="107" spans="1:42" x14ac:dyDescent="0.2">
      <c r="A107" s="349" t="s">
        <v>16</v>
      </c>
      <c r="C107" s="374">
        <f>ROUND(+E107*$C$127,2)</f>
        <v>1254.8399999999999</v>
      </c>
      <c r="D107" s="374">
        <f>+E107*C$128</f>
        <v>56.842955000000003</v>
      </c>
      <c r="E107" s="380">
        <v>5.6500000000000002E-2</v>
      </c>
      <c r="F107" s="380"/>
      <c r="G107" s="435" t="s">
        <v>710</v>
      </c>
      <c r="H107" s="440">
        <v>0</v>
      </c>
      <c r="I107" s="407">
        <f>ROUND(+H107*$C$123,2)</f>
        <v>0</v>
      </c>
      <c r="M107" s="361"/>
      <c r="N107" s="361"/>
      <c r="O107" s="361"/>
      <c r="P107" s="361"/>
      <c r="Q107" s="361"/>
      <c r="R107" s="361"/>
      <c r="S107" s="361"/>
      <c r="T107" s="361"/>
      <c r="U107" s="361"/>
      <c r="V107" s="361"/>
      <c r="W107" s="361"/>
      <c r="X107" s="361"/>
      <c r="Y107" s="361"/>
      <c r="Z107" s="361"/>
      <c r="AA107" s="361"/>
      <c r="AB107" s="361"/>
      <c r="AC107" s="361"/>
      <c r="AD107" s="361"/>
      <c r="AE107" s="361"/>
      <c r="AF107" s="361"/>
      <c r="AG107" s="361"/>
      <c r="AH107" s="361"/>
      <c r="AI107" s="361"/>
      <c r="AJ107" s="361"/>
      <c r="AK107" s="361"/>
      <c r="AL107" s="372"/>
      <c r="AM107" s="372"/>
      <c r="AN107" s="372"/>
      <c r="AO107" s="372"/>
    </row>
    <row r="108" spans="1:42" x14ac:dyDescent="0.2">
      <c r="A108" s="349" t="s">
        <v>17</v>
      </c>
      <c r="C108" s="374">
        <f>ROUND(+E108*$C$127,2)</f>
        <v>872.84</v>
      </c>
      <c r="D108" s="374">
        <f>+E108*C$128</f>
        <v>39.538551000000005</v>
      </c>
      <c r="E108" s="380">
        <v>3.9300000000000002E-2</v>
      </c>
      <c r="F108" s="380"/>
      <c r="G108" s="395" t="s">
        <v>635</v>
      </c>
      <c r="H108" s="439">
        <v>3.0000000000000001E-3</v>
      </c>
      <c r="I108" s="407">
        <f>ROUND(+H108*$C$123,2)</f>
        <v>191.82</v>
      </c>
      <c r="M108" s="361"/>
      <c r="N108" s="361"/>
      <c r="O108" s="361"/>
      <c r="P108" s="361"/>
      <c r="Q108" s="361"/>
      <c r="R108" s="361"/>
      <c r="S108" s="361"/>
      <c r="T108" s="361"/>
      <c r="U108" s="361"/>
      <c r="V108" s="361"/>
      <c r="W108" s="361"/>
      <c r="X108" s="361"/>
      <c r="Y108" s="361"/>
      <c r="Z108" s="361"/>
      <c r="AA108" s="361"/>
      <c r="AB108" s="361"/>
      <c r="AC108" s="361"/>
      <c r="AD108" s="361"/>
      <c r="AE108" s="361"/>
      <c r="AF108" s="361"/>
      <c r="AG108" s="361"/>
      <c r="AH108" s="361"/>
      <c r="AI108" s="361"/>
      <c r="AJ108" s="361"/>
      <c r="AK108" s="361"/>
      <c r="AL108" s="372"/>
      <c r="AM108" s="372"/>
      <c r="AN108" s="372"/>
      <c r="AO108" s="372"/>
    </row>
    <row r="109" spans="1:42" x14ac:dyDescent="0.2">
      <c r="A109" s="349" t="s">
        <v>19</v>
      </c>
      <c r="C109" s="374">
        <f>ROUND(+E109*$C$127,2)</f>
        <v>1699.04</v>
      </c>
      <c r="D109" s="374">
        <f>+E109*C$128</f>
        <v>76.964354999999998</v>
      </c>
      <c r="E109" s="380">
        <v>7.6499999999999999E-2</v>
      </c>
      <c r="F109" s="380"/>
      <c r="N109" s="361"/>
      <c r="O109" s="361"/>
      <c r="P109" s="361"/>
      <c r="Q109" s="361"/>
      <c r="R109" s="361"/>
      <c r="S109" s="361"/>
      <c r="T109" s="361"/>
      <c r="U109" s="361"/>
      <c r="V109" s="361"/>
      <c r="W109" s="361"/>
      <c r="X109" s="361"/>
      <c r="Y109" s="361"/>
      <c r="Z109" s="361"/>
      <c r="AA109" s="361"/>
      <c r="AB109" s="361"/>
      <c r="AC109" s="361"/>
      <c r="AD109" s="361"/>
      <c r="AE109" s="361"/>
      <c r="AF109" s="361"/>
      <c r="AG109" s="361"/>
      <c r="AH109" s="361"/>
      <c r="AI109" s="361"/>
      <c r="AJ109" s="361"/>
      <c r="AK109" s="361"/>
      <c r="AL109" s="361"/>
      <c r="AM109" s="372"/>
      <c r="AN109" s="372"/>
      <c r="AO109" s="372"/>
      <c r="AP109" s="372"/>
    </row>
    <row r="110" spans="1:42" x14ac:dyDescent="0.2">
      <c r="A110" s="349" t="s">
        <v>8</v>
      </c>
      <c r="C110" s="1334">
        <v>451.94</v>
      </c>
      <c r="D110" s="374"/>
      <c r="E110" s="380"/>
      <c r="F110" s="380"/>
      <c r="N110" s="361"/>
      <c r="O110" s="361"/>
      <c r="P110" s="361"/>
      <c r="Q110" s="361"/>
      <c r="R110" s="361"/>
      <c r="S110" s="361"/>
      <c r="T110" s="361"/>
      <c r="U110" s="361"/>
      <c r="V110" s="361"/>
      <c r="W110" s="361"/>
      <c r="X110" s="361"/>
      <c r="Y110" s="361"/>
      <c r="Z110" s="361"/>
      <c r="AA110" s="361"/>
      <c r="AB110" s="361"/>
      <c r="AC110" s="361"/>
      <c r="AD110" s="361"/>
      <c r="AE110" s="361"/>
      <c r="AF110" s="361"/>
      <c r="AG110" s="361"/>
      <c r="AH110" s="361"/>
      <c r="AI110" s="361"/>
      <c r="AJ110" s="361"/>
      <c r="AK110" s="361"/>
      <c r="AL110" s="361"/>
      <c r="AM110" s="372"/>
      <c r="AN110" s="372"/>
      <c r="AO110" s="372"/>
      <c r="AP110" s="372"/>
    </row>
    <row r="111" spans="1:42" x14ac:dyDescent="0.2">
      <c r="A111" s="349" t="s">
        <v>438</v>
      </c>
      <c r="C111" s="1486">
        <f>+C129</f>
        <v>41.48</v>
      </c>
      <c r="D111" s="374"/>
      <c r="E111" s="380"/>
      <c r="F111" s="380"/>
      <c r="I111" s="395" t="s">
        <v>915</v>
      </c>
      <c r="J111" s="972">
        <f>C32</f>
        <v>60780.35</v>
      </c>
      <c r="K111" s="972"/>
      <c r="L111" s="395" t="s">
        <v>916</v>
      </c>
      <c r="M111" s="975">
        <f>+C123</f>
        <v>63941.2</v>
      </c>
      <c r="N111" s="361"/>
      <c r="O111" s="361"/>
      <c r="P111" s="361"/>
      <c r="Q111" s="361"/>
      <c r="R111" s="361"/>
      <c r="S111" s="361"/>
      <c r="T111" s="361"/>
      <c r="U111" s="361"/>
      <c r="V111" s="361"/>
      <c r="W111" s="361"/>
      <c r="X111" s="361"/>
      <c r="Y111" s="361"/>
      <c r="Z111" s="361"/>
      <c r="AA111" s="361"/>
      <c r="AB111" s="361"/>
      <c r="AC111" s="361"/>
      <c r="AD111" s="361"/>
      <c r="AE111" s="361"/>
      <c r="AF111" s="361"/>
      <c r="AG111" s="361"/>
      <c r="AH111" s="361"/>
      <c r="AI111" s="361"/>
      <c r="AJ111" s="361"/>
      <c r="AK111" s="372"/>
      <c r="AL111" s="372"/>
      <c r="AM111" s="372"/>
      <c r="AN111" s="372"/>
    </row>
    <row r="112" spans="1:42" x14ac:dyDescent="0.2">
      <c r="G112" s="348" t="s">
        <v>405</v>
      </c>
      <c r="I112" s="408" t="s">
        <v>917</v>
      </c>
      <c r="J112" s="404"/>
      <c r="K112" s="404"/>
      <c r="L112" s="410" t="s">
        <v>659</v>
      </c>
      <c r="O112" s="361"/>
      <c r="P112" s="361"/>
      <c r="Q112" s="361"/>
      <c r="R112" s="535" t="s">
        <v>920</v>
      </c>
      <c r="S112" s="361"/>
      <c r="T112" s="361"/>
      <c r="U112" s="361"/>
      <c r="V112" s="361"/>
      <c r="W112" s="361"/>
      <c r="X112" s="361"/>
      <c r="Y112" s="361"/>
      <c r="Z112" s="361"/>
      <c r="AA112" s="361"/>
      <c r="AB112" s="361"/>
      <c r="AC112" s="361"/>
      <c r="AD112" s="361"/>
      <c r="AE112" s="361"/>
      <c r="AF112" s="361"/>
      <c r="AG112" s="361"/>
      <c r="AH112" s="361"/>
      <c r="AI112" s="361"/>
      <c r="AJ112" s="361"/>
      <c r="AK112" s="372"/>
      <c r="AL112" s="372"/>
      <c r="AM112" s="372"/>
      <c r="AN112" s="372"/>
    </row>
    <row r="113" spans="1:43" x14ac:dyDescent="0.2">
      <c r="A113" s="370" t="s">
        <v>7</v>
      </c>
      <c r="C113" s="419">
        <f>+C4</f>
        <v>2015</v>
      </c>
      <c r="D113" s="419">
        <f>+D4</f>
        <v>2016</v>
      </c>
      <c r="E113" s="1554"/>
      <c r="G113" s="381" t="s">
        <v>92</v>
      </c>
      <c r="H113" s="382"/>
      <c r="I113" s="973" t="s">
        <v>4</v>
      </c>
      <c r="J113" s="408" t="str">
        <f>+C2</f>
        <v>2015/16</v>
      </c>
      <c r="K113" s="408"/>
      <c r="L113" s="970" t="s">
        <v>4</v>
      </c>
      <c r="M113" s="410" t="str">
        <f>+C2</f>
        <v>2015/16</v>
      </c>
      <c r="N113" s="535"/>
      <c r="O113" s="535"/>
      <c r="P113" s="535" t="s">
        <v>913</v>
      </c>
      <c r="Q113" s="535" t="s">
        <v>918</v>
      </c>
      <c r="R113" s="535" t="s">
        <v>914</v>
      </c>
      <c r="S113" s="361"/>
      <c r="T113" s="361"/>
      <c r="U113" s="361"/>
      <c r="V113" s="361"/>
      <c r="W113" s="361"/>
      <c r="X113" s="361"/>
      <c r="Y113" s="361"/>
      <c r="Z113" s="361"/>
      <c r="AA113" s="361"/>
      <c r="AB113" s="361"/>
      <c r="AC113" s="361"/>
      <c r="AD113" s="361"/>
      <c r="AE113" s="361"/>
      <c r="AF113" s="361"/>
      <c r="AG113" s="361"/>
      <c r="AH113" s="361"/>
      <c r="AI113" s="361"/>
      <c r="AJ113" s="361"/>
      <c r="AK113" s="361"/>
      <c r="AL113" s="361"/>
      <c r="AM113" s="361"/>
      <c r="AN113" s="372"/>
      <c r="AO113" s="372"/>
      <c r="AP113" s="372"/>
      <c r="AQ113" s="372"/>
    </row>
    <row r="114" spans="1:43" x14ac:dyDescent="0.2">
      <c r="A114" s="349" t="s">
        <v>2</v>
      </c>
      <c r="B114" s="372"/>
      <c r="C114" s="1335">
        <v>639.42999999999995</v>
      </c>
      <c r="D114" s="1335">
        <v>659.14</v>
      </c>
      <c r="G114" s="347" t="s">
        <v>93</v>
      </c>
      <c r="H114" s="382"/>
      <c r="I114" s="970">
        <v>0.1061</v>
      </c>
      <c r="J114" s="409">
        <v>6241.8492070000002</v>
      </c>
      <c r="K114" s="409"/>
      <c r="L114" s="974">
        <v>7.0900000000000005E-2</v>
      </c>
      <c r="M114" s="407">
        <v>4387.9506610000008</v>
      </c>
      <c r="N114" s="536"/>
      <c r="O114" s="536"/>
      <c r="P114" s="536">
        <f t="shared" ref="P114:P119" si="11">+J114+M114</f>
        <v>10629.799868000002</v>
      </c>
      <c r="Q114" s="536">
        <v>10810.17</v>
      </c>
      <c r="R114" s="536">
        <f t="shared" ref="R114:R119" si="12">+Q114-P114</f>
        <v>180.37013199999819</v>
      </c>
      <c r="S114" s="361"/>
      <c r="T114" s="441"/>
      <c r="U114" s="361"/>
      <c r="V114" s="361"/>
      <c r="W114" s="361"/>
      <c r="X114" s="361"/>
      <c r="Y114" s="361"/>
      <c r="Z114" s="361"/>
      <c r="AA114" s="361"/>
      <c r="AB114" s="361"/>
      <c r="AC114" s="361"/>
      <c r="AD114" s="361"/>
      <c r="AE114" s="361"/>
      <c r="AF114" s="361"/>
      <c r="AG114" s="361"/>
      <c r="AH114" s="361"/>
      <c r="AI114" s="361"/>
      <c r="AJ114" s="361"/>
      <c r="AK114" s="361"/>
      <c r="AL114" s="361"/>
      <c r="AM114" s="361"/>
      <c r="AN114" s="372"/>
      <c r="AO114" s="372"/>
      <c r="AP114" s="372"/>
      <c r="AQ114" s="372"/>
    </row>
    <row r="115" spans="1:43" x14ac:dyDescent="0.2">
      <c r="A115" s="349" t="s">
        <v>3</v>
      </c>
      <c r="B115" s="372"/>
      <c r="C115" s="1335">
        <v>559.23</v>
      </c>
      <c r="D115" s="1335">
        <v>578.78</v>
      </c>
      <c r="G115" s="347" t="s">
        <v>94</v>
      </c>
      <c r="H115" s="382"/>
      <c r="I115" s="970">
        <v>0.1061</v>
      </c>
      <c r="J115" s="409">
        <v>6241.8492070000002</v>
      </c>
      <c r="K115" s="409"/>
      <c r="L115" s="974">
        <v>7.0900000000000005E-2</v>
      </c>
      <c r="M115" s="407">
        <v>4387.9506610000008</v>
      </c>
      <c r="N115" s="536"/>
      <c r="O115" s="536"/>
      <c r="P115" s="536">
        <f t="shared" si="11"/>
        <v>10629.799868000002</v>
      </c>
      <c r="Q115" s="536">
        <v>10810.17</v>
      </c>
      <c r="R115" s="536">
        <f t="shared" si="12"/>
        <v>180.37013199999819</v>
      </c>
      <c r="S115" s="361"/>
      <c r="T115" s="441"/>
      <c r="U115" s="361"/>
      <c r="V115" s="361"/>
      <c r="W115" s="361"/>
      <c r="X115" s="361"/>
      <c r="Y115" s="361"/>
      <c r="Z115" s="361"/>
      <c r="AA115" s="361"/>
      <c r="AB115" s="361"/>
      <c r="AC115" s="361"/>
      <c r="AD115" s="361"/>
      <c r="AE115" s="361"/>
      <c r="AF115" s="361"/>
      <c r="AG115" s="361"/>
      <c r="AH115" s="361"/>
      <c r="AI115" s="361"/>
      <c r="AJ115" s="361"/>
      <c r="AK115" s="361"/>
      <c r="AL115" s="361"/>
      <c r="AM115" s="361"/>
      <c r="AN115" s="372"/>
      <c r="AO115" s="372"/>
      <c r="AP115" s="372"/>
      <c r="AQ115" s="372"/>
    </row>
    <row r="116" spans="1:43" x14ac:dyDescent="0.2">
      <c r="A116" s="349" t="s">
        <v>5</v>
      </c>
      <c r="B116" s="372"/>
      <c r="C116" s="1335">
        <v>1177.4100000000001</v>
      </c>
      <c r="D116" s="1335">
        <v>1198.19</v>
      </c>
      <c r="G116" s="347" t="s">
        <v>95</v>
      </c>
      <c r="H116" s="382"/>
      <c r="I116" s="970">
        <v>0.1061</v>
      </c>
      <c r="J116" s="409">
        <v>6241.8492070000002</v>
      </c>
      <c r="K116" s="409"/>
      <c r="L116" s="974">
        <v>7.0900000000000005E-2</v>
      </c>
      <c r="M116" s="407">
        <v>4387.9506610000008</v>
      </c>
      <c r="N116" s="536"/>
      <c r="O116" s="536"/>
      <c r="P116" s="536">
        <f t="shared" si="11"/>
        <v>10629.799868000002</v>
      </c>
      <c r="Q116" s="536">
        <v>10810.17</v>
      </c>
      <c r="R116" s="536">
        <f t="shared" si="12"/>
        <v>180.37013199999819</v>
      </c>
      <c r="S116" s="361"/>
      <c r="T116" s="441"/>
      <c r="U116" s="361"/>
      <c r="V116" s="361"/>
      <c r="W116" s="361"/>
      <c r="X116" s="361"/>
      <c r="Y116" s="361"/>
      <c r="Z116" s="361"/>
      <c r="AA116" s="361"/>
      <c r="AB116" s="361"/>
      <c r="AC116" s="361"/>
      <c r="AD116" s="361"/>
      <c r="AE116" s="361"/>
      <c r="AF116" s="361"/>
      <c r="AG116" s="361"/>
      <c r="AH116" s="361"/>
      <c r="AI116" s="361"/>
      <c r="AJ116" s="361"/>
      <c r="AK116" s="361"/>
      <c r="AL116" s="361"/>
      <c r="AM116" s="361"/>
      <c r="AN116" s="372"/>
      <c r="AO116" s="372"/>
      <c r="AP116" s="372"/>
      <c r="AQ116" s="372"/>
    </row>
    <row r="117" spans="1:43" x14ac:dyDescent="0.2">
      <c r="A117" s="372"/>
      <c r="B117" s="372"/>
      <c r="C117" s="372"/>
      <c r="D117" s="372"/>
      <c r="G117" s="435" t="s">
        <v>694</v>
      </c>
      <c r="H117" s="382"/>
      <c r="I117" s="971">
        <v>0.11169999999999999</v>
      </c>
      <c r="J117" s="409">
        <v>6571.2964789999996</v>
      </c>
      <c r="K117" s="409"/>
      <c r="L117" s="974">
        <v>0</v>
      </c>
      <c r="M117" s="407">
        <v>0</v>
      </c>
      <c r="N117" s="536"/>
      <c r="O117" s="536"/>
      <c r="P117" s="536">
        <f t="shared" si="11"/>
        <v>6571.2964789999996</v>
      </c>
      <c r="Q117" s="536">
        <f>J117+M117</f>
        <v>6571.2964789999996</v>
      </c>
      <c r="R117" s="536">
        <f t="shared" si="12"/>
        <v>0</v>
      </c>
      <c r="S117" s="361"/>
      <c r="T117" s="441"/>
      <c r="U117" s="361"/>
      <c r="V117" s="361"/>
      <c r="W117" s="361"/>
      <c r="X117" s="361"/>
      <c r="Y117" s="361"/>
      <c r="Z117" s="361"/>
      <c r="AA117" s="361"/>
      <c r="AB117" s="361"/>
      <c r="AC117" s="361"/>
      <c r="AD117" s="361"/>
      <c r="AE117" s="361"/>
      <c r="AF117" s="361"/>
      <c r="AG117" s="361"/>
      <c r="AH117" s="361"/>
      <c r="AI117" s="361"/>
      <c r="AJ117" s="361"/>
      <c r="AK117" s="361"/>
      <c r="AL117" s="361"/>
      <c r="AM117" s="361"/>
      <c r="AN117" s="372"/>
      <c r="AO117" s="372"/>
      <c r="AP117" s="372"/>
      <c r="AQ117" s="372"/>
    </row>
    <row r="118" spans="1:43" x14ac:dyDescent="0.2">
      <c r="A118" s="395"/>
      <c r="B118" s="395"/>
      <c r="C118" s="405" t="str">
        <f>+C2</f>
        <v>2015/16</v>
      </c>
      <c r="D118" s="372"/>
      <c r="G118" s="347" t="s">
        <v>96</v>
      </c>
      <c r="H118" s="382"/>
      <c r="I118" s="970">
        <v>0.21790000000000001</v>
      </c>
      <c r="J118" s="409">
        <v>12819.028673000001</v>
      </c>
      <c r="K118" s="409"/>
      <c r="L118" s="974">
        <v>7.0900000000000005E-2</v>
      </c>
      <c r="M118" s="407">
        <v>4387.9506610000008</v>
      </c>
      <c r="N118" s="536"/>
      <c r="O118" s="536"/>
      <c r="P118" s="536">
        <f t="shared" si="11"/>
        <v>17206.979334000003</v>
      </c>
      <c r="Q118" s="536">
        <v>17387.349999999999</v>
      </c>
      <c r="R118" s="536">
        <f t="shared" si="12"/>
        <v>180.37066599999525</v>
      </c>
      <c r="S118" s="361"/>
      <c r="T118" s="441"/>
      <c r="U118" s="361"/>
      <c r="V118" s="361"/>
      <c r="W118" s="361"/>
      <c r="X118" s="361"/>
      <c r="Y118" s="361"/>
      <c r="Z118" s="361"/>
      <c r="AA118" s="361"/>
      <c r="AB118" s="361"/>
      <c r="AC118" s="361"/>
      <c r="AD118" s="361"/>
      <c r="AE118" s="361"/>
      <c r="AF118" s="361"/>
      <c r="AG118" s="361"/>
      <c r="AH118" s="361"/>
      <c r="AI118" s="361"/>
      <c r="AJ118" s="361"/>
      <c r="AK118" s="361"/>
      <c r="AL118" s="361"/>
      <c r="AM118" s="361"/>
      <c r="AN118" s="372"/>
      <c r="AO118" s="372"/>
      <c r="AP118" s="372"/>
      <c r="AQ118" s="372"/>
    </row>
    <row r="119" spans="1:43" x14ac:dyDescent="0.2">
      <c r="A119" s="410" t="s">
        <v>711</v>
      </c>
      <c r="B119" s="395"/>
      <c r="C119" s="1336">
        <v>180.37</v>
      </c>
      <c r="D119" s="981"/>
      <c r="G119" s="347" t="s">
        <v>635</v>
      </c>
      <c r="H119" s="382"/>
      <c r="I119" s="970">
        <v>0.1061</v>
      </c>
      <c r="J119" s="409">
        <v>6241.8492070000002</v>
      </c>
      <c r="K119" s="409"/>
      <c r="L119" s="974">
        <v>7.0900000000000005E-2</v>
      </c>
      <c r="M119" s="407">
        <v>4387.9506610000008</v>
      </c>
      <c r="N119" s="536"/>
      <c r="O119" s="536"/>
      <c r="P119" s="536">
        <f t="shared" si="11"/>
        <v>10629.799868000002</v>
      </c>
      <c r="Q119" s="536">
        <v>10810.17</v>
      </c>
      <c r="R119" s="536">
        <f t="shared" si="12"/>
        <v>180.37013199999819</v>
      </c>
      <c r="S119" s="361"/>
      <c r="T119" s="441"/>
      <c r="U119" s="361"/>
      <c r="V119" s="361"/>
      <c r="W119" s="361"/>
      <c r="X119" s="361"/>
      <c r="Y119" s="361"/>
      <c r="Z119" s="361"/>
      <c r="AA119" s="361"/>
      <c r="AB119" s="361"/>
      <c r="AC119" s="361"/>
      <c r="AD119" s="361"/>
      <c r="AE119" s="361"/>
      <c r="AF119" s="361"/>
      <c r="AG119" s="361"/>
      <c r="AH119" s="361"/>
      <c r="AI119" s="361"/>
      <c r="AJ119" s="361"/>
      <c r="AK119" s="361"/>
      <c r="AL119" s="361"/>
      <c r="AM119" s="361"/>
      <c r="AN119" s="372"/>
      <c r="AO119" s="372"/>
      <c r="AP119" s="372"/>
      <c r="AQ119" s="372"/>
    </row>
    <row r="120" spans="1:43" x14ac:dyDescent="0.2">
      <c r="A120" s="372"/>
      <c r="B120" s="372"/>
      <c r="C120" s="372"/>
      <c r="D120" s="417"/>
      <c r="G120" s="383" t="s">
        <v>97</v>
      </c>
      <c r="I120" s="1553"/>
      <c r="J120" s="965">
        <v>2015</v>
      </c>
      <c r="K120" s="965">
        <v>2016</v>
      </c>
      <c r="L120" s="965"/>
      <c r="M120" s="965">
        <v>2015</v>
      </c>
      <c r="N120" s="965">
        <v>2016</v>
      </c>
      <c r="O120" s="535"/>
      <c r="P120" s="536" t="s">
        <v>911</v>
      </c>
      <c r="Q120" s="536" t="s">
        <v>919</v>
      </c>
      <c r="R120" s="361"/>
      <c r="S120" s="361"/>
      <c r="T120" s="361"/>
      <c r="U120" s="361"/>
      <c r="V120" s="361"/>
      <c r="W120" s="361"/>
      <c r="X120" s="361"/>
      <c r="Y120" s="361"/>
      <c r="Z120" s="361"/>
      <c r="AA120" s="361"/>
      <c r="AB120" s="361"/>
      <c r="AC120" s="361"/>
      <c r="AD120" s="361"/>
      <c r="AE120" s="361"/>
      <c r="AF120" s="361"/>
      <c r="AG120" s="361"/>
      <c r="AH120" s="361"/>
      <c r="AI120" s="361"/>
      <c r="AJ120" s="361"/>
      <c r="AK120" s="361"/>
      <c r="AL120" s="361"/>
      <c r="AM120" s="372"/>
      <c r="AN120" s="372"/>
      <c r="AO120" s="372"/>
      <c r="AP120" s="372"/>
    </row>
    <row r="121" spans="1:43" x14ac:dyDescent="0.2">
      <c r="A121" s="420" t="s">
        <v>9</v>
      </c>
      <c r="B121" s="421"/>
      <c r="C121" s="421"/>
      <c r="D121" s="446"/>
      <c r="E121" s="377"/>
      <c r="G121" s="347" t="s">
        <v>93</v>
      </c>
      <c r="H121" s="382"/>
      <c r="I121" s="382"/>
      <c r="J121" s="422">
        <v>1025</v>
      </c>
      <c r="K121" s="422">
        <f>ROUND(J121*(1+I$120),0)</f>
        <v>1025</v>
      </c>
      <c r="L121" s="422"/>
      <c r="M121" s="407">
        <v>525</v>
      </c>
      <c r="N121" s="407">
        <f>ROUND(M121*(1+I$120),0)</f>
        <v>525</v>
      </c>
      <c r="O121" s="535"/>
      <c r="P121" s="617">
        <f t="shared" ref="P121:Q121" si="13">ROUND(+J121+M121,0)</f>
        <v>1550</v>
      </c>
      <c r="Q121" s="617">
        <f t="shared" si="13"/>
        <v>1550</v>
      </c>
      <c r="R121" s="361"/>
      <c r="S121" s="361"/>
      <c r="T121" s="361"/>
      <c r="U121" s="361"/>
      <c r="V121" s="361"/>
      <c r="W121" s="361"/>
      <c r="X121" s="361"/>
      <c r="Y121" s="361"/>
      <c r="Z121" s="361"/>
      <c r="AA121" s="361"/>
      <c r="AB121" s="361"/>
      <c r="AC121" s="361"/>
      <c r="AD121" s="361"/>
      <c r="AE121" s="361"/>
      <c r="AF121" s="361"/>
      <c r="AG121" s="361"/>
      <c r="AH121" s="361"/>
      <c r="AI121" s="361"/>
      <c r="AJ121" s="361"/>
      <c r="AK121" s="361"/>
      <c r="AL121" s="361"/>
      <c r="AM121" s="372"/>
      <c r="AN121" s="372"/>
      <c r="AO121" s="372"/>
      <c r="AP121" s="372"/>
    </row>
    <row r="122" spans="1:43" x14ac:dyDescent="0.2">
      <c r="A122" s="372" t="s">
        <v>189</v>
      </c>
      <c r="B122" s="372"/>
      <c r="C122" s="1487">
        <v>83613.55</v>
      </c>
      <c r="D122" s="372"/>
      <c r="E122" s="417"/>
      <c r="F122" s="353"/>
      <c r="G122" s="347" t="s">
        <v>94</v>
      </c>
      <c r="H122" s="382"/>
      <c r="I122" s="382"/>
      <c r="J122" s="422">
        <v>1024</v>
      </c>
      <c r="K122" s="422">
        <f t="shared" ref="K122:K126" si="14">ROUND(J122*(1+I$120),0)</f>
        <v>1024</v>
      </c>
      <c r="L122" s="422"/>
      <c r="M122" s="407">
        <v>472</v>
      </c>
      <c r="N122" s="407">
        <f t="shared" ref="N122:N126" si="15">ROUND(M122*(1+I$120),0)</f>
        <v>472</v>
      </c>
      <c r="O122" s="535"/>
      <c r="P122" s="617">
        <f t="shared" ref="P122:P126" si="16">ROUND(+J122+M122,0)</f>
        <v>1496</v>
      </c>
      <c r="Q122" s="617">
        <f t="shared" ref="Q122:Q126" si="17">ROUND(+K122+N122,0)</f>
        <v>1496</v>
      </c>
      <c r="R122" s="361"/>
      <c r="S122" s="361"/>
      <c r="T122" s="361"/>
      <c r="U122" s="361"/>
      <c r="V122" s="361"/>
      <c r="W122" s="361"/>
      <c r="X122" s="361"/>
      <c r="Y122" s="361"/>
      <c r="Z122" s="361"/>
      <c r="AA122" s="361"/>
      <c r="AB122" s="361"/>
      <c r="AC122" s="361"/>
      <c r="AD122" s="361"/>
      <c r="AE122" s="361"/>
      <c r="AF122" s="361"/>
      <c r="AG122" s="361"/>
      <c r="AH122" s="361"/>
      <c r="AI122" s="361"/>
      <c r="AJ122" s="361"/>
      <c r="AK122" s="361"/>
      <c r="AL122" s="361"/>
      <c r="AM122" s="372"/>
      <c r="AN122" s="372"/>
      <c r="AO122" s="372"/>
      <c r="AP122" s="372"/>
    </row>
    <row r="123" spans="1:43" x14ac:dyDescent="0.2">
      <c r="A123" s="372" t="s">
        <v>190</v>
      </c>
      <c r="B123" s="372"/>
      <c r="C123" s="1487">
        <v>63941.2</v>
      </c>
      <c r="D123" s="423" t="s">
        <v>10</v>
      </c>
      <c r="E123" s="407"/>
      <c r="F123" s="406"/>
      <c r="G123" s="347" t="s">
        <v>95</v>
      </c>
      <c r="H123" s="382"/>
      <c r="I123" s="382"/>
      <c r="J123" s="422">
        <v>966</v>
      </c>
      <c r="K123" s="422">
        <f t="shared" si="14"/>
        <v>966</v>
      </c>
      <c r="L123" s="422"/>
      <c r="M123" s="407">
        <v>315</v>
      </c>
      <c r="N123" s="407">
        <f t="shared" si="15"/>
        <v>315</v>
      </c>
      <c r="O123" s="535"/>
      <c r="P123" s="617">
        <f t="shared" si="16"/>
        <v>1281</v>
      </c>
      <c r="Q123" s="617">
        <f t="shared" si="17"/>
        <v>1281</v>
      </c>
      <c r="R123" s="361"/>
      <c r="S123" s="361"/>
      <c r="T123" s="361"/>
      <c r="U123" s="361"/>
      <c r="V123" s="361"/>
      <c r="W123" s="361"/>
      <c r="X123" s="361"/>
      <c r="Y123" s="361"/>
      <c r="Z123" s="361"/>
      <c r="AA123" s="361"/>
      <c r="AB123" s="361"/>
      <c r="AC123" s="361"/>
      <c r="AD123" s="361"/>
      <c r="AE123" s="361"/>
      <c r="AF123" s="361"/>
      <c r="AG123" s="361"/>
      <c r="AH123" s="361"/>
      <c r="AI123" s="361"/>
      <c r="AJ123" s="361"/>
      <c r="AK123" s="361"/>
      <c r="AL123" s="361"/>
      <c r="AM123" s="372"/>
      <c r="AN123" s="372"/>
      <c r="AO123" s="372"/>
      <c r="AP123" s="372"/>
    </row>
    <row r="124" spans="1:43" x14ac:dyDescent="0.2">
      <c r="A124" s="372" t="s">
        <v>11</v>
      </c>
      <c r="B124" s="372"/>
      <c r="C124" s="963">
        <f>+C122-C123</f>
        <v>19672.350000000006</v>
      </c>
      <c r="D124" s="424">
        <v>2571</v>
      </c>
      <c r="E124" s="407"/>
      <c r="F124" s="353"/>
      <c r="G124" s="435" t="s">
        <v>694</v>
      </c>
      <c r="H124" s="382"/>
      <c r="I124" s="382"/>
      <c r="J124" s="422">
        <v>309</v>
      </c>
      <c r="K124" s="422">
        <f t="shared" si="14"/>
        <v>309</v>
      </c>
      <c r="L124" s="422"/>
      <c r="M124" s="407">
        <v>0</v>
      </c>
      <c r="N124" s="407">
        <f t="shared" si="15"/>
        <v>0</v>
      </c>
      <c r="O124" s="535"/>
      <c r="P124" s="617">
        <f t="shared" si="16"/>
        <v>309</v>
      </c>
      <c r="Q124" s="617">
        <f t="shared" si="17"/>
        <v>309</v>
      </c>
      <c r="R124" s="361"/>
      <c r="S124" s="361"/>
      <c r="T124" s="361"/>
      <c r="U124" s="361"/>
      <c r="V124" s="361"/>
      <c r="W124" s="361"/>
      <c r="X124" s="361"/>
      <c r="Y124" s="361"/>
      <c r="Z124" s="361"/>
      <c r="AA124" s="361"/>
      <c r="AB124" s="361"/>
      <c r="AC124" s="361"/>
      <c r="AD124" s="361"/>
      <c r="AE124" s="361"/>
      <c r="AF124" s="361"/>
      <c r="AG124" s="361"/>
      <c r="AH124" s="361"/>
      <c r="AI124" s="361"/>
      <c r="AJ124" s="361"/>
      <c r="AK124" s="361"/>
      <c r="AL124" s="361"/>
      <c r="AM124" s="372"/>
      <c r="AN124" s="372"/>
      <c r="AO124" s="372"/>
      <c r="AP124" s="372"/>
    </row>
    <row r="125" spans="1:43" x14ac:dyDescent="0.2">
      <c r="A125" s="372"/>
      <c r="B125" s="372"/>
      <c r="C125" s="962"/>
      <c r="D125" s="372"/>
      <c r="E125" s="1511"/>
      <c r="F125" s="353"/>
      <c r="G125" s="347" t="s">
        <v>96</v>
      </c>
      <c r="H125" s="382"/>
      <c r="I125" s="382"/>
      <c r="J125" s="422">
        <v>1024</v>
      </c>
      <c r="K125" s="422">
        <f t="shared" si="14"/>
        <v>1024</v>
      </c>
      <c r="L125" s="422"/>
      <c r="M125" s="407">
        <v>472</v>
      </c>
      <c r="N125" s="407">
        <f t="shared" si="15"/>
        <v>472</v>
      </c>
      <c r="O125" s="535"/>
      <c r="P125" s="617">
        <f t="shared" si="16"/>
        <v>1496</v>
      </c>
      <c r="Q125" s="617">
        <f t="shared" si="17"/>
        <v>1496</v>
      </c>
      <c r="R125" s="361"/>
      <c r="S125" s="361"/>
      <c r="T125" s="361"/>
      <c r="U125" s="361"/>
      <c r="V125" s="361"/>
      <c r="W125" s="361"/>
      <c r="X125" s="361"/>
      <c r="Y125" s="361"/>
      <c r="Z125" s="361"/>
      <c r="AA125" s="361"/>
      <c r="AB125" s="361"/>
      <c r="AC125" s="361"/>
      <c r="AD125" s="361"/>
      <c r="AE125" s="361"/>
      <c r="AF125" s="361"/>
      <c r="AG125" s="361"/>
      <c r="AH125" s="361"/>
      <c r="AI125" s="361"/>
      <c r="AJ125" s="361"/>
      <c r="AK125" s="361"/>
      <c r="AL125" s="361"/>
      <c r="AM125" s="372"/>
      <c r="AN125" s="372"/>
      <c r="AO125" s="372"/>
      <c r="AP125" s="372"/>
    </row>
    <row r="126" spans="1:43" x14ac:dyDescent="0.2">
      <c r="A126" s="372" t="s">
        <v>12</v>
      </c>
      <c r="B126" s="372"/>
      <c r="C126" s="1487">
        <v>38130.449999999997</v>
      </c>
      <c r="D126" s="372"/>
      <c r="E126" s="372"/>
      <c r="F126" s="353"/>
      <c r="G126" s="347" t="s">
        <v>635</v>
      </c>
      <c r="H126" s="382"/>
      <c r="I126" s="382"/>
      <c r="J126" s="422">
        <v>1024</v>
      </c>
      <c r="K126" s="422">
        <f t="shared" si="14"/>
        <v>1024</v>
      </c>
      <c r="L126" s="422"/>
      <c r="M126" s="407">
        <v>472</v>
      </c>
      <c r="N126" s="407">
        <f t="shared" si="15"/>
        <v>472</v>
      </c>
      <c r="O126" s="535"/>
      <c r="P126" s="617">
        <f t="shared" si="16"/>
        <v>1496</v>
      </c>
      <c r="Q126" s="617">
        <f t="shared" si="17"/>
        <v>1496</v>
      </c>
      <c r="R126" s="361"/>
      <c r="S126" s="361"/>
      <c r="T126" s="361"/>
      <c r="U126" s="361"/>
      <c r="V126" s="361"/>
      <c r="W126" s="361"/>
      <c r="X126" s="361"/>
      <c r="Y126" s="361"/>
      <c r="Z126" s="361"/>
      <c r="AA126" s="361"/>
      <c r="AB126" s="361"/>
      <c r="AC126" s="361"/>
      <c r="AD126" s="361"/>
      <c r="AE126" s="361"/>
      <c r="AF126" s="361"/>
      <c r="AG126" s="361"/>
      <c r="AH126" s="361"/>
      <c r="AI126" s="361"/>
      <c r="AJ126" s="361"/>
      <c r="AK126" s="361"/>
      <c r="AL126" s="361"/>
      <c r="AM126" s="372"/>
      <c r="AN126" s="372"/>
      <c r="AO126" s="372"/>
      <c r="AP126" s="372"/>
    </row>
    <row r="127" spans="1:43" x14ac:dyDescent="0.2">
      <c r="A127" s="372" t="s">
        <v>13</v>
      </c>
      <c r="B127" s="372"/>
      <c r="C127" s="1487">
        <v>22209.62</v>
      </c>
      <c r="D127" s="372"/>
      <c r="E127" s="372"/>
      <c r="F127" s="406"/>
      <c r="G127" s="406"/>
      <c r="H127" s="347"/>
      <c r="I127" s="347"/>
      <c r="J127" s="363"/>
      <c r="K127" s="363"/>
      <c r="L127" s="363"/>
      <c r="P127" s="536"/>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72"/>
      <c r="AO127" s="372"/>
      <c r="AP127" s="372"/>
      <c r="AQ127" s="372"/>
    </row>
    <row r="128" spans="1:43" x14ac:dyDescent="0.2">
      <c r="A128" s="425" t="s">
        <v>14</v>
      </c>
      <c r="B128" s="372"/>
      <c r="C128" s="1487">
        <v>1006.07</v>
      </c>
      <c r="D128" s="372"/>
      <c r="E128" s="372"/>
      <c r="F128" s="353"/>
      <c r="G128" s="353"/>
      <c r="H128" s="348" t="s">
        <v>406</v>
      </c>
      <c r="I128" s="348"/>
      <c r="J128" s="348"/>
      <c r="K128" s="348"/>
      <c r="L128" s="348"/>
      <c r="P128" s="536"/>
      <c r="R128" s="535" t="s">
        <v>920</v>
      </c>
      <c r="Y128" s="361"/>
      <c r="Z128" s="361"/>
      <c r="AA128" s="361"/>
      <c r="AB128" s="361"/>
      <c r="AC128" s="361"/>
      <c r="AD128" s="361"/>
      <c r="AE128" s="361"/>
      <c r="AF128" s="361"/>
      <c r="AG128" s="361"/>
    </row>
    <row r="129" spans="1:33" x14ac:dyDescent="0.2">
      <c r="A129" s="425" t="s">
        <v>193</v>
      </c>
      <c r="B129" s="372"/>
      <c r="C129" s="1488">
        <v>41.48</v>
      </c>
      <c r="D129" s="372"/>
      <c r="E129" s="372"/>
      <c r="F129" s="353"/>
      <c r="G129" s="353"/>
      <c r="H129" s="381" t="s">
        <v>92</v>
      </c>
      <c r="I129" s="970" t="s">
        <v>4</v>
      </c>
      <c r="J129" s="978" t="s">
        <v>400</v>
      </c>
      <c r="K129" s="964"/>
      <c r="L129" s="964"/>
      <c r="M129" s="979" t="s">
        <v>400</v>
      </c>
      <c r="O129" s="535"/>
      <c r="P129" s="535" t="s">
        <v>913</v>
      </c>
      <c r="Q129" s="535" t="s">
        <v>918</v>
      </c>
      <c r="R129" s="535" t="s">
        <v>914</v>
      </c>
      <c r="Y129" s="361"/>
      <c r="Z129" s="361"/>
      <c r="AA129" s="361"/>
      <c r="AB129" s="361"/>
      <c r="AC129" s="361"/>
      <c r="AD129" s="361"/>
      <c r="AE129" s="361"/>
      <c r="AF129" s="361"/>
      <c r="AG129" s="361"/>
    </row>
    <row r="130" spans="1:33" x14ac:dyDescent="0.2">
      <c r="A130" s="372"/>
      <c r="B130" s="353"/>
      <c r="C130" s="353"/>
      <c r="D130" s="353"/>
      <c r="E130" s="372"/>
      <c r="F130" s="372"/>
      <c r="G130" s="347" t="s">
        <v>93</v>
      </c>
      <c r="H130" s="382"/>
      <c r="I130" s="970">
        <v>3.5900000000000001E-2</v>
      </c>
      <c r="J130" s="409">
        <v>2111.9923330000001</v>
      </c>
      <c r="K130" s="409"/>
      <c r="L130" s="974">
        <v>7.0900000000000005E-2</v>
      </c>
      <c r="M130" s="407">
        <v>4387.9506610000008</v>
      </c>
      <c r="N130" s="536"/>
      <c r="O130" s="536"/>
      <c r="P130" s="536">
        <f>J130+M130</f>
        <v>6499.9429940000009</v>
      </c>
      <c r="Q130" s="536">
        <v>6680.31</v>
      </c>
      <c r="R130" s="536">
        <f>+Q130-P130</f>
        <v>180.36700599999949</v>
      </c>
      <c r="X130" s="361"/>
      <c r="Y130" s="361"/>
      <c r="Z130" s="361"/>
      <c r="AA130" s="361"/>
      <c r="AB130" s="361"/>
      <c r="AC130" s="361"/>
      <c r="AD130" s="361"/>
      <c r="AE130" s="361"/>
      <c r="AF130" s="361"/>
    </row>
    <row r="131" spans="1:33" x14ac:dyDescent="0.2">
      <c r="A131" s="348" t="s">
        <v>271</v>
      </c>
      <c r="B131" s="353"/>
      <c r="C131" s="1337">
        <v>0.62</v>
      </c>
      <c r="E131" s="372"/>
      <c r="F131" s="372"/>
      <c r="G131" s="347" t="s">
        <v>94</v>
      </c>
      <c r="H131" s="382"/>
      <c r="I131" s="970">
        <v>3.5900000000000001E-2</v>
      </c>
      <c r="J131" s="409">
        <v>2111.9923330000001</v>
      </c>
      <c r="K131" s="409"/>
      <c r="L131" s="974">
        <v>7.0900000000000005E-2</v>
      </c>
      <c r="M131" s="407">
        <v>4387.9506610000008</v>
      </c>
      <c r="N131" s="536"/>
      <c r="O131" s="536"/>
      <c r="P131" s="536">
        <f>J131+M131</f>
        <v>6499.9429940000009</v>
      </c>
      <c r="Q131" s="536">
        <v>6680.31</v>
      </c>
      <c r="R131" s="536">
        <f>+Q131-P131</f>
        <v>180.36700599999949</v>
      </c>
      <c r="X131" s="361"/>
      <c r="Y131" s="361"/>
      <c r="Z131" s="361"/>
      <c r="AA131" s="361"/>
      <c r="AB131" s="361"/>
      <c r="AC131" s="361"/>
      <c r="AD131" s="361"/>
      <c r="AE131" s="361"/>
      <c r="AF131" s="361"/>
    </row>
    <row r="132" spans="1:33" x14ac:dyDescent="0.2">
      <c r="A132" s="435" t="s">
        <v>974</v>
      </c>
      <c r="B132" s="353"/>
      <c r="C132" s="384">
        <v>0.5</v>
      </c>
      <c r="E132" s="372"/>
      <c r="F132" s="372"/>
      <c r="G132" s="347" t="s">
        <v>95</v>
      </c>
      <c r="H132" s="382"/>
      <c r="I132" s="970">
        <v>3.5900000000000001E-2</v>
      </c>
      <c r="J132" s="409">
        <v>2111.9923330000001</v>
      </c>
      <c r="K132" s="409"/>
      <c r="L132" s="974">
        <v>7.0900000000000005E-2</v>
      </c>
      <c r="M132" s="407">
        <v>4387.9506610000008</v>
      </c>
      <c r="N132" s="536"/>
      <c r="O132" s="536"/>
      <c r="P132" s="536">
        <f>J132+M132</f>
        <v>6499.9429940000009</v>
      </c>
      <c r="Q132" s="536">
        <v>6680.31</v>
      </c>
      <c r="R132" s="536">
        <f>+Q132-P132</f>
        <v>180.36700599999949</v>
      </c>
      <c r="X132" s="361"/>
      <c r="Y132" s="361"/>
      <c r="Z132" s="361"/>
      <c r="AA132" s="361"/>
      <c r="AB132" s="361"/>
      <c r="AC132" s="361"/>
      <c r="AD132" s="361"/>
      <c r="AE132" s="361"/>
      <c r="AF132" s="361"/>
    </row>
    <row r="133" spans="1:33" x14ac:dyDescent="0.2">
      <c r="A133" s="435" t="s">
        <v>975</v>
      </c>
      <c r="B133" s="353"/>
      <c r="C133" s="384">
        <f>C131-C132</f>
        <v>0.12</v>
      </c>
      <c r="E133" s="372"/>
      <c r="F133" s="372"/>
      <c r="G133" s="347" t="s">
        <v>96</v>
      </c>
      <c r="H133" s="382"/>
      <c r="I133" s="970">
        <v>0.1477</v>
      </c>
      <c r="J133" s="409">
        <v>8689.1717989999997</v>
      </c>
      <c r="K133" s="409"/>
      <c r="L133" s="974">
        <v>7.0900000000000005E-2</v>
      </c>
      <c r="M133" s="407">
        <v>4387.9506610000008</v>
      </c>
      <c r="N133" s="536"/>
      <c r="O133" s="536"/>
      <c r="P133" s="536">
        <f>J133+M133</f>
        <v>13077.122460000001</v>
      </c>
      <c r="Q133" s="536">
        <v>13257.49</v>
      </c>
      <c r="R133" s="536">
        <f>+Q133-P133</f>
        <v>180.36753999999928</v>
      </c>
      <c r="X133" s="361"/>
      <c r="Y133" s="361"/>
      <c r="Z133" s="361"/>
      <c r="AA133" s="361"/>
      <c r="AB133" s="361"/>
      <c r="AC133" s="361"/>
      <c r="AD133" s="361"/>
      <c r="AE133" s="361"/>
      <c r="AF133" s="361"/>
    </row>
    <row r="134" spans="1:33" x14ac:dyDescent="0.2">
      <c r="A134" s="435" t="s">
        <v>976</v>
      </c>
      <c r="B134" s="353"/>
      <c r="C134" s="384">
        <v>0.4</v>
      </c>
      <c r="E134" s="372"/>
      <c r="F134" s="372"/>
      <c r="G134" s="347" t="s">
        <v>635</v>
      </c>
      <c r="H134" s="382"/>
      <c r="I134" s="970">
        <v>3.5900000000000001E-2</v>
      </c>
      <c r="J134" s="409">
        <v>2111.9923330000001</v>
      </c>
      <c r="K134" s="409"/>
      <c r="L134" s="974">
        <v>7.0900000000000005E-2</v>
      </c>
      <c r="M134" s="407">
        <v>4387.9506610000008</v>
      </c>
      <c r="N134" s="536"/>
      <c r="O134" s="536"/>
      <c r="P134" s="536">
        <f>J134+M134</f>
        <v>6499.9429940000009</v>
      </c>
      <c r="Q134" s="536">
        <f>Q132</f>
        <v>6680.31</v>
      </c>
      <c r="R134" s="536">
        <f>+Q134-P134</f>
        <v>180.36700599999949</v>
      </c>
      <c r="X134" s="361"/>
      <c r="Y134" s="361"/>
      <c r="Z134" s="361"/>
      <c r="AA134" s="361"/>
      <c r="AB134" s="361"/>
      <c r="AC134" s="361"/>
      <c r="AD134" s="361"/>
      <c r="AE134" s="361"/>
      <c r="AF134" s="361"/>
    </row>
    <row r="135" spans="1:33" x14ac:dyDescent="0.2">
      <c r="A135" s="435" t="s">
        <v>975</v>
      </c>
      <c r="B135" s="353"/>
      <c r="C135" s="384">
        <f>C131-C134</f>
        <v>0.21999999999999997</v>
      </c>
      <c r="E135" s="372"/>
      <c r="F135" s="372"/>
      <c r="G135" s="383" t="s">
        <v>97</v>
      </c>
      <c r="I135" s="1331">
        <f>+I120</f>
        <v>0</v>
      </c>
      <c r="J135" s="965">
        <v>2015</v>
      </c>
      <c r="K135" s="965">
        <v>2016</v>
      </c>
      <c r="L135" s="965"/>
      <c r="M135" s="965">
        <v>2015</v>
      </c>
      <c r="N135" s="965">
        <v>2016</v>
      </c>
      <c r="O135" s="407"/>
      <c r="P135" s="536" t="s">
        <v>911</v>
      </c>
      <c r="Q135" s="536" t="s">
        <v>919</v>
      </c>
      <c r="R135" s="535"/>
      <c r="X135" s="361"/>
      <c r="Y135" s="361"/>
      <c r="Z135" s="361"/>
      <c r="AA135" s="361"/>
      <c r="AB135" s="361"/>
      <c r="AC135" s="361"/>
      <c r="AD135" s="361"/>
      <c r="AE135" s="361"/>
      <c r="AF135" s="361"/>
    </row>
    <row r="136" spans="1:33" x14ac:dyDescent="0.2">
      <c r="A136" s="347"/>
      <c r="B136" s="353"/>
      <c r="C136" s="384"/>
      <c r="E136" s="372"/>
      <c r="F136" s="372"/>
      <c r="G136" s="347" t="s">
        <v>93</v>
      </c>
      <c r="H136" s="382"/>
      <c r="I136" s="382"/>
      <c r="J136" s="422">
        <v>802</v>
      </c>
      <c r="K136" s="422">
        <f>ROUND(J136*(1+I$120),0)</f>
        <v>802</v>
      </c>
      <c r="L136" s="422"/>
      <c r="M136" s="407">
        <v>525</v>
      </c>
      <c r="N136" s="407">
        <f t="shared" ref="N136:N140" si="18">ROUND(M136*(1+I$120),0)</f>
        <v>525</v>
      </c>
      <c r="P136" s="617">
        <f t="shared" ref="P136:Q140" si="19">ROUND(J136+M136,0)</f>
        <v>1327</v>
      </c>
      <c r="Q136" s="617">
        <f t="shared" si="19"/>
        <v>1327</v>
      </c>
      <c r="R136" s="535"/>
      <c r="X136" s="361"/>
      <c r="Y136" s="361"/>
      <c r="Z136" s="361"/>
      <c r="AA136" s="361"/>
      <c r="AB136" s="361"/>
      <c r="AC136" s="361"/>
      <c r="AD136" s="361"/>
      <c r="AE136" s="361"/>
      <c r="AF136" s="361"/>
    </row>
    <row r="137" spans="1:33" x14ac:dyDescent="0.2">
      <c r="A137" s="347"/>
      <c r="B137" s="353"/>
      <c r="C137" s="384"/>
      <c r="E137" s="372"/>
      <c r="F137" s="372"/>
      <c r="G137" s="347" t="s">
        <v>94</v>
      </c>
      <c r="H137" s="382"/>
      <c r="I137" s="382"/>
      <c r="J137" s="422">
        <v>800</v>
      </c>
      <c r="K137" s="422">
        <f t="shared" ref="K137:K140" si="20">ROUND(J137*(1+I$120),0)</f>
        <v>800</v>
      </c>
      <c r="L137" s="422"/>
      <c r="M137" s="407">
        <v>472</v>
      </c>
      <c r="N137" s="407">
        <f t="shared" si="18"/>
        <v>472</v>
      </c>
      <c r="P137" s="617">
        <f t="shared" si="19"/>
        <v>1272</v>
      </c>
      <c r="Q137" s="617">
        <f t="shared" si="19"/>
        <v>1272</v>
      </c>
      <c r="R137" s="535"/>
    </row>
    <row r="138" spans="1:33" x14ac:dyDescent="0.2">
      <c r="A138" s="347"/>
      <c r="B138" s="353"/>
      <c r="C138" s="384"/>
      <c r="E138" s="372"/>
      <c r="F138" s="372"/>
      <c r="G138" s="347" t="s">
        <v>95</v>
      </c>
      <c r="H138" s="382"/>
      <c r="I138" s="382"/>
      <c r="J138" s="422">
        <v>743</v>
      </c>
      <c r="K138" s="422">
        <f t="shared" si="20"/>
        <v>743</v>
      </c>
      <c r="L138" s="422"/>
      <c r="M138" s="407">
        <v>315</v>
      </c>
      <c r="N138" s="407">
        <f t="shared" si="18"/>
        <v>315</v>
      </c>
      <c r="P138" s="617">
        <f t="shared" si="19"/>
        <v>1058</v>
      </c>
      <c r="Q138" s="617">
        <f t="shared" si="19"/>
        <v>1058</v>
      </c>
      <c r="R138" s="535"/>
    </row>
    <row r="139" spans="1:33" x14ac:dyDescent="0.2">
      <c r="A139" s="347"/>
      <c r="B139" s="353"/>
      <c r="C139" s="384"/>
      <c r="E139" s="372"/>
      <c r="F139" s="372"/>
      <c r="G139" s="347" t="s">
        <v>96</v>
      </c>
      <c r="H139" s="382"/>
      <c r="I139" s="382"/>
      <c r="J139" s="422">
        <v>800</v>
      </c>
      <c r="K139" s="422">
        <f t="shared" si="20"/>
        <v>800</v>
      </c>
      <c r="L139" s="422"/>
      <c r="M139" s="407">
        <v>472</v>
      </c>
      <c r="N139" s="407">
        <f t="shared" si="18"/>
        <v>472</v>
      </c>
      <c r="P139" s="617">
        <f t="shared" si="19"/>
        <v>1272</v>
      </c>
      <c r="Q139" s="617">
        <f t="shared" si="19"/>
        <v>1272</v>
      </c>
      <c r="R139" s="535"/>
    </row>
    <row r="140" spans="1:33" x14ac:dyDescent="0.2">
      <c r="A140" s="347"/>
      <c r="B140" s="353"/>
      <c r="C140" s="384"/>
      <c r="E140" s="372"/>
      <c r="F140" s="372"/>
      <c r="G140" s="347" t="s">
        <v>635</v>
      </c>
      <c r="H140" s="382"/>
      <c r="I140" s="382"/>
      <c r="J140" s="422">
        <v>800</v>
      </c>
      <c r="K140" s="422">
        <f t="shared" si="20"/>
        <v>800</v>
      </c>
      <c r="L140" s="422"/>
      <c r="M140" s="407">
        <v>472</v>
      </c>
      <c r="N140" s="407">
        <f t="shared" si="18"/>
        <v>472</v>
      </c>
      <c r="P140" s="617">
        <f t="shared" si="19"/>
        <v>1272</v>
      </c>
      <c r="Q140" s="617">
        <f t="shared" si="19"/>
        <v>1272</v>
      </c>
      <c r="R140" s="535"/>
    </row>
    <row r="141" spans="1:33" x14ac:dyDescent="0.2">
      <c r="A141" s="347"/>
      <c r="B141" s="353"/>
      <c r="C141" s="384"/>
      <c r="E141" s="372"/>
      <c r="F141" s="372"/>
      <c r="G141" s="372"/>
      <c r="H141" s="372"/>
      <c r="I141" s="372"/>
      <c r="J141" s="372"/>
      <c r="K141" s="372"/>
      <c r="L141" s="372"/>
    </row>
    <row r="142" spans="1:33" x14ac:dyDescent="0.2">
      <c r="A142" s="348" t="s">
        <v>322</v>
      </c>
      <c r="B142" s="353"/>
      <c r="C142" s="627">
        <v>42248</v>
      </c>
      <c r="D142" s="582"/>
      <c r="E142" s="348"/>
      <c r="F142" s="372"/>
      <c r="G142" s="372"/>
      <c r="H142" s="372"/>
      <c r="I142" s="372"/>
      <c r="J142" s="372"/>
      <c r="K142" s="372"/>
      <c r="L142" s="347"/>
      <c r="M142" s="347"/>
      <c r="N142" s="347"/>
      <c r="O142" s="347"/>
      <c r="P142" s="347"/>
      <c r="Q142" s="347"/>
      <c r="R142" s="347"/>
      <c r="S142" s="347"/>
      <c r="T142" s="347"/>
      <c r="U142" s="347"/>
    </row>
    <row r="143" spans="1:33" x14ac:dyDescent="0.2">
      <c r="A143" s="348" t="s">
        <v>196</v>
      </c>
      <c r="B143" s="435" t="s">
        <v>155</v>
      </c>
      <c r="C143" s="351">
        <v>1</v>
      </c>
      <c r="D143" s="351">
        <v>2</v>
      </c>
      <c r="E143" s="351">
        <v>3</v>
      </c>
      <c r="F143" s="351">
        <v>4</v>
      </c>
      <c r="G143" s="351">
        <v>5</v>
      </c>
      <c r="H143" s="351">
        <v>6</v>
      </c>
      <c r="I143" s="351">
        <v>7</v>
      </c>
      <c r="J143" s="351">
        <v>8</v>
      </c>
      <c r="K143" s="351">
        <v>9</v>
      </c>
      <c r="L143" s="351">
        <v>10</v>
      </c>
      <c r="M143" s="351">
        <v>11</v>
      </c>
      <c r="N143" s="351">
        <v>12</v>
      </c>
      <c r="O143" s="351">
        <v>13</v>
      </c>
      <c r="P143" s="351">
        <v>14</v>
      </c>
      <c r="Q143" s="351">
        <v>15</v>
      </c>
      <c r="R143" s="351">
        <v>16</v>
      </c>
      <c r="S143" s="351">
        <v>17</v>
      </c>
      <c r="T143" s="351">
        <v>18</v>
      </c>
      <c r="U143" s="351">
        <v>19</v>
      </c>
      <c r="V143" s="351">
        <v>20</v>
      </c>
      <c r="W143" s="369" t="s">
        <v>197</v>
      </c>
    </row>
    <row r="144" spans="1:33" x14ac:dyDescent="0.2">
      <c r="A144" s="385" t="s">
        <v>206</v>
      </c>
      <c r="B144" s="452">
        <f t="shared" ref="B144:B184" si="21">COUNTA(C144:V144)</f>
        <v>13</v>
      </c>
      <c r="C144" s="1536">
        <v>2444</v>
      </c>
      <c r="D144" s="1536">
        <v>2554</v>
      </c>
      <c r="E144" s="1536">
        <v>2675</v>
      </c>
      <c r="F144" s="1536">
        <v>2809</v>
      </c>
      <c r="G144" s="1536">
        <v>2922</v>
      </c>
      <c r="H144" s="1536">
        <v>3039</v>
      </c>
      <c r="I144" s="1536">
        <v>3148</v>
      </c>
      <c r="J144" s="1536">
        <v>3257</v>
      </c>
      <c r="K144" s="1536">
        <v>3375</v>
      </c>
      <c r="L144" s="1536">
        <v>3484</v>
      </c>
      <c r="M144" s="1536">
        <v>3589</v>
      </c>
      <c r="N144" s="1536">
        <v>3697</v>
      </c>
      <c r="O144" s="1536">
        <v>3879</v>
      </c>
      <c r="P144" s="1536"/>
      <c r="Q144" s="1536"/>
      <c r="R144" s="1536"/>
      <c r="S144" s="1536"/>
      <c r="T144" s="1536"/>
      <c r="U144" s="1536"/>
      <c r="V144" s="1536"/>
      <c r="W144" s="452">
        <f t="shared" ref="W144:W147" si="22">COUNTA(C144:V144)</f>
        <v>13</v>
      </c>
    </row>
    <row r="145" spans="1:24" x14ac:dyDescent="0.2">
      <c r="A145" s="385" t="s">
        <v>207</v>
      </c>
      <c r="B145" s="452">
        <f t="shared" si="21"/>
        <v>18</v>
      </c>
      <c r="C145" s="1536">
        <v>2496</v>
      </c>
      <c r="D145" s="1536">
        <v>2619</v>
      </c>
      <c r="E145" s="1536">
        <v>2749</v>
      </c>
      <c r="F145" s="1536">
        <v>2866</v>
      </c>
      <c r="G145" s="1536">
        <v>2981</v>
      </c>
      <c r="H145" s="1536">
        <v>3092</v>
      </c>
      <c r="I145" s="1536">
        <v>3200</v>
      </c>
      <c r="J145" s="1536">
        <v>3320</v>
      </c>
      <c r="K145" s="1536">
        <v>3426</v>
      </c>
      <c r="L145" s="1536">
        <v>3534</v>
      </c>
      <c r="M145" s="1536">
        <v>3642</v>
      </c>
      <c r="N145" s="1536">
        <v>3759</v>
      </c>
      <c r="O145" s="1536">
        <v>3879</v>
      </c>
      <c r="P145" s="1536">
        <v>3993</v>
      </c>
      <c r="Q145" s="1536">
        <v>4105</v>
      </c>
      <c r="R145" s="1536">
        <v>4215</v>
      </c>
      <c r="S145" s="1536">
        <v>4324</v>
      </c>
      <c r="T145" s="1536">
        <v>4380</v>
      </c>
      <c r="U145" s="1536"/>
      <c r="V145" s="1536"/>
      <c r="W145" s="452">
        <f t="shared" si="22"/>
        <v>18</v>
      </c>
    </row>
    <row r="146" spans="1:24" x14ac:dyDescent="0.2">
      <c r="A146" s="385" t="s">
        <v>208</v>
      </c>
      <c r="B146" s="452">
        <f t="shared" si="21"/>
        <v>20</v>
      </c>
      <c r="C146" s="1536">
        <v>2619</v>
      </c>
      <c r="D146" s="1536">
        <v>2749</v>
      </c>
      <c r="E146" s="1536">
        <v>2981</v>
      </c>
      <c r="F146" s="1536">
        <v>3200</v>
      </c>
      <c r="G146" s="1536">
        <v>3320</v>
      </c>
      <c r="H146" s="1536">
        <v>3426</v>
      </c>
      <c r="I146" s="1536">
        <v>3534</v>
      </c>
      <c r="J146" s="1536">
        <v>3642</v>
      </c>
      <c r="K146" s="1536">
        <v>3759</v>
      </c>
      <c r="L146" s="1536">
        <v>3879</v>
      </c>
      <c r="M146" s="1536">
        <v>3993</v>
      </c>
      <c r="N146" s="1536">
        <v>4105</v>
      </c>
      <c r="O146" s="1536">
        <v>4215</v>
      </c>
      <c r="P146" s="1536">
        <v>4324</v>
      </c>
      <c r="Q146" s="1536">
        <v>4438</v>
      </c>
      <c r="R146" s="1536">
        <v>4550</v>
      </c>
      <c r="S146" s="1536">
        <v>4657</v>
      </c>
      <c r="T146" s="1536">
        <v>4770</v>
      </c>
      <c r="U146" s="1536">
        <v>4910</v>
      </c>
      <c r="V146" s="1536">
        <v>4979</v>
      </c>
      <c r="W146" s="452">
        <f t="shared" si="22"/>
        <v>20</v>
      </c>
    </row>
    <row r="147" spans="1:24" x14ac:dyDescent="0.2">
      <c r="A147" s="385" t="s">
        <v>209</v>
      </c>
      <c r="B147" s="452">
        <f t="shared" si="21"/>
        <v>19</v>
      </c>
      <c r="C147" s="1536">
        <v>2749</v>
      </c>
      <c r="D147" s="1536">
        <v>2981</v>
      </c>
      <c r="E147" s="1536">
        <v>3200</v>
      </c>
      <c r="F147" s="1536">
        <v>3426</v>
      </c>
      <c r="G147" s="1536">
        <v>3642</v>
      </c>
      <c r="H147" s="1536">
        <v>3879</v>
      </c>
      <c r="I147" s="1536">
        <v>3993</v>
      </c>
      <c r="J147" s="1536">
        <v>4105</v>
      </c>
      <c r="K147" s="1536">
        <v>4215</v>
      </c>
      <c r="L147" s="1536">
        <v>4324</v>
      </c>
      <c r="M147" s="1536">
        <v>4438</v>
      </c>
      <c r="N147" s="1536">
        <v>4550</v>
      </c>
      <c r="O147" s="1536">
        <v>4657</v>
      </c>
      <c r="P147" s="1536">
        <v>4770</v>
      </c>
      <c r="Q147" s="1536">
        <v>4910</v>
      </c>
      <c r="R147" s="1536">
        <v>5048</v>
      </c>
      <c r="S147" s="1536">
        <v>5189</v>
      </c>
      <c r="T147" s="1536">
        <v>5239</v>
      </c>
      <c r="U147" s="1536">
        <v>5396</v>
      </c>
      <c r="V147" s="1537"/>
      <c r="W147" s="452">
        <f t="shared" si="22"/>
        <v>19</v>
      </c>
    </row>
    <row r="148" spans="1:24" x14ac:dyDescent="0.2">
      <c r="A148" s="385" t="s">
        <v>198</v>
      </c>
      <c r="B148" s="452">
        <f t="shared" si="21"/>
        <v>13</v>
      </c>
      <c r="C148" s="1536">
        <v>2669</v>
      </c>
      <c r="D148" s="1536">
        <v>2774</v>
      </c>
      <c r="E148" s="1536">
        <v>2880</v>
      </c>
      <c r="F148" s="1536">
        <v>2984</v>
      </c>
      <c r="G148" s="1536">
        <v>3088</v>
      </c>
      <c r="H148" s="1536">
        <v>3195</v>
      </c>
      <c r="I148" s="1536">
        <v>3299</v>
      </c>
      <c r="J148" s="1536">
        <v>3405</v>
      </c>
      <c r="K148" s="1536">
        <v>3508</v>
      </c>
      <c r="L148" s="1536">
        <v>3614</v>
      </c>
      <c r="M148" s="1536">
        <v>3721</v>
      </c>
      <c r="N148" s="1536">
        <v>3825</v>
      </c>
      <c r="O148" s="1536">
        <v>3932</v>
      </c>
      <c r="P148" s="1536"/>
      <c r="Q148" s="1536"/>
      <c r="R148" s="1536"/>
      <c r="S148" s="1536"/>
      <c r="T148" s="1536"/>
      <c r="U148" s="1338"/>
      <c r="V148" s="1338"/>
      <c r="W148" s="452">
        <f t="shared" ref="W148:W184" si="23">COUNTA(C148:V148)</f>
        <v>13</v>
      </c>
    </row>
    <row r="149" spans="1:24" x14ac:dyDescent="0.2">
      <c r="A149" s="385" t="s">
        <v>199</v>
      </c>
      <c r="B149" s="452">
        <f t="shared" si="21"/>
        <v>15</v>
      </c>
      <c r="C149" s="1536">
        <v>2774</v>
      </c>
      <c r="D149" s="1536">
        <v>2984</v>
      </c>
      <c r="E149" s="1536">
        <v>3195</v>
      </c>
      <c r="F149" s="1536">
        <v>3299</v>
      </c>
      <c r="G149" s="1536">
        <v>3405</v>
      </c>
      <c r="H149" s="1536">
        <v>3508</v>
      </c>
      <c r="I149" s="1536">
        <v>3614</v>
      </c>
      <c r="J149" s="1536">
        <v>3721</v>
      </c>
      <c r="K149" s="1536">
        <v>3825</v>
      </c>
      <c r="L149" s="1536">
        <v>3932</v>
      </c>
      <c r="M149" s="1536">
        <v>4037</v>
      </c>
      <c r="N149" s="1536">
        <v>4141</v>
      </c>
      <c r="O149" s="1536">
        <v>4246</v>
      </c>
      <c r="P149" s="1536">
        <v>4350</v>
      </c>
      <c r="Q149" s="1536">
        <v>4457</v>
      </c>
      <c r="R149" s="1536"/>
      <c r="S149" s="1536"/>
      <c r="T149" s="1536"/>
      <c r="U149" s="1338"/>
      <c r="V149" s="1338"/>
      <c r="W149" s="452">
        <f t="shared" si="23"/>
        <v>15</v>
      </c>
      <c r="X149" s="372"/>
    </row>
    <row r="150" spans="1:24" x14ac:dyDescent="0.2">
      <c r="A150" s="385" t="s">
        <v>200</v>
      </c>
      <c r="B150" s="452">
        <f t="shared" si="21"/>
        <v>17</v>
      </c>
      <c r="C150" s="1536">
        <v>2774</v>
      </c>
      <c r="D150" s="1536">
        <v>2984</v>
      </c>
      <c r="E150" s="1536">
        <v>3195</v>
      </c>
      <c r="F150" s="1536">
        <v>3299</v>
      </c>
      <c r="G150" s="1536">
        <v>3405</v>
      </c>
      <c r="H150" s="1536">
        <v>3508</v>
      </c>
      <c r="I150" s="1536">
        <v>3614</v>
      </c>
      <c r="J150" s="1536">
        <v>3721</v>
      </c>
      <c r="K150" s="1536">
        <v>3825</v>
      </c>
      <c r="L150" s="1536">
        <v>3932</v>
      </c>
      <c r="M150" s="1536">
        <v>4037</v>
      </c>
      <c r="N150" s="1536">
        <v>4141</v>
      </c>
      <c r="O150" s="1536">
        <v>4246</v>
      </c>
      <c r="P150" s="1536">
        <v>4350</v>
      </c>
      <c r="Q150" s="1536">
        <v>4457</v>
      </c>
      <c r="R150" s="1536">
        <v>4562</v>
      </c>
      <c r="S150" s="1536">
        <v>4667</v>
      </c>
      <c r="T150" s="1536"/>
      <c r="U150" s="1338"/>
      <c r="V150" s="1338"/>
      <c r="W150" s="452">
        <f t="shared" si="23"/>
        <v>17</v>
      </c>
      <c r="X150" s="372"/>
    </row>
    <row r="151" spans="1:24" x14ac:dyDescent="0.2">
      <c r="A151" s="385" t="s">
        <v>201</v>
      </c>
      <c r="B151" s="452">
        <f t="shared" si="21"/>
        <v>16</v>
      </c>
      <c r="C151" s="1536">
        <v>2880</v>
      </c>
      <c r="D151" s="1536">
        <v>3195</v>
      </c>
      <c r="E151" s="1536">
        <v>3405</v>
      </c>
      <c r="F151" s="1536">
        <v>3614</v>
      </c>
      <c r="G151" s="1536">
        <v>3825</v>
      </c>
      <c r="H151" s="1536">
        <v>3932</v>
      </c>
      <c r="I151" s="1536">
        <v>4037</v>
      </c>
      <c r="J151" s="1536">
        <v>4141</v>
      </c>
      <c r="K151" s="1536">
        <v>4246</v>
      </c>
      <c r="L151" s="1536">
        <v>4350</v>
      </c>
      <c r="M151" s="1536">
        <v>4457</v>
      </c>
      <c r="N151" s="1536">
        <v>4562</v>
      </c>
      <c r="O151" s="1536">
        <v>4667</v>
      </c>
      <c r="P151" s="1536">
        <v>4771</v>
      </c>
      <c r="Q151" s="1536">
        <v>4876</v>
      </c>
      <c r="R151" s="1536">
        <v>4983</v>
      </c>
      <c r="S151" s="1536"/>
      <c r="T151" s="1536"/>
      <c r="U151" s="1338"/>
      <c r="V151" s="1338"/>
      <c r="W151" s="452">
        <f t="shared" si="23"/>
        <v>16</v>
      </c>
      <c r="X151" s="372"/>
    </row>
    <row r="152" spans="1:24" x14ac:dyDescent="0.2">
      <c r="A152" s="385" t="s">
        <v>202</v>
      </c>
      <c r="B152" s="452">
        <f t="shared" si="21"/>
        <v>18</v>
      </c>
      <c r="C152" s="1536">
        <v>2880</v>
      </c>
      <c r="D152" s="1536">
        <v>3195</v>
      </c>
      <c r="E152" s="1536">
        <v>3405</v>
      </c>
      <c r="F152" s="1536">
        <v>3614</v>
      </c>
      <c r="G152" s="1536">
        <v>3825</v>
      </c>
      <c r="H152" s="1536">
        <v>3932</v>
      </c>
      <c r="I152" s="1536">
        <v>4037</v>
      </c>
      <c r="J152" s="1536">
        <v>4141</v>
      </c>
      <c r="K152" s="1536">
        <v>4246</v>
      </c>
      <c r="L152" s="1536">
        <v>4350</v>
      </c>
      <c r="M152" s="1536">
        <v>4457</v>
      </c>
      <c r="N152" s="1536">
        <v>4562</v>
      </c>
      <c r="O152" s="1536">
        <v>4667</v>
      </c>
      <c r="P152" s="1536">
        <v>4771</v>
      </c>
      <c r="Q152" s="1536">
        <v>4876</v>
      </c>
      <c r="R152" s="1536">
        <v>4983</v>
      </c>
      <c r="S152" s="1536">
        <v>5087</v>
      </c>
      <c r="T152" s="1536">
        <v>5192</v>
      </c>
      <c r="U152" s="1338"/>
      <c r="V152" s="1338"/>
      <c r="W152" s="452">
        <f t="shared" si="23"/>
        <v>18</v>
      </c>
      <c r="X152" s="372"/>
    </row>
    <row r="153" spans="1:24" x14ac:dyDescent="0.2">
      <c r="A153" s="385" t="s">
        <v>203</v>
      </c>
      <c r="B153" s="452">
        <f t="shared" si="21"/>
        <v>18</v>
      </c>
      <c r="C153" s="1536">
        <v>2924</v>
      </c>
      <c r="D153" s="1536">
        <v>3143</v>
      </c>
      <c r="E153" s="1536">
        <v>3366</v>
      </c>
      <c r="F153" s="1536">
        <v>3580</v>
      </c>
      <c r="G153" s="1536">
        <v>3817</v>
      </c>
      <c r="H153" s="1536">
        <v>3932</v>
      </c>
      <c r="I153" s="1536">
        <v>4041</v>
      </c>
      <c r="J153" s="1536">
        <v>4153</v>
      </c>
      <c r="K153" s="1536">
        <v>4259</v>
      </c>
      <c r="L153" s="1536">
        <v>4374</v>
      </c>
      <c r="M153" s="1536">
        <v>4485</v>
      </c>
      <c r="N153" s="1536">
        <v>4592</v>
      </c>
      <c r="O153" s="1536">
        <v>4703</v>
      </c>
      <c r="P153" s="1536">
        <v>4842</v>
      </c>
      <c r="Q153" s="1536">
        <v>4982</v>
      </c>
      <c r="R153" s="1536">
        <v>5120</v>
      </c>
      <c r="S153" s="1536">
        <v>5260</v>
      </c>
      <c r="T153" s="1536">
        <v>5326</v>
      </c>
      <c r="U153" s="1338"/>
      <c r="V153" s="1338"/>
      <c r="W153" s="452">
        <f t="shared" si="23"/>
        <v>18</v>
      </c>
      <c r="X153" s="372"/>
    </row>
    <row r="154" spans="1:24" x14ac:dyDescent="0.2">
      <c r="A154" s="385" t="s">
        <v>204</v>
      </c>
      <c r="B154" s="452">
        <f t="shared" si="21"/>
        <v>18</v>
      </c>
      <c r="C154" s="1536">
        <v>3034</v>
      </c>
      <c r="D154" s="1536">
        <v>3260</v>
      </c>
      <c r="E154" s="1536">
        <v>3474</v>
      </c>
      <c r="F154" s="1536">
        <v>3698</v>
      </c>
      <c r="G154" s="1536">
        <v>3932</v>
      </c>
      <c r="H154" s="1536">
        <v>4153</v>
      </c>
      <c r="I154" s="1536">
        <v>4374</v>
      </c>
      <c r="J154" s="1536">
        <v>4485</v>
      </c>
      <c r="K154" s="1536">
        <v>4592</v>
      </c>
      <c r="L154" s="1536">
        <v>4703</v>
      </c>
      <c r="M154" s="1536">
        <v>4842</v>
      </c>
      <c r="N154" s="1536">
        <v>4982</v>
      </c>
      <c r="O154" s="1536">
        <v>5120</v>
      </c>
      <c r="P154" s="1536">
        <v>5260</v>
      </c>
      <c r="Q154" s="1536">
        <v>5400</v>
      </c>
      <c r="R154" s="1536">
        <v>5547</v>
      </c>
      <c r="S154" s="1536">
        <v>5698</v>
      </c>
      <c r="T154" s="1536">
        <v>5854</v>
      </c>
      <c r="U154" s="1338"/>
      <c r="V154" s="1338"/>
      <c r="W154" s="452">
        <f t="shared" si="23"/>
        <v>18</v>
      </c>
      <c r="X154" s="372"/>
    </row>
    <row r="155" spans="1:24" x14ac:dyDescent="0.2">
      <c r="A155" s="386" t="s">
        <v>250</v>
      </c>
      <c r="B155" s="452">
        <f t="shared" si="21"/>
        <v>7</v>
      </c>
      <c r="C155" s="1338">
        <v>1507.8</v>
      </c>
      <c r="D155" s="1338">
        <v>1513</v>
      </c>
      <c r="E155" s="1338">
        <v>1556</v>
      </c>
      <c r="F155" s="1338">
        <v>1585</v>
      </c>
      <c r="G155" s="1338">
        <v>1617</v>
      </c>
      <c r="H155" s="1338">
        <v>1651</v>
      </c>
      <c r="I155" s="1338">
        <v>1694</v>
      </c>
      <c r="J155" s="1338"/>
      <c r="K155" s="1338"/>
      <c r="L155" s="1338"/>
      <c r="M155" s="1338"/>
      <c r="N155" s="1338"/>
      <c r="O155" s="1338"/>
      <c r="P155" s="1338"/>
      <c r="Q155" s="1338"/>
      <c r="R155" s="1338"/>
      <c r="S155" s="1338"/>
      <c r="T155" s="1338"/>
      <c r="U155" s="1338"/>
      <c r="V155" s="1338"/>
      <c r="W155" s="452">
        <f t="shared" si="23"/>
        <v>7</v>
      </c>
      <c r="X155" s="372"/>
    </row>
    <row r="156" spans="1:24" x14ac:dyDescent="0.2">
      <c r="A156" s="347" t="s">
        <v>251</v>
      </c>
      <c r="B156" s="452">
        <f t="shared" si="21"/>
        <v>8</v>
      </c>
      <c r="C156" s="1338">
        <v>1507.8</v>
      </c>
      <c r="D156" s="1338">
        <v>1526</v>
      </c>
      <c r="E156" s="1338">
        <v>1585</v>
      </c>
      <c r="F156" s="1338">
        <v>1651</v>
      </c>
      <c r="G156" s="1338">
        <v>1694</v>
      </c>
      <c r="H156" s="1338">
        <v>1744</v>
      </c>
      <c r="I156" s="1338">
        <v>1804</v>
      </c>
      <c r="J156" s="1338">
        <v>1862</v>
      </c>
      <c r="K156" s="1338"/>
      <c r="L156" s="1338"/>
      <c r="M156" s="1338"/>
      <c r="N156" s="1338"/>
      <c r="O156" s="1338"/>
      <c r="P156" s="1338"/>
      <c r="Q156" s="1338"/>
      <c r="R156" s="1338"/>
      <c r="S156" s="1338"/>
      <c r="T156" s="1338"/>
      <c r="U156" s="1338"/>
      <c r="V156" s="1338"/>
      <c r="W156" s="452">
        <f t="shared" si="23"/>
        <v>8</v>
      </c>
      <c r="X156" s="372"/>
    </row>
    <row r="157" spans="1:24" x14ac:dyDescent="0.2">
      <c r="A157" s="347" t="s">
        <v>252</v>
      </c>
      <c r="B157" s="452">
        <f t="shared" si="21"/>
        <v>7</v>
      </c>
      <c r="C157" s="1338">
        <v>1507.8</v>
      </c>
      <c r="D157" s="1338">
        <v>1585</v>
      </c>
      <c r="E157" s="1338">
        <v>1651</v>
      </c>
      <c r="F157" s="1338">
        <v>1744</v>
      </c>
      <c r="G157" s="1338">
        <v>1804</v>
      </c>
      <c r="H157" s="1338">
        <v>1862</v>
      </c>
      <c r="I157" s="1338">
        <v>1919</v>
      </c>
      <c r="J157" s="1338"/>
      <c r="K157" s="1338"/>
      <c r="L157" s="1338"/>
      <c r="M157" s="1338"/>
      <c r="N157" s="1338"/>
      <c r="O157" s="1338"/>
      <c r="P157" s="1338"/>
      <c r="Q157" s="1338"/>
      <c r="R157" s="1338"/>
      <c r="S157" s="1338"/>
      <c r="T157" s="1338"/>
      <c r="U157" s="1338"/>
      <c r="V157" s="1338"/>
      <c r="W157" s="452">
        <f t="shared" si="23"/>
        <v>7</v>
      </c>
      <c r="X157" s="372"/>
    </row>
    <row r="158" spans="1:24" x14ac:dyDescent="0.2">
      <c r="A158" s="385" t="s">
        <v>210</v>
      </c>
      <c r="B158" s="452">
        <f t="shared" si="21"/>
        <v>15</v>
      </c>
      <c r="C158" s="1536">
        <v>2346</v>
      </c>
      <c r="D158" s="1536">
        <v>2394</v>
      </c>
      <c r="E158" s="1536">
        <v>2446</v>
      </c>
      <c r="F158" s="1536">
        <v>2498</v>
      </c>
      <c r="G158" s="1536">
        <v>2550</v>
      </c>
      <c r="H158" s="1536">
        <v>2611</v>
      </c>
      <c r="I158" s="1536">
        <v>2674</v>
      </c>
      <c r="J158" s="1536">
        <v>2743</v>
      </c>
      <c r="K158" s="1536">
        <v>2820</v>
      </c>
      <c r="L158" s="1536">
        <v>2899</v>
      </c>
      <c r="M158" s="1536">
        <v>2986</v>
      </c>
      <c r="N158" s="1536">
        <v>3077</v>
      </c>
      <c r="O158" s="1536">
        <v>3175</v>
      </c>
      <c r="P158" s="1536">
        <v>3277</v>
      </c>
      <c r="Q158" s="1536">
        <v>3355</v>
      </c>
      <c r="R158" s="1338"/>
      <c r="S158" s="1338"/>
      <c r="T158" s="1338"/>
      <c r="U158" s="1338"/>
      <c r="V158" s="1338"/>
      <c r="W158" s="452">
        <f t="shared" si="23"/>
        <v>15</v>
      </c>
      <c r="X158" s="372"/>
    </row>
    <row r="159" spans="1:24" x14ac:dyDescent="0.2">
      <c r="A159" s="385" t="s">
        <v>211</v>
      </c>
      <c r="B159" s="452">
        <f t="shared" si="21"/>
        <v>15</v>
      </c>
      <c r="C159" s="1536">
        <v>2433</v>
      </c>
      <c r="D159" s="1536">
        <v>2491</v>
      </c>
      <c r="E159" s="1536">
        <v>2558</v>
      </c>
      <c r="F159" s="1536">
        <v>2622</v>
      </c>
      <c r="G159" s="1536">
        <v>2687</v>
      </c>
      <c r="H159" s="1536">
        <v>2760</v>
      </c>
      <c r="I159" s="1536">
        <v>2839</v>
      </c>
      <c r="J159" s="1536">
        <v>2925</v>
      </c>
      <c r="K159" s="1536">
        <v>3026</v>
      </c>
      <c r="L159" s="1536">
        <v>3127</v>
      </c>
      <c r="M159" s="1536">
        <v>3237</v>
      </c>
      <c r="N159" s="1536">
        <v>3350</v>
      </c>
      <c r="O159" s="1536">
        <v>3467</v>
      </c>
      <c r="P159" s="1536">
        <v>3590</v>
      </c>
      <c r="Q159" s="1536">
        <v>3686</v>
      </c>
      <c r="R159" s="1338"/>
      <c r="S159" s="1338"/>
      <c r="T159" s="1338"/>
      <c r="U159" s="1338"/>
      <c r="V159" s="1338"/>
      <c r="W159" s="452">
        <f t="shared" si="23"/>
        <v>15</v>
      </c>
      <c r="X159" s="372"/>
    </row>
    <row r="160" spans="1:24" x14ac:dyDescent="0.2">
      <c r="A160" s="385" t="s">
        <v>212</v>
      </c>
      <c r="B160" s="452">
        <f t="shared" si="21"/>
        <v>15</v>
      </c>
      <c r="C160" s="1536">
        <v>2446</v>
      </c>
      <c r="D160" s="1536">
        <v>2565</v>
      </c>
      <c r="E160" s="1536">
        <v>2686</v>
      </c>
      <c r="F160" s="1536">
        <v>2809</v>
      </c>
      <c r="G160" s="1536">
        <v>2929</v>
      </c>
      <c r="H160" s="1536">
        <v>3054</v>
      </c>
      <c r="I160" s="1536">
        <v>3183</v>
      </c>
      <c r="J160" s="1536">
        <v>3314</v>
      </c>
      <c r="K160" s="1536">
        <v>3451</v>
      </c>
      <c r="L160" s="1536">
        <v>3591</v>
      </c>
      <c r="M160" s="1536">
        <v>3732</v>
      </c>
      <c r="N160" s="1536">
        <v>3879</v>
      </c>
      <c r="O160" s="1536">
        <v>4030</v>
      </c>
      <c r="P160" s="1536">
        <v>4183</v>
      </c>
      <c r="Q160" s="1536">
        <v>4300</v>
      </c>
      <c r="R160" s="1338"/>
      <c r="S160" s="1338"/>
      <c r="T160" s="1338"/>
      <c r="U160" s="1338"/>
      <c r="V160" s="1338"/>
      <c r="W160" s="452">
        <f t="shared" si="23"/>
        <v>15</v>
      </c>
      <c r="X160" s="372"/>
    </row>
    <row r="161" spans="1:24" x14ac:dyDescent="0.2">
      <c r="A161" s="385" t="s">
        <v>213</v>
      </c>
      <c r="B161" s="452">
        <f t="shared" si="21"/>
        <v>15</v>
      </c>
      <c r="C161" s="1536">
        <v>2455</v>
      </c>
      <c r="D161" s="1536">
        <v>2603</v>
      </c>
      <c r="E161" s="1536">
        <v>2754</v>
      </c>
      <c r="F161" s="1536">
        <v>2908</v>
      </c>
      <c r="G161" s="1536">
        <v>3062</v>
      </c>
      <c r="H161" s="1536">
        <v>3223</v>
      </c>
      <c r="I161" s="1536">
        <v>3390</v>
      </c>
      <c r="J161" s="1536">
        <v>3559</v>
      </c>
      <c r="K161" s="1536">
        <v>3737</v>
      </c>
      <c r="L161" s="1536">
        <v>3922</v>
      </c>
      <c r="M161" s="1536">
        <v>4113</v>
      </c>
      <c r="N161" s="1536">
        <v>4310</v>
      </c>
      <c r="O161" s="1536">
        <v>4514</v>
      </c>
      <c r="P161" s="1536">
        <v>4723</v>
      </c>
      <c r="Q161" s="1536">
        <v>4893</v>
      </c>
      <c r="R161" s="1338"/>
      <c r="S161" s="1338"/>
      <c r="T161" s="1338"/>
      <c r="U161" s="1338"/>
      <c r="V161" s="1338"/>
      <c r="W161" s="452">
        <f t="shared" si="23"/>
        <v>15</v>
      </c>
      <c r="X161" s="372"/>
    </row>
    <row r="162" spans="1:24" x14ac:dyDescent="0.2">
      <c r="A162" s="347" t="s">
        <v>215</v>
      </c>
      <c r="B162" s="452">
        <f t="shared" si="21"/>
        <v>1</v>
      </c>
      <c r="C162" s="1338">
        <f>+C158/2</f>
        <v>1173</v>
      </c>
      <c r="D162" s="1339"/>
      <c r="E162" s="1339"/>
      <c r="F162" s="1339"/>
      <c r="G162" s="1339"/>
      <c r="H162" s="1339"/>
      <c r="I162" s="1339"/>
      <c r="J162" s="1339"/>
      <c r="K162" s="1339"/>
      <c r="L162" s="1339"/>
      <c r="M162" s="1339"/>
      <c r="N162" s="1339"/>
      <c r="O162" s="1339"/>
      <c r="P162" s="1339"/>
      <c r="Q162" s="1339"/>
      <c r="R162" s="1338"/>
      <c r="S162" s="1339"/>
      <c r="T162" s="1339"/>
      <c r="U162" s="1339"/>
      <c r="V162" s="1339"/>
      <c r="W162" s="452">
        <f t="shared" si="23"/>
        <v>1</v>
      </c>
      <c r="X162" s="372"/>
    </row>
    <row r="163" spans="1:24" x14ac:dyDescent="0.2">
      <c r="A163" s="347" t="s">
        <v>216</v>
      </c>
      <c r="B163" s="452">
        <f t="shared" si="21"/>
        <v>1</v>
      </c>
      <c r="C163" s="1338">
        <f>+C159/2</f>
        <v>1216.5</v>
      </c>
      <c r="D163" s="1339"/>
      <c r="E163" s="1339"/>
      <c r="F163" s="1339"/>
      <c r="G163" s="1339"/>
      <c r="H163" s="1339"/>
      <c r="I163" s="1339"/>
      <c r="J163" s="1339"/>
      <c r="K163" s="1339"/>
      <c r="L163" s="1339"/>
      <c r="M163" s="1339"/>
      <c r="N163" s="1339"/>
      <c r="O163" s="1339"/>
      <c r="P163" s="1339"/>
      <c r="Q163" s="1339"/>
      <c r="R163" s="1338"/>
      <c r="S163" s="1339"/>
      <c r="T163" s="1339"/>
      <c r="U163" s="1339"/>
      <c r="V163" s="1339"/>
      <c r="W163" s="452">
        <f t="shared" si="23"/>
        <v>1</v>
      </c>
      <c r="X163" s="372"/>
    </row>
    <row r="164" spans="1:24" x14ac:dyDescent="0.2">
      <c r="A164" s="353" t="s">
        <v>249</v>
      </c>
      <c r="B164" s="452">
        <f t="shared" si="21"/>
        <v>11</v>
      </c>
      <c r="C164" s="1536">
        <v>2669</v>
      </c>
      <c r="D164" s="1536">
        <v>2774</v>
      </c>
      <c r="E164" s="1536">
        <v>2880</v>
      </c>
      <c r="F164" s="1536">
        <v>2984</v>
      </c>
      <c r="G164" s="1536">
        <v>3088</v>
      </c>
      <c r="H164" s="1536">
        <v>3195</v>
      </c>
      <c r="I164" s="1536">
        <v>3299</v>
      </c>
      <c r="J164" s="1536">
        <v>3405</v>
      </c>
      <c r="K164" s="1536">
        <v>3508</v>
      </c>
      <c r="L164" s="1536">
        <v>3614</v>
      </c>
      <c r="M164" s="1536">
        <v>3721</v>
      </c>
      <c r="N164" s="1536"/>
      <c r="O164" s="1536"/>
      <c r="P164" s="1536"/>
      <c r="Q164" s="1536"/>
      <c r="R164" s="1338"/>
      <c r="S164" s="1338"/>
      <c r="T164" s="1338"/>
      <c r="U164" s="1338"/>
      <c r="V164" s="1338"/>
      <c r="W164" s="452">
        <f t="shared" si="23"/>
        <v>11</v>
      </c>
      <c r="X164" s="372"/>
    </row>
    <row r="165" spans="1:24" x14ac:dyDescent="0.2">
      <c r="A165" s="353" t="s">
        <v>218</v>
      </c>
      <c r="B165" s="452">
        <f t="shared" si="21"/>
        <v>10</v>
      </c>
      <c r="C165" s="1536">
        <v>2774</v>
      </c>
      <c r="D165" s="1536">
        <v>2984</v>
      </c>
      <c r="E165" s="1536">
        <v>3195</v>
      </c>
      <c r="F165" s="1536">
        <v>3299</v>
      </c>
      <c r="G165" s="1536">
        <v>3405</v>
      </c>
      <c r="H165" s="1536">
        <v>3508</v>
      </c>
      <c r="I165" s="1536">
        <v>3614</v>
      </c>
      <c r="J165" s="1536">
        <v>3721</v>
      </c>
      <c r="K165" s="1536">
        <v>3825</v>
      </c>
      <c r="L165" s="1536">
        <v>3932</v>
      </c>
      <c r="M165" s="1536"/>
      <c r="N165" s="1536"/>
      <c r="O165" s="1536"/>
      <c r="P165" s="1536"/>
      <c r="Q165" s="1536"/>
      <c r="R165" s="1338"/>
      <c r="S165" s="1338"/>
      <c r="T165" s="1338"/>
      <c r="U165" s="1338"/>
      <c r="V165" s="1338"/>
      <c r="W165" s="452">
        <f t="shared" si="23"/>
        <v>10</v>
      </c>
      <c r="X165" s="372"/>
    </row>
    <row r="166" spans="1:24" x14ac:dyDescent="0.2">
      <c r="A166" s="353" t="s">
        <v>219</v>
      </c>
      <c r="B166" s="452">
        <f t="shared" si="21"/>
        <v>11</v>
      </c>
      <c r="C166" s="1536">
        <v>2774</v>
      </c>
      <c r="D166" s="1536">
        <v>2984</v>
      </c>
      <c r="E166" s="1536">
        <v>3195</v>
      </c>
      <c r="F166" s="1536">
        <v>3299</v>
      </c>
      <c r="G166" s="1536">
        <v>3405</v>
      </c>
      <c r="H166" s="1536">
        <v>3508</v>
      </c>
      <c r="I166" s="1536">
        <v>3614</v>
      </c>
      <c r="J166" s="1536">
        <v>3721</v>
      </c>
      <c r="K166" s="1536">
        <v>3825</v>
      </c>
      <c r="L166" s="1536">
        <v>3932</v>
      </c>
      <c r="M166" s="1536">
        <v>4037</v>
      </c>
      <c r="N166" s="1536"/>
      <c r="O166" s="1536"/>
      <c r="P166" s="1536"/>
      <c r="Q166" s="1536"/>
      <c r="R166" s="1338"/>
      <c r="S166" s="1338"/>
      <c r="T166" s="1338"/>
      <c r="U166" s="1338"/>
      <c r="V166" s="1338"/>
      <c r="W166" s="452">
        <f t="shared" si="23"/>
        <v>11</v>
      </c>
      <c r="X166" s="372"/>
    </row>
    <row r="167" spans="1:24" x14ac:dyDescent="0.2">
      <c r="A167" s="353" t="s">
        <v>323</v>
      </c>
      <c r="B167" s="452">
        <f t="shared" si="21"/>
        <v>13</v>
      </c>
      <c r="C167" s="1536">
        <v>2880</v>
      </c>
      <c r="D167" s="1536">
        <v>3195</v>
      </c>
      <c r="E167" s="1536">
        <v>3405</v>
      </c>
      <c r="F167" s="1536">
        <v>3614</v>
      </c>
      <c r="G167" s="1536">
        <v>3825</v>
      </c>
      <c r="H167" s="1536">
        <v>3932</v>
      </c>
      <c r="I167" s="1536">
        <v>4037</v>
      </c>
      <c r="J167" s="1536">
        <v>4141</v>
      </c>
      <c r="K167" s="1536">
        <v>4246</v>
      </c>
      <c r="L167" s="1536">
        <v>4350</v>
      </c>
      <c r="M167" s="1536">
        <v>4457</v>
      </c>
      <c r="N167" s="1536">
        <v>4562</v>
      </c>
      <c r="O167" s="1536">
        <v>4667</v>
      </c>
      <c r="P167" s="1536"/>
      <c r="Q167" s="1536"/>
      <c r="R167" s="1338"/>
      <c r="S167" s="1338"/>
      <c r="T167" s="1338"/>
      <c r="U167" s="1338"/>
      <c r="V167" s="1338"/>
      <c r="W167" s="452">
        <f t="shared" si="23"/>
        <v>13</v>
      </c>
      <c r="X167" s="372"/>
    </row>
    <row r="168" spans="1:24" x14ac:dyDescent="0.2">
      <c r="A168" s="353" t="s">
        <v>220</v>
      </c>
      <c r="B168" s="452">
        <f t="shared" si="21"/>
        <v>15</v>
      </c>
      <c r="C168" s="1538">
        <v>2880</v>
      </c>
      <c r="D168" s="1536">
        <v>3195</v>
      </c>
      <c r="E168" s="1536">
        <v>3405</v>
      </c>
      <c r="F168" s="1536">
        <v>3614</v>
      </c>
      <c r="G168" s="1536">
        <v>3825</v>
      </c>
      <c r="H168" s="1536">
        <v>3932</v>
      </c>
      <c r="I168" s="1536">
        <v>4037</v>
      </c>
      <c r="J168" s="1536">
        <v>4141</v>
      </c>
      <c r="K168" s="1536">
        <v>4246</v>
      </c>
      <c r="L168" s="1536">
        <v>4350</v>
      </c>
      <c r="M168" s="1536">
        <v>4457</v>
      </c>
      <c r="N168" s="1536">
        <v>4562</v>
      </c>
      <c r="O168" s="1536">
        <v>4667</v>
      </c>
      <c r="P168" s="1536">
        <v>4771</v>
      </c>
      <c r="Q168" s="1536">
        <v>4876</v>
      </c>
      <c r="R168" s="1338"/>
      <c r="S168" s="1338"/>
      <c r="T168" s="1338"/>
      <c r="U168" s="1338"/>
      <c r="V168" s="1338"/>
      <c r="W168" s="452">
        <f t="shared" si="23"/>
        <v>15</v>
      </c>
      <c r="X168" s="372"/>
    </row>
    <row r="169" spans="1:24" x14ac:dyDescent="0.2">
      <c r="A169" s="347">
        <v>1</v>
      </c>
      <c r="B169" s="452">
        <f t="shared" si="21"/>
        <v>7</v>
      </c>
      <c r="C169" s="1538">
        <v>1507.8</v>
      </c>
      <c r="D169" s="1538">
        <v>1513</v>
      </c>
      <c r="E169" s="1536">
        <v>1576</v>
      </c>
      <c r="F169" s="1536">
        <v>1605</v>
      </c>
      <c r="G169" s="1536">
        <v>1637</v>
      </c>
      <c r="H169" s="1536">
        <v>1671</v>
      </c>
      <c r="I169" s="1536">
        <v>1715</v>
      </c>
      <c r="J169" s="1537"/>
      <c r="K169" s="1537"/>
      <c r="L169" s="1537"/>
      <c r="M169" s="1537"/>
      <c r="N169" s="1537"/>
      <c r="O169" s="1537"/>
      <c r="P169" s="1537"/>
      <c r="Q169" s="1537"/>
      <c r="R169" s="1537"/>
      <c r="S169" s="1537"/>
      <c r="T169" s="1537"/>
      <c r="U169" s="1338"/>
      <c r="V169" s="1338"/>
      <c r="W169" s="452">
        <f t="shared" si="23"/>
        <v>7</v>
      </c>
      <c r="X169" s="372"/>
    </row>
    <row r="170" spans="1:24" x14ac:dyDescent="0.2">
      <c r="A170" s="347">
        <v>2</v>
      </c>
      <c r="B170" s="452">
        <f t="shared" si="21"/>
        <v>8</v>
      </c>
      <c r="C170" s="1538">
        <f>C169</f>
        <v>1507.8</v>
      </c>
      <c r="D170" s="1536">
        <v>1513</v>
      </c>
      <c r="E170" s="1536">
        <v>1576</v>
      </c>
      <c r="F170" s="1536">
        <v>1605</v>
      </c>
      <c r="G170" s="1536">
        <v>1637</v>
      </c>
      <c r="H170" s="1536">
        <v>1671</v>
      </c>
      <c r="I170" s="1536">
        <v>1715</v>
      </c>
      <c r="J170" s="1536">
        <v>1885</v>
      </c>
      <c r="K170" s="1536"/>
      <c r="L170" s="1536"/>
      <c r="M170" s="1536"/>
      <c r="N170" s="1536"/>
      <c r="O170" s="1536"/>
      <c r="P170" s="1536"/>
      <c r="Q170" s="1536"/>
      <c r="R170" s="1536"/>
      <c r="S170" s="1536"/>
      <c r="T170" s="1536"/>
      <c r="U170" s="1338"/>
      <c r="V170" s="1338"/>
      <c r="W170" s="452">
        <f t="shared" si="23"/>
        <v>8</v>
      </c>
      <c r="X170" s="372"/>
    </row>
    <row r="171" spans="1:24" x14ac:dyDescent="0.2">
      <c r="A171" s="347">
        <v>3</v>
      </c>
      <c r="B171" s="452">
        <f t="shared" si="21"/>
        <v>9</v>
      </c>
      <c r="C171" s="1538">
        <f>C169</f>
        <v>1507.8</v>
      </c>
      <c r="D171" s="1536">
        <v>1605</v>
      </c>
      <c r="E171" s="1536">
        <v>1671</v>
      </c>
      <c r="F171" s="1536">
        <v>1765</v>
      </c>
      <c r="G171" s="1536">
        <v>1827</v>
      </c>
      <c r="H171" s="1536">
        <v>1885</v>
      </c>
      <c r="I171" s="1536">
        <v>1943</v>
      </c>
      <c r="J171" s="1536">
        <v>1998</v>
      </c>
      <c r="K171" s="1536">
        <v>2053</v>
      </c>
      <c r="L171" s="1536"/>
      <c r="M171" s="1536"/>
      <c r="N171" s="1536"/>
      <c r="O171" s="1536"/>
      <c r="P171" s="1536"/>
      <c r="Q171" s="1536"/>
      <c r="R171" s="1536"/>
      <c r="S171" s="1536"/>
      <c r="T171" s="1536"/>
      <c r="U171" s="1338"/>
      <c r="V171" s="1338"/>
      <c r="W171" s="452">
        <f t="shared" si="23"/>
        <v>9</v>
      </c>
      <c r="X171" s="372"/>
    </row>
    <row r="172" spans="1:24" x14ac:dyDescent="0.2">
      <c r="A172" s="347">
        <v>4</v>
      </c>
      <c r="B172" s="452">
        <f t="shared" si="21"/>
        <v>11</v>
      </c>
      <c r="C172" s="1538">
        <v>1513</v>
      </c>
      <c r="D172" s="1536">
        <v>1576</v>
      </c>
      <c r="E172" s="1536">
        <v>1637</v>
      </c>
      <c r="F172" s="1536">
        <v>1715</v>
      </c>
      <c r="G172" s="1536">
        <v>1827</v>
      </c>
      <c r="H172" s="1536">
        <v>1885</v>
      </c>
      <c r="I172" s="1536">
        <v>1943</v>
      </c>
      <c r="J172" s="1536">
        <v>1998</v>
      </c>
      <c r="K172" s="1536">
        <v>2053</v>
      </c>
      <c r="L172" s="1536">
        <v>2107</v>
      </c>
      <c r="M172" s="1536">
        <v>2160</v>
      </c>
      <c r="N172" s="1537"/>
      <c r="O172" s="1537"/>
      <c r="P172" s="1537"/>
      <c r="Q172" s="1537"/>
      <c r="R172" s="1537"/>
      <c r="S172" s="1537"/>
      <c r="T172" s="1537"/>
      <c r="U172" s="1338"/>
      <c r="V172" s="1338"/>
      <c r="W172" s="452">
        <f t="shared" si="23"/>
        <v>11</v>
      </c>
      <c r="X172" s="372"/>
    </row>
    <row r="173" spans="1:24" x14ac:dyDescent="0.2">
      <c r="A173" s="347">
        <v>5</v>
      </c>
      <c r="B173" s="452">
        <f t="shared" si="21"/>
        <v>12</v>
      </c>
      <c r="C173" s="1536">
        <v>1545</v>
      </c>
      <c r="D173" s="1536">
        <v>1576</v>
      </c>
      <c r="E173" s="1536">
        <v>1671</v>
      </c>
      <c r="F173" s="1536">
        <v>1765</v>
      </c>
      <c r="G173" s="1536">
        <v>1885</v>
      </c>
      <c r="H173" s="1536">
        <v>1943</v>
      </c>
      <c r="I173" s="1536">
        <v>1998</v>
      </c>
      <c r="J173" s="1536">
        <v>2053</v>
      </c>
      <c r="K173" s="1536">
        <v>2107</v>
      </c>
      <c r="L173" s="1536">
        <v>2160</v>
      </c>
      <c r="M173" s="1536">
        <v>2211</v>
      </c>
      <c r="N173" s="1536">
        <v>2271</v>
      </c>
      <c r="O173" s="1537"/>
      <c r="P173" s="1537"/>
      <c r="Q173" s="1537"/>
      <c r="R173" s="1537"/>
      <c r="S173" s="1537"/>
      <c r="T173" s="1537"/>
      <c r="U173" s="1338"/>
      <c r="V173" s="1338"/>
      <c r="W173" s="452">
        <f t="shared" si="23"/>
        <v>12</v>
      </c>
      <c r="X173" s="372"/>
    </row>
    <row r="174" spans="1:24" x14ac:dyDescent="0.2">
      <c r="A174" s="347">
        <v>6</v>
      </c>
      <c r="B174" s="452">
        <f t="shared" si="21"/>
        <v>11</v>
      </c>
      <c r="C174" s="1536">
        <v>1605</v>
      </c>
      <c r="D174" s="1536">
        <v>1671</v>
      </c>
      <c r="E174" s="1536">
        <v>1885</v>
      </c>
      <c r="F174" s="1536">
        <v>1998</v>
      </c>
      <c r="G174" s="1536">
        <v>2053</v>
      </c>
      <c r="H174" s="1536">
        <v>2107</v>
      </c>
      <c r="I174" s="1536">
        <v>2160</v>
      </c>
      <c r="J174" s="1536">
        <v>2211</v>
      </c>
      <c r="K174" s="1536">
        <v>2271</v>
      </c>
      <c r="L174" s="1536">
        <v>2326</v>
      </c>
      <c r="M174" s="1536">
        <v>2379</v>
      </c>
      <c r="N174" s="1536"/>
      <c r="O174" s="1536"/>
      <c r="P174" s="1536"/>
      <c r="Q174" s="1536"/>
      <c r="R174" s="1536"/>
      <c r="S174" s="1536"/>
      <c r="T174" s="1536"/>
      <c r="U174" s="1338"/>
      <c r="V174" s="1338"/>
      <c r="W174" s="452">
        <f t="shared" si="23"/>
        <v>11</v>
      </c>
      <c r="X174" s="372"/>
    </row>
    <row r="175" spans="1:24" x14ac:dyDescent="0.2">
      <c r="A175" s="347">
        <v>7</v>
      </c>
      <c r="B175" s="452">
        <f t="shared" si="21"/>
        <v>12</v>
      </c>
      <c r="C175" s="1536">
        <v>1715</v>
      </c>
      <c r="D175" s="1536">
        <v>1765</v>
      </c>
      <c r="E175" s="1536">
        <v>1885</v>
      </c>
      <c r="F175" s="1536">
        <v>2107</v>
      </c>
      <c r="G175" s="1536">
        <v>2211</v>
      </c>
      <c r="H175" s="1536">
        <v>2271</v>
      </c>
      <c r="I175" s="1536">
        <v>2326</v>
      </c>
      <c r="J175" s="1536">
        <v>2379</v>
      </c>
      <c r="K175" s="1536">
        <v>2435</v>
      </c>
      <c r="L175" s="1536">
        <v>2494</v>
      </c>
      <c r="M175" s="1536">
        <v>2555</v>
      </c>
      <c r="N175" s="1536">
        <v>2623</v>
      </c>
      <c r="O175" s="1536"/>
      <c r="P175" s="1536"/>
      <c r="Q175" s="1536"/>
      <c r="R175" s="1536"/>
      <c r="S175" s="1536"/>
      <c r="T175" s="1536"/>
      <c r="U175" s="1338"/>
      <c r="V175" s="1338"/>
      <c r="W175" s="452">
        <f t="shared" si="23"/>
        <v>12</v>
      </c>
      <c r="X175" s="372"/>
    </row>
    <row r="176" spans="1:24" x14ac:dyDescent="0.2">
      <c r="A176" s="347">
        <v>8</v>
      </c>
      <c r="B176" s="452">
        <f t="shared" si="21"/>
        <v>13</v>
      </c>
      <c r="C176" s="1536">
        <v>1943</v>
      </c>
      <c r="D176" s="1536">
        <v>1998</v>
      </c>
      <c r="E176" s="1536">
        <v>2107</v>
      </c>
      <c r="F176" s="1536">
        <v>2326</v>
      </c>
      <c r="G176" s="1536">
        <v>2435</v>
      </c>
      <c r="H176" s="1536">
        <v>2555</v>
      </c>
      <c r="I176" s="1536">
        <v>2623</v>
      </c>
      <c r="J176" s="1536">
        <v>2686</v>
      </c>
      <c r="K176" s="1536">
        <v>2741</v>
      </c>
      <c r="L176" s="1536">
        <v>2800</v>
      </c>
      <c r="M176" s="1536">
        <v>2860</v>
      </c>
      <c r="N176" s="1536">
        <v>2915</v>
      </c>
      <c r="O176" s="1536">
        <v>2967</v>
      </c>
      <c r="P176" s="1536"/>
      <c r="Q176" s="1536"/>
      <c r="R176" s="1536"/>
      <c r="S176" s="1536"/>
      <c r="T176" s="1536"/>
      <c r="U176" s="1338"/>
      <c r="V176" s="1338"/>
      <c r="W176" s="452">
        <f t="shared" si="23"/>
        <v>13</v>
      </c>
      <c r="X176" s="372"/>
    </row>
    <row r="177" spans="1:24" x14ac:dyDescent="0.2">
      <c r="A177" s="347">
        <v>9</v>
      </c>
      <c r="B177" s="452">
        <f t="shared" si="21"/>
        <v>10</v>
      </c>
      <c r="C177" s="1536">
        <v>2234</v>
      </c>
      <c r="D177" s="1536">
        <v>2348</v>
      </c>
      <c r="E177" s="1536">
        <v>2580</v>
      </c>
      <c r="F177" s="1536">
        <v>2712</v>
      </c>
      <c r="G177" s="1536">
        <v>2827</v>
      </c>
      <c r="H177" s="1536">
        <v>2944</v>
      </c>
      <c r="I177" s="1536">
        <v>3053</v>
      </c>
      <c r="J177" s="1536">
        <v>3163</v>
      </c>
      <c r="K177" s="1536">
        <v>3283</v>
      </c>
      <c r="L177" s="1536">
        <v>3387</v>
      </c>
      <c r="M177" s="1536"/>
      <c r="N177" s="1536"/>
      <c r="O177" s="1536"/>
      <c r="P177" s="1536"/>
      <c r="Q177" s="1536"/>
      <c r="R177" s="1536"/>
      <c r="S177" s="1536"/>
      <c r="T177" s="1536"/>
      <c r="U177" s="1338"/>
      <c r="V177" s="1338"/>
      <c r="W177" s="452">
        <f t="shared" si="23"/>
        <v>10</v>
      </c>
      <c r="X177" s="372"/>
    </row>
    <row r="178" spans="1:24" x14ac:dyDescent="0.2">
      <c r="A178" s="347">
        <v>10</v>
      </c>
      <c r="B178" s="452">
        <f t="shared" si="21"/>
        <v>13</v>
      </c>
      <c r="C178" s="1536">
        <v>2234</v>
      </c>
      <c r="D178" s="1536">
        <v>2459</v>
      </c>
      <c r="E178" s="1536">
        <v>2580</v>
      </c>
      <c r="F178" s="1536">
        <v>2712</v>
      </c>
      <c r="G178" s="1536">
        <v>2827</v>
      </c>
      <c r="H178" s="1536">
        <v>2944</v>
      </c>
      <c r="I178" s="1536">
        <v>3053</v>
      </c>
      <c r="J178" s="1536">
        <v>3163</v>
      </c>
      <c r="K178" s="1536">
        <v>3283</v>
      </c>
      <c r="L178" s="1536">
        <v>3387</v>
      </c>
      <c r="M178" s="1536">
        <v>3497</v>
      </c>
      <c r="N178" s="1536">
        <v>3603</v>
      </c>
      <c r="O178" s="1536">
        <v>3723</v>
      </c>
      <c r="P178" s="1536"/>
      <c r="Q178" s="1536"/>
      <c r="R178" s="1536"/>
      <c r="S178" s="1536"/>
      <c r="T178" s="1536"/>
      <c r="U178" s="1338"/>
      <c r="V178" s="1338"/>
      <c r="W178" s="452">
        <f t="shared" si="23"/>
        <v>13</v>
      </c>
      <c r="X178" s="372"/>
    </row>
    <row r="179" spans="1:24" x14ac:dyDescent="0.2">
      <c r="A179" s="347">
        <v>11</v>
      </c>
      <c r="B179" s="452">
        <f t="shared" si="21"/>
        <v>18</v>
      </c>
      <c r="C179" s="1536">
        <v>2348</v>
      </c>
      <c r="D179" s="1536">
        <v>2459</v>
      </c>
      <c r="E179" s="1536">
        <v>2580</v>
      </c>
      <c r="F179" s="1536">
        <v>2712</v>
      </c>
      <c r="G179" s="1536">
        <v>2827</v>
      </c>
      <c r="H179" s="1536">
        <v>2944</v>
      </c>
      <c r="I179" s="1536">
        <v>3053</v>
      </c>
      <c r="J179" s="1536">
        <v>3283</v>
      </c>
      <c r="K179" s="1536">
        <v>3397</v>
      </c>
      <c r="L179" s="1536">
        <v>3497</v>
      </c>
      <c r="M179" s="1536">
        <v>3603</v>
      </c>
      <c r="N179" s="1536">
        <v>3723</v>
      </c>
      <c r="O179" s="1536">
        <v>3840</v>
      </c>
      <c r="P179" s="1536">
        <v>3956</v>
      </c>
      <c r="Q179" s="1536">
        <v>4066</v>
      </c>
      <c r="R179" s="1536">
        <v>4179</v>
      </c>
      <c r="S179" s="1536">
        <v>4285</v>
      </c>
      <c r="T179" s="1536">
        <v>4343</v>
      </c>
      <c r="U179" s="1338"/>
      <c r="V179" s="1338"/>
      <c r="W179" s="452">
        <f t="shared" si="23"/>
        <v>18</v>
      </c>
      <c r="X179" s="372"/>
    </row>
    <row r="180" spans="1:24" x14ac:dyDescent="0.2">
      <c r="A180" s="347">
        <v>12</v>
      </c>
      <c r="B180" s="452">
        <f t="shared" si="21"/>
        <v>16</v>
      </c>
      <c r="C180" s="1536">
        <v>3163</v>
      </c>
      <c r="D180" s="1536">
        <v>3283</v>
      </c>
      <c r="E180" s="1536">
        <v>3387</v>
      </c>
      <c r="F180" s="1536">
        <v>3497</v>
      </c>
      <c r="G180" s="1536">
        <v>3603</v>
      </c>
      <c r="H180" s="1536">
        <v>3723</v>
      </c>
      <c r="I180" s="1536">
        <v>3965</v>
      </c>
      <c r="J180" s="1536">
        <v>4066</v>
      </c>
      <c r="K180" s="1536">
        <v>4179</v>
      </c>
      <c r="L180" s="1536">
        <v>4285</v>
      </c>
      <c r="M180" s="1536">
        <v>4401</v>
      </c>
      <c r="N180" s="1536">
        <v>4514</v>
      </c>
      <c r="O180" s="1536">
        <v>4620</v>
      </c>
      <c r="P180" s="1536">
        <v>4733</v>
      </c>
      <c r="Q180" s="1536">
        <v>4871</v>
      </c>
      <c r="R180" s="1536">
        <v>4942</v>
      </c>
      <c r="S180" s="1536"/>
      <c r="T180" s="1537"/>
      <c r="U180" s="1338"/>
      <c r="V180" s="1338"/>
      <c r="W180" s="452">
        <f t="shared" si="23"/>
        <v>16</v>
      </c>
      <c r="X180" s="372"/>
    </row>
    <row r="181" spans="1:24" x14ac:dyDescent="0.2">
      <c r="A181" s="347">
        <v>13</v>
      </c>
      <c r="B181" s="452">
        <f t="shared" si="21"/>
        <v>13</v>
      </c>
      <c r="C181" s="1536">
        <v>3840</v>
      </c>
      <c r="D181" s="1536">
        <v>3956</v>
      </c>
      <c r="E181" s="1536">
        <v>4066</v>
      </c>
      <c r="F181" s="1536">
        <v>4179</v>
      </c>
      <c r="G181" s="1536">
        <v>4285</v>
      </c>
      <c r="H181" s="1536">
        <v>4514</v>
      </c>
      <c r="I181" s="1536">
        <v>4620</v>
      </c>
      <c r="J181" s="1536">
        <v>4733</v>
      </c>
      <c r="K181" s="1536">
        <v>4871</v>
      </c>
      <c r="L181" s="1536">
        <v>5012</v>
      </c>
      <c r="M181" s="1536">
        <v>5152</v>
      </c>
      <c r="N181" s="1536">
        <v>5290</v>
      </c>
      <c r="O181" s="1536">
        <v>5359</v>
      </c>
      <c r="P181" s="1536"/>
      <c r="Q181" s="1536"/>
      <c r="R181" s="1536"/>
      <c r="S181" s="1536"/>
      <c r="T181" s="1537"/>
      <c r="U181" s="1338"/>
      <c r="V181" s="1338"/>
      <c r="W181" s="452">
        <f t="shared" si="23"/>
        <v>13</v>
      </c>
      <c r="X181" s="372"/>
    </row>
    <row r="182" spans="1:24" x14ac:dyDescent="0.2">
      <c r="A182" s="347">
        <v>14</v>
      </c>
      <c r="B182" s="452">
        <f t="shared" si="21"/>
        <v>11</v>
      </c>
      <c r="C182" s="1536">
        <v>4401</v>
      </c>
      <c r="D182" s="1536">
        <v>4515</v>
      </c>
      <c r="E182" s="1536">
        <v>4733</v>
      </c>
      <c r="F182" s="1536">
        <v>4871</v>
      </c>
      <c r="G182" s="1536">
        <v>5012</v>
      </c>
      <c r="H182" s="1536">
        <v>5152</v>
      </c>
      <c r="I182" s="1536">
        <v>5290</v>
      </c>
      <c r="J182" s="1536">
        <v>5432</v>
      </c>
      <c r="K182" s="1536">
        <v>5581</v>
      </c>
      <c r="L182" s="1536">
        <v>5731</v>
      </c>
      <c r="M182" s="1536">
        <v>5888</v>
      </c>
      <c r="N182" s="1536"/>
      <c r="O182" s="1536"/>
      <c r="P182" s="1536"/>
      <c r="Q182" s="1536"/>
      <c r="R182" s="1536"/>
      <c r="S182" s="1536"/>
      <c r="T182" s="1537"/>
      <c r="U182" s="1338"/>
      <c r="V182" s="1338"/>
      <c r="W182" s="452">
        <f t="shared" si="23"/>
        <v>11</v>
      </c>
      <c r="X182" s="372"/>
    </row>
    <row r="183" spans="1:24" x14ac:dyDescent="0.2">
      <c r="A183" s="347">
        <v>15</v>
      </c>
      <c r="B183" s="452">
        <f t="shared" si="21"/>
        <v>12</v>
      </c>
      <c r="C183" s="1536">
        <v>4620</v>
      </c>
      <c r="D183" s="1536">
        <v>4733</v>
      </c>
      <c r="E183" s="1536">
        <v>4871</v>
      </c>
      <c r="F183" s="1536">
        <v>5152</v>
      </c>
      <c r="G183" s="1536">
        <v>5290</v>
      </c>
      <c r="H183" s="1536">
        <v>5432</v>
      </c>
      <c r="I183" s="1536">
        <v>5581</v>
      </c>
      <c r="J183" s="1536">
        <v>5731</v>
      </c>
      <c r="K183" s="1536">
        <v>5888</v>
      </c>
      <c r="L183" s="1536">
        <v>6074</v>
      </c>
      <c r="M183" s="1536">
        <v>6270</v>
      </c>
      <c r="N183" s="1536">
        <v>6470</v>
      </c>
      <c r="O183" s="1536"/>
      <c r="P183" s="1536"/>
      <c r="Q183" s="1536"/>
      <c r="R183" s="1536"/>
      <c r="S183" s="1536"/>
      <c r="T183" s="1537"/>
      <c r="U183" s="1340"/>
      <c r="V183" s="1340"/>
      <c r="W183" s="453">
        <f t="shared" si="23"/>
        <v>12</v>
      </c>
      <c r="X183" s="372"/>
    </row>
    <row r="184" spans="1:24" x14ac:dyDescent="0.2">
      <c r="A184" s="347">
        <v>16</v>
      </c>
      <c r="B184" s="452">
        <f t="shared" si="21"/>
        <v>12</v>
      </c>
      <c r="C184" s="1536">
        <v>5012</v>
      </c>
      <c r="D184" s="1536">
        <v>5152</v>
      </c>
      <c r="E184" s="1536">
        <v>5290</v>
      </c>
      <c r="F184" s="1536">
        <v>5581</v>
      </c>
      <c r="G184" s="1536">
        <v>5731</v>
      </c>
      <c r="H184" s="1536">
        <v>5888</v>
      </c>
      <c r="I184" s="1536">
        <v>6074</v>
      </c>
      <c r="J184" s="1536">
        <v>6270</v>
      </c>
      <c r="K184" s="1536">
        <v>6470</v>
      </c>
      <c r="L184" s="1536">
        <v>6677</v>
      </c>
      <c r="M184" s="1536">
        <v>6887</v>
      </c>
      <c r="N184" s="1536">
        <v>7170</v>
      </c>
      <c r="O184" s="1536"/>
      <c r="P184" s="1536"/>
      <c r="Q184" s="1536"/>
      <c r="R184" s="1536"/>
      <c r="S184" s="1536"/>
      <c r="T184" s="1537"/>
      <c r="U184" s="1340"/>
      <c r="V184" s="1340"/>
      <c r="W184" s="453">
        <f t="shared" si="23"/>
        <v>12</v>
      </c>
      <c r="X184" s="372"/>
    </row>
    <row r="185" spans="1:24" x14ac:dyDescent="0.2">
      <c r="A185" s="372"/>
      <c r="B185" s="382"/>
      <c r="C185" s="377"/>
      <c r="D185" s="372"/>
      <c r="E185" s="372"/>
      <c r="F185" s="372"/>
      <c r="G185" s="372"/>
      <c r="H185" s="372"/>
      <c r="I185" s="372"/>
      <c r="J185" s="372"/>
      <c r="K185" s="372"/>
      <c r="L185" s="372"/>
      <c r="M185" s="372"/>
      <c r="N185" s="372"/>
      <c r="O185" s="372"/>
      <c r="P185" s="372"/>
      <c r="Q185" s="372"/>
      <c r="R185" s="372"/>
      <c r="S185" s="372"/>
      <c r="T185" s="372"/>
      <c r="U185" s="372"/>
      <c r="V185" s="372"/>
      <c r="W185" s="372"/>
      <c r="X185" s="372"/>
    </row>
    <row r="186" spans="1:24" x14ac:dyDescent="0.2">
      <c r="A186" s="348" t="s">
        <v>322</v>
      </c>
      <c r="B186" s="353"/>
      <c r="C186" s="627">
        <v>42370</v>
      </c>
      <c r="D186" s="582"/>
      <c r="E186" s="348"/>
      <c r="F186" s="372"/>
      <c r="G186" s="372"/>
      <c r="H186" s="372"/>
      <c r="I186" s="372"/>
      <c r="J186" s="372"/>
      <c r="K186" s="372"/>
      <c r="L186" s="347"/>
      <c r="M186" s="347"/>
      <c r="N186" s="347"/>
      <c r="O186" s="347"/>
      <c r="P186" s="347"/>
      <c r="Q186" s="347"/>
      <c r="R186" s="347"/>
      <c r="S186" s="347"/>
      <c r="T186" s="347"/>
      <c r="U186" s="347"/>
      <c r="X186" s="372"/>
    </row>
    <row r="187" spans="1:24" x14ac:dyDescent="0.2">
      <c r="A187" s="348" t="s">
        <v>196</v>
      </c>
      <c r="B187" s="435" t="s">
        <v>155</v>
      </c>
      <c r="C187" s="351">
        <v>1</v>
      </c>
      <c r="D187" s="351">
        <v>2</v>
      </c>
      <c r="E187" s="351">
        <v>3</v>
      </c>
      <c r="F187" s="351">
        <v>4</v>
      </c>
      <c r="G187" s="351">
        <v>5</v>
      </c>
      <c r="H187" s="351">
        <v>6</v>
      </c>
      <c r="I187" s="351">
        <v>7</v>
      </c>
      <c r="J187" s="351">
        <v>8</v>
      </c>
      <c r="K187" s="351">
        <v>9</v>
      </c>
      <c r="L187" s="351">
        <v>10</v>
      </c>
      <c r="M187" s="351">
        <v>11</v>
      </c>
      <c r="N187" s="351">
        <v>12</v>
      </c>
      <c r="O187" s="351">
        <v>13</v>
      </c>
      <c r="P187" s="351">
        <v>14</v>
      </c>
      <c r="Q187" s="351">
        <v>15</v>
      </c>
      <c r="R187" s="351">
        <v>16</v>
      </c>
      <c r="S187" s="351">
        <v>17</v>
      </c>
      <c r="T187" s="351">
        <v>18</v>
      </c>
      <c r="U187" s="351">
        <v>19</v>
      </c>
      <c r="V187" s="351">
        <v>20</v>
      </c>
      <c r="W187" s="369" t="s">
        <v>197</v>
      </c>
      <c r="X187" s="372"/>
    </row>
    <row r="188" spans="1:24" x14ac:dyDescent="0.2">
      <c r="A188" s="385" t="s">
        <v>206</v>
      </c>
      <c r="B188" s="452">
        <f t="shared" ref="B188:B229" si="24">COUNTA(C188:V188)</f>
        <v>13</v>
      </c>
      <c r="C188" s="1536">
        <v>2537</v>
      </c>
      <c r="D188" s="1536">
        <v>2651</v>
      </c>
      <c r="E188" s="1536">
        <v>2777</v>
      </c>
      <c r="F188" s="1536">
        <v>2916</v>
      </c>
      <c r="G188" s="1536">
        <v>3033</v>
      </c>
      <c r="H188" s="1536">
        <v>3154</v>
      </c>
      <c r="I188" s="1536">
        <v>3268</v>
      </c>
      <c r="J188" s="1536">
        <v>3381</v>
      </c>
      <c r="K188" s="1536">
        <v>3503</v>
      </c>
      <c r="L188" s="1536">
        <v>3616</v>
      </c>
      <c r="M188" s="1536">
        <v>3725</v>
      </c>
      <c r="N188" s="1536">
        <v>3837</v>
      </c>
      <c r="O188" s="1536">
        <v>4026</v>
      </c>
      <c r="P188" s="1536"/>
      <c r="Q188" s="1536"/>
      <c r="R188" s="1536"/>
      <c r="S188" s="1536"/>
      <c r="T188" s="1536"/>
      <c r="U188" s="1536"/>
      <c r="V188" s="1536"/>
      <c r="W188" s="452">
        <f t="shared" ref="W188:W229" si="25">COUNTA(C188:V188)</f>
        <v>13</v>
      </c>
      <c r="X188" s="372"/>
    </row>
    <row r="189" spans="1:24" x14ac:dyDescent="0.2">
      <c r="A189" s="385" t="s">
        <v>207</v>
      </c>
      <c r="B189" s="452">
        <f t="shared" si="24"/>
        <v>18</v>
      </c>
      <c r="C189" s="1536">
        <v>2591</v>
      </c>
      <c r="D189" s="1536">
        <v>2719</v>
      </c>
      <c r="E189" s="1536">
        <v>2853</v>
      </c>
      <c r="F189" s="1536">
        <v>2975</v>
      </c>
      <c r="G189" s="1536">
        <v>3094</v>
      </c>
      <c r="H189" s="1536">
        <v>3209</v>
      </c>
      <c r="I189" s="1536">
        <v>3322</v>
      </c>
      <c r="J189" s="1536">
        <v>3446</v>
      </c>
      <c r="K189" s="1536">
        <v>3556</v>
      </c>
      <c r="L189" s="1536">
        <v>3668</v>
      </c>
      <c r="M189" s="1536">
        <v>3780</v>
      </c>
      <c r="N189" s="1536">
        <v>3902</v>
      </c>
      <c r="O189" s="1536">
        <v>4026</v>
      </c>
      <c r="P189" s="1536">
        <v>4145</v>
      </c>
      <c r="Q189" s="1536">
        <v>4261</v>
      </c>
      <c r="R189" s="1536">
        <v>4375</v>
      </c>
      <c r="S189" s="1536">
        <v>4488</v>
      </c>
      <c r="T189" s="1536">
        <v>4546</v>
      </c>
      <c r="U189" s="1536"/>
      <c r="V189" s="1536"/>
      <c r="W189" s="452">
        <f t="shared" si="25"/>
        <v>18</v>
      </c>
      <c r="X189" s="372"/>
    </row>
    <row r="190" spans="1:24" x14ac:dyDescent="0.2">
      <c r="A190" s="385" t="s">
        <v>208</v>
      </c>
      <c r="B190" s="452">
        <f t="shared" si="24"/>
        <v>20</v>
      </c>
      <c r="C190" s="1536">
        <v>2719</v>
      </c>
      <c r="D190" s="1536">
        <v>2853</v>
      </c>
      <c r="E190" s="1536">
        <v>3094</v>
      </c>
      <c r="F190" s="1536">
        <v>3322</v>
      </c>
      <c r="G190" s="1536">
        <v>3446</v>
      </c>
      <c r="H190" s="1536">
        <v>3556</v>
      </c>
      <c r="I190" s="1536">
        <v>3668</v>
      </c>
      <c r="J190" s="1536">
        <v>3780</v>
      </c>
      <c r="K190" s="1536">
        <v>3902</v>
      </c>
      <c r="L190" s="1536">
        <v>4026</v>
      </c>
      <c r="M190" s="1536">
        <v>4145</v>
      </c>
      <c r="N190" s="1536">
        <v>4261</v>
      </c>
      <c r="O190" s="1536">
        <v>4375</v>
      </c>
      <c r="P190" s="1536">
        <v>4488</v>
      </c>
      <c r="Q190" s="1536">
        <v>4607</v>
      </c>
      <c r="R190" s="1536">
        <v>4723</v>
      </c>
      <c r="S190" s="1536">
        <v>4834</v>
      </c>
      <c r="T190" s="1536">
        <v>4951</v>
      </c>
      <c r="U190" s="1536">
        <v>5097</v>
      </c>
      <c r="V190" s="1536">
        <v>5168</v>
      </c>
      <c r="W190" s="452">
        <f t="shared" si="25"/>
        <v>20</v>
      </c>
      <c r="X190" s="372"/>
    </row>
    <row r="191" spans="1:24" x14ac:dyDescent="0.2">
      <c r="A191" s="385" t="s">
        <v>209</v>
      </c>
      <c r="B191" s="452">
        <f t="shared" si="24"/>
        <v>19</v>
      </c>
      <c r="C191" s="1536">
        <v>2853</v>
      </c>
      <c r="D191" s="1536">
        <v>3094</v>
      </c>
      <c r="E191" s="1536">
        <v>3322</v>
      </c>
      <c r="F191" s="1536">
        <v>3556</v>
      </c>
      <c r="G191" s="1536">
        <v>3780</v>
      </c>
      <c r="H191" s="1536">
        <v>4026</v>
      </c>
      <c r="I191" s="1536">
        <v>4145</v>
      </c>
      <c r="J191" s="1536">
        <v>4261</v>
      </c>
      <c r="K191" s="1536">
        <v>4375</v>
      </c>
      <c r="L191" s="1536">
        <v>4488</v>
      </c>
      <c r="M191" s="1536">
        <v>4607</v>
      </c>
      <c r="N191" s="1536">
        <v>4723</v>
      </c>
      <c r="O191" s="1536">
        <v>4834</v>
      </c>
      <c r="P191" s="1536">
        <v>4951</v>
      </c>
      <c r="Q191" s="1536">
        <v>5097</v>
      </c>
      <c r="R191" s="1536">
        <v>5240</v>
      </c>
      <c r="S191" s="1536">
        <v>5386</v>
      </c>
      <c r="T191" s="1536">
        <v>5438</v>
      </c>
      <c r="U191" s="1536">
        <v>5601</v>
      </c>
      <c r="V191" s="1536"/>
      <c r="W191" s="452">
        <f t="shared" si="25"/>
        <v>19</v>
      </c>
      <c r="X191" s="372"/>
    </row>
    <row r="192" spans="1:24" x14ac:dyDescent="0.2">
      <c r="A192" s="385" t="s">
        <v>198</v>
      </c>
      <c r="B192" s="452">
        <f t="shared" si="24"/>
        <v>13</v>
      </c>
      <c r="C192" s="1536">
        <v>2771</v>
      </c>
      <c r="D192" s="1536">
        <v>2879</v>
      </c>
      <c r="E192" s="1536">
        <v>2990</v>
      </c>
      <c r="F192" s="1536">
        <v>3097</v>
      </c>
      <c r="G192" s="1536">
        <v>3206</v>
      </c>
      <c r="H192" s="1536">
        <v>3316</v>
      </c>
      <c r="I192" s="1536">
        <v>3425</v>
      </c>
      <c r="J192" s="1536">
        <v>3534</v>
      </c>
      <c r="K192" s="1536">
        <v>3642</v>
      </c>
      <c r="L192" s="1536">
        <v>3751</v>
      </c>
      <c r="M192" s="1536">
        <v>3862</v>
      </c>
      <c r="N192" s="1536">
        <v>3970</v>
      </c>
      <c r="O192" s="1536">
        <v>4081</v>
      </c>
      <c r="P192" s="1536"/>
      <c r="Q192" s="1536"/>
      <c r="R192" s="1536"/>
      <c r="S192" s="1536"/>
      <c r="T192" s="1536"/>
      <c r="U192" s="1536"/>
      <c r="V192" s="1536"/>
      <c r="W192" s="452">
        <f t="shared" si="25"/>
        <v>13</v>
      </c>
      <c r="X192" s="372"/>
    </row>
    <row r="193" spans="1:24" x14ac:dyDescent="0.2">
      <c r="A193" s="385" t="s">
        <v>199</v>
      </c>
      <c r="B193" s="452">
        <f t="shared" si="24"/>
        <v>15</v>
      </c>
      <c r="C193" s="1536">
        <v>2879</v>
      </c>
      <c r="D193" s="1536">
        <v>3097</v>
      </c>
      <c r="E193" s="1536">
        <v>3316</v>
      </c>
      <c r="F193" s="1536">
        <v>3425</v>
      </c>
      <c r="G193" s="1536">
        <v>3534</v>
      </c>
      <c r="H193" s="1536">
        <v>3642</v>
      </c>
      <c r="I193" s="1536">
        <v>3751</v>
      </c>
      <c r="J193" s="1536">
        <v>3862</v>
      </c>
      <c r="K193" s="1536">
        <v>3970</v>
      </c>
      <c r="L193" s="1536">
        <v>4081</v>
      </c>
      <c r="M193" s="1536">
        <v>4191</v>
      </c>
      <c r="N193" s="1536">
        <v>4298</v>
      </c>
      <c r="O193" s="1536">
        <v>4408</v>
      </c>
      <c r="P193" s="1536">
        <v>4515</v>
      </c>
      <c r="Q193" s="1536">
        <v>4627</v>
      </c>
      <c r="R193" s="1536"/>
      <c r="S193" s="1536"/>
      <c r="T193" s="1536"/>
      <c r="U193" s="1536"/>
      <c r="V193" s="1536"/>
      <c r="W193" s="452">
        <f t="shared" si="25"/>
        <v>15</v>
      </c>
      <c r="X193" s="372"/>
    </row>
    <row r="194" spans="1:24" x14ac:dyDescent="0.2">
      <c r="A194" s="385" t="s">
        <v>200</v>
      </c>
      <c r="B194" s="452">
        <f t="shared" si="24"/>
        <v>17</v>
      </c>
      <c r="C194" s="1536">
        <v>2879</v>
      </c>
      <c r="D194" s="1536">
        <v>3097</v>
      </c>
      <c r="E194" s="1536">
        <v>3316</v>
      </c>
      <c r="F194" s="1536">
        <v>3425</v>
      </c>
      <c r="G194" s="1536">
        <v>3534</v>
      </c>
      <c r="H194" s="1536">
        <v>3642</v>
      </c>
      <c r="I194" s="1536">
        <v>3751</v>
      </c>
      <c r="J194" s="1536">
        <v>3862</v>
      </c>
      <c r="K194" s="1536">
        <v>3970</v>
      </c>
      <c r="L194" s="1536">
        <v>4081</v>
      </c>
      <c r="M194" s="1536">
        <v>4191</v>
      </c>
      <c r="N194" s="1536">
        <v>4298</v>
      </c>
      <c r="O194" s="1536">
        <v>4408</v>
      </c>
      <c r="P194" s="1536">
        <v>4515</v>
      </c>
      <c r="Q194" s="1536">
        <v>4627</v>
      </c>
      <c r="R194" s="1536">
        <v>4735</v>
      </c>
      <c r="S194" s="1536">
        <v>4845</v>
      </c>
      <c r="T194" s="1536"/>
      <c r="U194" s="1536"/>
      <c r="V194" s="1536"/>
      <c r="W194" s="452">
        <f t="shared" si="25"/>
        <v>17</v>
      </c>
      <c r="X194" s="372"/>
    </row>
    <row r="195" spans="1:24" x14ac:dyDescent="0.2">
      <c r="A195" s="385" t="s">
        <v>201</v>
      </c>
      <c r="B195" s="452">
        <f t="shared" si="24"/>
        <v>16</v>
      </c>
      <c r="C195" s="1536">
        <v>2990</v>
      </c>
      <c r="D195" s="1536">
        <v>3316</v>
      </c>
      <c r="E195" s="1536">
        <v>3534</v>
      </c>
      <c r="F195" s="1536">
        <v>3751</v>
      </c>
      <c r="G195" s="1536">
        <v>3970</v>
      </c>
      <c r="H195" s="1536">
        <v>4081</v>
      </c>
      <c r="I195" s="1536">
        <v>4191</v>
      </c>
      <c r="J195" s="1536">
        <v>4298</v>
      </c>
      <c r="K195" s="1536">
        <v>4408</v>
      </c>
      <c r="L195" s="1536">
        <v>4515</v>
      </c>
      <c r="M195" s="1536">
        <v>4627</v>
      </c>
      <c r="N195" s="1536">
        <v>4735</v>
      </c>
      <c r="O195" s="1536">
        <v>4845</v>
      </c>
      <c r="P195" s="1536">
        <v>4952</v>
      </c>
      <c r="Q195" s="1536">
        <v>5062</v>
      </c>
      <c r="R195" s="1536">
        <v>5172</v>
      </c>
      <c r="S195" s="1536"/>
      <c r="T195" s="1536"/>
      <c r="U195" s="1536"/>
      <c r="V195" s="1536"/>
      <c r="W195" s="452">
        <f t="shared" si="25"/>
        <v>16</v>
      </c>
      <c r="X195" s="372"/>
    </row>
    <row r="196" spans="1:24" x14ac:dyDescent="0.2">
      <c r="A196" s="385" t="s">
        <v>202</v>
      </c>
      <c r="B196" s="452">
        <f t="shared" si="24"/>
        <v>18</v>
      </c>
      <c r="C196" s="1536">
        <v>2990</v>
      </c>
      <c r="D196" s="1536">
        <v>3316</v>
      </c>
      <c r="E196" s="1536">
        <v>3534</v>
      </c>
      <c r="F196" s="1536">
        <v>3751</v>
      </c>
      <c r="G196" s="1536">
        <v>3970</v>
      </c>
      <c r="H196" s="1536">
        <v>4081</v>
      </c>
      <c r="I196" s="1536">
        <v>4191</v>
      </c>
      <c r="J196" s="1536">
        <v>4298</v>
      </c>
      <c r="K196" s="1536">
        <v>4408</v>
      </c>
      <c r="L196" s="1536">
        <v>4515</v>
      </c>
      <c r="M196" s="1536">
        <v>4627</v>
      </c>
      <c r="N196" s="1536">
        <v>4735</v>
      </c>
      <c r="O196" s="1536">
        <v>4845</v>
      </c>
      <c r="P196" s="1536">
        <v>4952</v>
      </c>
      <c r="Q196" s="1536">
        <v>5062</v>
      </c>
      <c r="R196" s="1536">
        <v>5172</v>
      </c>
      <c r="S196" s="1536">
        <v>5281</v>
      </c>
      <c r="T196" s="1536">
        <v>5389</v>
      </c>
      <c r="U196" s="1536"/>
      <c r="V196" s="1536"/>
      <c r="W196" s="452">
        <f t="shared" si="25"/>
        <v>18</v>
      </c>
      <c r="X196" s="372"/>
    </row>
    <row r="197" spans="1:24" x14ac:dyDescent="0.2">
      <c r="A197" s="385" t="s">
        <v>203</v>
      </c>
      <c r="B197" s="452">
        <f t="shared" si="24"/>
        <v>18</v>
      </c>
      <c r="C197" s="1536">
        <v>3035</v>
      </c>
      <c r="D197" s="1536">
        <v>3262</v>
      </c>
      <c r="E197" s="1536">
        <v>3494</v>
      </c>
      <c r="F197" s="1536">
        <v>3716</v>
      </c>
      <c r="G197" s="1536">
        <v>3962</v>
      </c>
      <c r="H197" s="1536">
        <v>4081</v>
      </c>
      <c r="I197" s="1536">
        <v>4195</v>
      </c>
      <c r="J197" s="1536">
        <v>4311</v>
      </c>
      <c r="K197" s="1536">
        <v>4421</v>
      </c>
      <c r="L197" s="1536">
        <v>4540</v>
      </c>
      <c r="M197" s="1536">
        <v>4655</v>
      </c>
      <c r="N197" s="1536">
        <v>4767</v>
      </c>
      <c r="O197" s="1536">
        <v>4882</v>
      </c>
      <c r="P197" s="1536">
        <v>5027</v>
      </c>
      <c r="Q197" s="1536">
        <v>5171</v>
      </c>
      <c r="R197" s="1536">
        <v>5315</v>
      </c>
      <c r="S197" s="1536">
        <v>5459</v>
      </c>
      <c r="T197" s="1536">
        <v>5529</v>
      </c>
      <c r="U197" s="1536"/>
      <c r="V197" s="1536"/>
      <c r="W197" s="452">
        <f t="shared" si="25"/>
        <v>18</v>
      </c>
      <c r="X197" s="372"/>
    </row>
    <row r="198" spans="1:24" x14ac:dyDescent="0.2">
      <c r="A198" s="385" t="s">
        <v>204</v>
      </c>
      <c r="B198" s="452">
        <f t="shared" si="24"/>
        <v>18</v>
      </c>
      <c r="C198" s="1536">
        <v>3149</v>
      </c>
      <c r="D198" s="1536">
        <v>3384</v>
      </c>
      <c r="E198" s="1536">
        <v>3606</v>
      </c>
      <c r="F198" s="1536">
        <v>3838</v>
      </c>
      <c r="G198" s="1536">
        <v>4081</v>
      </c>
      <c r="H198" s="1536">
        <v>4311</v>
      </c>
      <c r="I198" s="1536">
        <v>4540</v>
      </c>
      <c r="J198" s="1536">
        <v>4655</v>
      </c>
      <c r="K198" s="1536">
        <v>4767</v>
      </c>
      <c r="L198" s="1536">
        <v>4882</v>
      </c>
      <c r="M198" s="1536">
        <v>5027</v>
      </c>
      <c r="N198" s="1536">
        <v>5171</v>
      </c>
      <c r="O198" s="1536">
        <v>5315</v>
      </c>
      <c r="P198" s="1536">
        <v>5459</v>
      </c>
      <c r="Q198" s="1536">
        <v>5605</v>
      </c>
      <c r="R198" s="1536">
        <v>5758</v>
      </c>
      <c r="S198" s="1536">
        <v>5915</v>
      </c>
      <c r="T198" s="1536">
        <v>6076</v>
      </c>
      <c r="U198" s="1536"/>
      <c r="V198" s="1536"/>
      <c r="W198" s="452">
        <f t="shared" si="25"/>
        <v>18</v>
      </c>
      <c r="X198" s="372"/>
    </row>
    <row r="199" spans="1:24" x14ac:dyDescent="0.2">
      <c r="A199" s="386" t="s">
        <v>250</v>
      </c>
      <c r="B199" s="452">
        <f t="shared" si="24"/>
        <v>7</v>
      </c>
      <c r="C199" s="1550">
        <v>1537.2</v>
      </c>
      <c r="D199" s="1536">
        <v>1571</v>
      </c>
      <c r="E199" s="1536">
        <v>1636</v>
      </c>
      <c r="F199" s="1536">
        <v>1666</v>
      </c>
      <c r="G199" s="1536">
        <v>1700</v>
      </c>
      <c r="H199" s="1536">
        <v>1735</v>
      </c>
      <c r="I199" s="1536">
        <v>1780</v>
      </c>
      <c r="J199" s="1536"/>
      <c r="K199" s="1536"/>
      <c r="L199" s="1536"/>
      <c r="M199" s="1536"/>
      <c r="N199" s="1536"/>
      <c r="O199" s="1536"/>
      <c r="P199" s="1536"/>
      <c r="Q199" s="1536"/>
      <c r="R199" s="1536"/>
      <c r="S199" s="1536"/>
      <c r="T199" s="1536"/>
      <c r="U199" s="1536"/>
      <c r="V199" s="1536"/>
      <c r="W199" s="452">
        <f t="shared" si="25"/>
        <v>7</v>
      </c>
      <c r="X199" s="372"/>
    </row>
    <row r="200" spans="1:24" x14ac:dyDescent="0.2">
      <c r="A200" s="347" t="s">
        <v>251</v>
      </c>
      <c r="B200" s="452">
        <f t="shared" si="24"/>
        <v>8</v>
      </c>
      <c r="C200" s="1536">
        <v>1541</v>
      </c>
      <c r="D200" s="1536">
        <v>1604</v>
      </c>
      <c r="E200" s="1536">
        <v>1666</v>
      </c>
      <c r="F200" s="1536">
        <v>1735</v>
      </c>
      <c r="G200" s="1536">
        <v>1780</v>
      </c>
      <c r="H200" s="1536">
        <v>1833</v>
      </c>
      <c r="I200" s="1536">
        <v>1896</v>
      </c>
      <c r="J200" s="1536">
        <v>1957</v>
      </c>
      <c r="K200" s="1536"/>
      <c r="L200" s="1536"/>
      <c r="M200" s="1536"/>
      <c r="N200" s="1536"/>
      <c r="O200" s="1536"/>
      <c r="P200" s="1536"/>
      <c r="Q200" s="1536"/>
      <c r="R200" s="1536"/>
      <c r="S200" s="1536"/>
      <c r="T200" s="1536"/>
      <c r="U200" s="1536"/>
      <c r="V200" s="1536"/>
      <c r="W200" s="452">
        <f t="shared" si="25"/>
        <v>8</v>
      </c>
      <c r="X200" s="372"/>
    </row>
    <row r="201" spans="1:24" x14ac:dyDescent="0.2">
      <c r="A201" s="347" t="s">
        <v>252</v>
      </c>
      <c r="B201" s="452">
        <f t="shared" si="24"/>
        <v>7</v>
      </c>
      <c r="C201" s="1536">
        <v>1541</v>
      </c>
      <c r="D201" s="1536">
        <v>1666</v>
      </c>
      <c r="E201" s="1536">
        <v>1735</v>
      </c>
      <c r="F201" s="1536">
        <v>1833</v>
      </c>
      <c r="G201" s="1536">
        <v>1896</v>
      </c>
      <c r="H201" s="1536">
        <v>1957</v>
      </c>
      <c r="I201" s="1536">
        <v>2017</v>
      </c>
      <c r="J201" s="1536"/>
      <c r="K201" s="1536"/>
      <c r="L201" s="1536"/>
      <c r="M201" s="1536"/>
      <c r="N201" s="1536"/>
      <c r="O201" s="1536"/>
      <c r="P201" s="1536"/>
      <c r="Q201" s="1536"/>
      <c r="R201" s="1536"/>
      <c r="S201" s="1536"/>
      <c r="T201" s="1536"/>
      <c r="U201" s="1536"/>
      <c r="V201" s="1536"/>
      <c r="W201" s="452">
        <f t="shared" si="25"/>
        <v>7</v>
      </c>
      <c r="X201" s="372"/>
    </row>
    <row r="202" spans="1:24" x14ac:dyDescent="0.2">
      <c r="A202" s="385" t="s">
        <v>210</v>
      </c>
      <c r="B202" s="452">
        <f t="shared" si="24"/>
        <v>15</v>
      </c>
      <c r="C202" s="1536">
        <v>2436</v>
      </c>
      <c r="D202" s="1536">
        <v>2485</v>
      </c>
      <c r="E202" s="1536">
        <v>2539</v>
      </c>
      <c r="F202" s="1536">
        <v>2593</v>
      </c>
      <c r="G202" s="1536">
        <v>2647</v>
      </c>
      <c r="H202" s="1536">
        <v>2710</v>
      </c>
      <c r="I202" s="1536">
        <v>2776</v>
      </c>
      <c r="J202" s="1536">
        <v>2847</v>
      </c>
      <c r="K202" s="1536">
        <v>2927</v>
      </c>
      <c r="L202" s="1536">
        <v>3009</v>
      </c>
      <c r="M202" s="1536">
        <v>3099</v>
      </c>
      <c r="N202" s="1536">
        <v>3194</v>
      </c>
      <c r="O202" s="1536">
        <v>3296</v>
      </c>
      <c r="P202" s="1536">
        <v>3401</v>
      </c>
      <c r="Q202" s="1536">
        <v>3482</v>
      </c>
      <c r="R202" s="1536"/>
      <c r="S202" s="1536"/>
      <c r="T202" s="1536"/>
      <c r="U202" s="1536"/>
      <c r="V202" s="1536"/>
      <c r="W202" s="452">
        <f t="shared" si="25"/>
        <v>15</v>
      </c>
      <c r="X202" s="372"/>
    </row>
    <row r="203" spans="1:24" x14ac:dyDescent="0.2">
      <c r="A203" s="385" t="s">
        <v>211</v>
      </c>
      <c r="B203" s="452">
        <f t="shared" si="24"/>
        <v>15</v>
      </c>
      <c r="C203" s="1536">
        <v>2525</v>
      </c>
      <c r="D203" s="1536">
        <v>2586</v>
      </c>
      <c r="E203" s="1536">
        <v>2655</v>
      </c>
      <c r="F203" s="1536">
        <v>2722</v>
      </c>
      <c r="G203" s="1536">
        <v>2789</v>
      </c>
      <c r="H203" s="1536">
        <v>2865</v>
      </c>
      <c r="I203" s="1536">
        <v>2947</v>
      </c>
      <c r="J203" s="1536">
        <v>3037</v>
      </c>
      <c r="K203" s="1536">
        <v>3141</v>
      </c>
      <c r="L203" s="1536">
        <v>3246</v>
      </c>
      <c r="M203" s="1536">
        <v>3360</v>
      </c>
      <c r="N203" s="1536">
        <v>3477</v>
      </c>
      <c r="O203" s="1536">
        <v>3599</v>
      </c>
      <c r="P203" s="1536">
        <v>3727</v>
      </c>
      <c r="Q203" s="1536">
        <v>3826</v>
      </c>
      <c r="R203" s="1536"/>
      <c r="S203" s="1536"/>
      <c r="T203" s="1536"/>
      <c r="U203" s="1536"/>
      <c r="V203" s="1536"/>
      <c r="W203" s="452">
        <f t="shared" si="25"/>
        <v>15</v>
      </c>
      <c r="X203" s="372"/>
    </row>
    <row r="204" spans="1:24" x14ac:dyDescent="0.2">
      <c r="A204" s="385" t="s">
        <v>212</v>
      </c>
      <c r="B204" s="452">
        <f t="shared" si="24"/>
        <v>15</v>
      </c>
      <c r="C204" s="1536">
        <v>2539</v>
      </c>
      <c r="D204" s="1536">
        <v>2662</v>
      </c>
      <c r="E204" s="1536">
        <v>2788</v>
      </c>
      <c r="F204" s="1536">
        <v>2915</v>
      </c>
      <c r="G204" s="1536">
        <v>3041</v>
      </c>
      <c r="H204" s="1536">
        <v>3171</v>
      </c>
      <c r="I204" s="1536">
        <v>3304</v>
      </c>
      <c r="J204" s="1536">
        <v>3440</v>
      </c>
      <c r="K204" s="1536">
        <v>3582</v>
      </c>
      <c r="L204" s="1536">
        <v>3728</v>
      </c>
      <c r="M204" s="1536">
        <v>3874</v>
      </c>
      <c r="N204" s="1536">
        <v>4027</v>
      </c>
      <c r="O204" s="1536">
        <v>4183</v>
      </c>
      <c r="P204" s="1536">
        <v>4342</v>
      </c>
      <c r="Q204" s="1536">
        <v>4464</v>
      </c>
      <c r="R204" s="1536"/>
      <c r="S204" s="1536"/>
      <c r="T204" s="1536"/>
      <c r="U204" s="1536"/>
      <c r="V204" s="1536"/>
      <c r="W204" s="452">
        <f t="shared" si="25"/>
        <v>15</v>
      </c>
      <c r="X204" s="372"/>
    </row>
    <row r="205" spans="1:24" x14ac:dyDescent="0.2">
      <c r="A205" s="385" t="s">
        <v>213</v>
      </c>
      <c r="B205" s="452">
        <f t="shared" si="24"/>
        <v>15</v>
      </c>
      <c r="C205" s="1536">
        <v>2548</v>
      </c>
      <c r="D205" s="1536">
        <v>2702</v>
      </c>
      <c r="E205" s="1536">
        <v>2859</v>
      </c>
      <c r="F205" s="1536">
        <v>3018</v>
      </c>
      <c r="G205" s="1536">
        <v>3178</v>
      </c>
      <c r="H205" s="1536">
        <v>3345</v>
      </c>
      <c r="I205" s="1536">
        <v>3518</v>
      </c>
      <c r="J205" s="1536">
        <v>3694</v>
      </c>
      <c r="K205" s="1536">
        <v>3879</v>
      </c>
      <c r="L205" s="1536">
        <v>4071</v>
      </c>
      <c r="M205" s="1536">
        <v>4269</v>
      </c>
      <c r="N205" s="1536">
        <v>4473</v>
      </c>
      <c r="O205" s="1536">
        <v>4685</v>
      </c>
      <c r="P205" s="1536">
        <v>4902</v>
      </c>
      <c r="Q205" s="1536">
        <v>5079</v>
      </c>
      <c r="R205" s="1536"/>
      <c r="S205" s="1536"/>
      <c r="T205" s="1536"/>
      <c r="U205" s="1536"/>
      <c r="V205" s="1536"/>
      <c r="W205" s="452">
        <f t="shared" si="25"/>
        <v>15</v>
      </c>
      <c r="X205" s="372"/>
    </row>
    <row r="206" spans="1:24" x14ac:dyDescent="0.2">
      <c r="A206" s="448" t="s">
        <v>214</v>
      </c>
      <c r="B206" s="452">
        <f t="shared" si="24"/>
        <v>15</v>
      </c>
      <c r="C206" s="1536">
        <v>3279</v>
      </c>
      <c r="D206" s="1536">
        <v>3403</v>
      </c>
      <c r="E206" s="1536">
        <v>3514</v>
      </c>
      <c r="F206" s="1536">
        <v>3737</v>
      </c>
      <c r="G206" s="1536">
        <v>3984</v>
      </c>
      <c r="H206" s="1536">
        <v>4139</v>
      </c>
      <c r="I206" s="1536">
        <v>4297</v>
      </c>
      <c r="J206" s="1536">
        <v>4454</v>
      </c>
      <c r="K206" s="1536">
        <v>4612</v>
      </c>
      <c r="L206" s="1536">
        <v>4768</v>
      </c>
      <c r="M206" s="1536">
        <v>4927</v>
      </c>
      <c r="N206" s="1536">
        <v>5085</v>
      </c>
      <c r="O206" s="1536">
        <v>5243</v>
      </c>
      <c r="P206" s="1536">
        <v>5400</v>
      </c>
      <c r="Q206" s="1536">
        <v>5507</v>
      </c>
      <c r="R206" s="1536"/>
      <c r="S206" s="1536"/>
      <c r="T206" s="1536"/>
      <c r="U206" s="1536"/>
      <c r="V206" s="1536"/>
      <c r="W206" s="452">
        <f t="shared" si="25"/>
        <v>15</v>
      </c>
      <c r="X206" s="372"/>
    </row>
    <row r="207" spans="1:24" x14ac:dyDescent="0.2">
      <c r="A207" s="347" t="s">
        <v>215</v>
      </c>
      <c r="B207" s="452">
        <f t="shared" si="24"/>
        <v>1</v>
      </c>
      <c r="C207" s="1550">
        <f>C202/2</f>
        <v>1218</v>
      </c>
      <c r="D207" s="1536"/>
      <c r="E207" s="1536"/>
      <c r="F207" s="1536"/>
      <c r="G207" s="1536"/>
      <c r="H207" s="1536"/>
      <c r="I207" s="1536"/>
      <c r="J207" s="1536"/>
      <c r="K207" s="1536"/>
      <c r="L207" s="1536"/>
      <c r="M207" s="1536"/>
      <c r="N207" s="1536"/>
      <c r="O207" s="1536"/>
      <c r="P207" s="1536"/>
      <c r="Q207" s="1536"/>
      <c r="R207" s="1536"/>
      <c r="S207" s="1536"/>
      <c r="T207" s="1536"/>
      <c r="U207" s="1536"/>
      <c r="V207" s="1536"/>
      <c r="W207" s="452">
        <f t="shared" si="25"/>
        <v>1</v>
      </c>
      <c r="X207" s="372"/>
    </row>
    <row r="208" spans="1:24" x14ac:dyDescent="0.2">
      <c r="A208" s="347" t="s">
        <v>216</v>
      </c>
      <c r="B208" s="452">
        <f t="shared" si="24"/>
        <v>1</v>
      </c>
      <c r="C208" s="1550">
        <f>C203/2</f>
        <v>1262.5</v>
      </c>
      <c r="D208" s="1536"/>
      <c r="E208" s="1536"/>
      <c r="F208" s="1536"/>
      <c r="G208" s="1536"/>
      <c r="H208" s="1536"/>
      <c r="I208" s="1536"/>
      <c r="J208" s="1536"/>
      <c r="K208" s="1536"/>
      <c r="L208" s="1536"/>
      <c r="M208" s="1536"/>
      <c r="N208" s="1536"/>
      <c r="O208" s="1536"/>
      <c r="P208" s="1536"/>
      <c r="Q208" s="1536"/>
      <c r="R208" s="1536"/>
      <c r="S208" s="1536"/>
      <c r="T208" s="1536"/>
      <c r="U208" s="1536"/>
      <c r="V208" s="1536"/>
      <c r="W208" s="452">
        <f t="shared" si="25"/>
        <v>1</v>
      </c>
      <c r="X208" s="372"/>
    </row>
    <row r="209" spans="1:24" x14ac:dyDescent="0.2">
      <c r="A209" s="353" t="s">
        <v>249</v>
      </c>
      <c r="B209" s="452">
        <f t="shared" si="24"/>
        <v>11</v>
      </c>
      <c r="C209" s="1536">
        <v>2771</v>
      </c>
      <c r="D209" s="1536">
        <v>2879</v>
      </c>
      <c r="E209" s="1536">
        <v>2990</v>
      </c>
      <c r="F209" s="1536">
        <v>3097</v>
      </c>
      <c r="G209" s="1536">
        <v>3206</v>
      </c>
      <c r="H209" s="1536">
        <v>3316</v>
      </c>
      <c r="I209" s="1536">
        <v>3425</v>
      </c>
      <c r="J209" s="1536">
        <v>3534</v>
      </c>
      <c r="K209" s="1536">
        <v>3642</v>
      </c>
      <c r="L209" s="1536">
        <v>3751</v>
      </c>
      <c r="M209" s="1536">
        <v>3862</v>
      </c>
      <c r="N209" s="1536"/>
      <c r="O209" s="1536"/>
      <c r="P209" s="1536"/>
      <c r="Q209" s="1536"/>
      <c r="R209" s="1536"/>
      <c r="S209" s="1536"/>
      <c r="T209" s="1536"/>
      <c r="U209" s="1536"/>
      <c r="V209" s="1536"/>
      <c r="W209" s="452">
        <f t="shared" si="25"/>
        <v>11</v>
      </c>
      <c r="X209" s="372"/>
    </row>
    <row r="210" spans="1:24" x14ac:dyDescent="0.2">
      <c r="A210" s="353" t="s">
        <v>218</v>
      </c>
      <c r="B210" s="452">
        <f t="shared" si="24"/>
        <v>10</v>
      </c>
      <c r="C210" s="1536">
        <v>2879</v>
      </c>
      <c r="D210" s="1536">
        <v>3097</v>
      </c>
      <c r="E210" s="1536">
        <v>3316</v>
      </c>
      <c r="F210" s="1536">
        <v>3425</v>
      </c>
      <c r="G210" s="1536">
        <v>3534</v>
      </c>
      <c r="H210" s="1536">
        <v>3642</v>
      </c>
      <c r="I210" s="1536">
        <v>3751</v>
      </c>
      <c r="J210" s="1536">
        <v>3862</v>
      </c>
      <c r="K210" s="1536">
        <v>3970</v>
      </c>
      <c r="L210" s="1536">
        <v>4081</v>
      </c>
      <c r="M210" s="1536"/>
      <c r="N210" s="1536"/>
      <c r="O210" s="1536"/>
      <c r="P210" s="1536"/>
      <c r="Q210" s="1536"/>
      <c r="R210" s="1536"/>
      <c r="S210" s="1536"/>
      <c r="T210" s="1536"/>
      <c r="U210" s="1536"/>
      <c r="V210" s="1536"/>
      <c r="W210" s="452">
        <f t="shared" si="25"/>
        <v>10</v>
      </c>
      <c r="X210" s="372"/>
    </row>
    <row r="211" spans="1:24" x14ac:dyDescent="0.2">
      <c r="A211" s="353" t="s">
        <v>219</v>
      </c>
      <c r="B211" s="452">
        <f t="shared" si="24"/>
        <v>11</v>
      </c>
      <c r="C211" s="1536">
        <v>2879</v>
      </c>
      <c r="D211" s="1536">
        <v>3097</v>
      </c>
      <c r="E211" s="1536">
        <v>3316</v>
      </c>
      <c r="F211" s="1536">
        <v>3424</v>
      </c>
      <c r="G211" s="1536">
        <v>3534</v>
      </c>
      <c r="H211" s="1536">
        <v>3641</v>
      </c>
      <c r="I211" s="1536">
        <v>3751</v>
      </c>
      <c r="J211" s="1536">
        <v>3862</v>
      </c>
      <c r="K211" s="1536">
        <v>3970</v>
      </c>
      <c r="L211" s="1536">
        <v>4081</v>
      </c>
      <c r="M211" s="1536">
        <v>4191</v>
      </c>
      <c r="N211" s="1536"/>
      <c r="O211" s="1536"/>
      <c r="P211" s="1536"/>
      <c r="Q211" s="1536"/>
      <c r="R211" s="1536"/>
      <c r="S211" s="1536"/>
      <c r="T211" s="1536"/>
      <c r="U211" s="1536"/>
      <c r="V211" s="1536"/>
      <c r="W211" s="452">
        <f t="shared" si="25"/>
        <v>11</v>
      </c>
      <c r="X211" s="372"/>
    </row>
    <row r="212" spans="1:24" x14ac:dyDescent="0.2">
      <c r="A212" s="353" t="s">
        <v>323</v>
      </c>
      <c r="B212" s="452">
        <f t="shared" si="24"/>
        <v>13</v>
      </c>
      <c r="C212" s="1536">
        <v>2990</v>
      </c>
      <c r="D212" s="1536">
        <v>3316</v>
      </c>
      <c r="E212" s="1536">
        <v>3534</v>
      </c>
      <c r="F212" s="1536">
        <v>3751</v>
      </c>
      <c r="G212" s="1536">
        <v>3970</v>
      </c>
      <c r="H212" s="1536">
        <v>4081</v>
      </c>
      <c r="I212" s="1536">
        <v>4191</v>
      </c>
      <c r="J212" s="1536">
        <v>4298</v>
      </c>
      <c r="K212" s="1536">
        <v>4408</v>
      </c>
      <c r="L212" s="1536">
        <v>4515</v>
      </c>
      <c r="M212" s="1536">
        <v>4627</v>
      </c>
      <c r="N212" s="1536">
        <v>4735</v>
      </c>
      <c r="O212" s="1536">
        <v>4845</v>
      </c>
      <c r="P212" s="1536"/>
      <c r="Q212" s="1536"/>
      <c r="R212" s="1536"/>
      <c r="S212" s="1536"/>
      <c r="T212" s="1536"/>
      <c r="U212" s="1536"/>
      <c r="V212" s="1536"/>
      <c r="W212" s="452">
        <f t="shared" si="25"/>
        <v>13</v>
      </c>
      <c r="X212" s="372"/>
    </row>
    <row r="213" spans="1:24" x14ac:dyDescent="0.2">
      <c r="A213" s="353" t="s">
        <v>220</v>
      </c>
      <c r="B213" s="452">
        <f t="shared" si="24"/>
        <v>15</v>
      </c>
      <c r="C213" s="1536">
        <v>2990</v>
      </c>
      <c r="D213" s="1536">
        <v>3316</v>
      </c>
      <c r="E213" s="1536">
        <v>3534</v>
      </c>
      <c r="F213" s="1536">
        <v>3751</v>
      </c>
      <c r="G213" s="1536">
        <v>3970</v>
      </c>
      <c r="H213" s="1536">
        <v>4081</v>
      </c>
      <c r="I213" s="1536">
        <v>4191</v>
      </c>
      <c r="J213" s="1536">
        <v>4298</v>
      </c>
      <c r="K213" s="1536">
        <v>4408</v>
      </c>
      <c r="L213" s="1536">
        <v>4515</v>
      </c>
      <c r="M213" s="1536">
        <v>4627</v>
      </c>
      <c r="N213" s="1536">
        <v>4735</v>
      </c>
      <c r="O213" s="1536">
        <v>4845</v>
      </c>
      <c r="P213" s="1536">
        <v>4952</v>
      </c>
      <c r="Q213" s="1536">
        <v>5062</v>
      </c>
      <c r="R213" s="1536"/>
      <c r="S213" s="1536"/>
      <c r="T213" s="1536"/>
      <c r="U213" s="1536"/>
      <c r="V213" s="1536"/>
      <c r="W213" s="452">
        <f t="shared" si="25"/>
        <v>15</v>
      </c>
      <c r="X213" s="372"/>
    </row>
    <row r="214" spans="1:24" x14ac:dyDescent="0.2">
      <c r="A214" s="347">
        <v>1</v>
      </c>
      <c r="B214" s="452">
        <f t="shared" si="24"/>
        <v>7</v>
      </c>
      <c r="C214" s="1536">
        <v>1537.2</v>
      </c>
      <c r="D214" s="1536">
        <v>1571</v>
      </c>
      <c r="E214" s="1536">
        <v>1636</v>
      </c>
      <c r="F214" s="1536">
        <v>1666</v>
      </c>
      <c r="G214" s="1536">
        <v>1700</v>
      </c>
      <c r="H214" s="1536">
        <v>1735</v>
      </c>
      <c r="I214" s="1536">
        <v>1780</v>
      </c>
      <c r="J214" s="1536"/>
      <c r="K214" s="1536"/>
      <c r="L214" s="1536"/>
      <c r="M214" s="1536"/>
      <c r="N214" s="1536"/>
      <c r="O214" s="1536"/>
      <c r="P214" s="1536"/>
      <c r="Q214" s="1536"/>
      <c r="R214" s="1536"/>
      <c r="S214" s="1536"/>
      <c r="T214" s="1536"/>
      <c r="U214" s="1536"/>
      <c r="V214" s="1536"/>
      <c r="W214" s="452">
        <f t="shared" si="25"/>
        <v>7</v>
      </c>
      <c r="X214" s="372"/>
    </row>
    <row r="215" spans="1:24" x14ac:dyDescent="0.2">
      <c r="A215" s="347">
        <v>2</v>
      </c>
      <c r="B215" s="452">
        <f t="shared" si="24"/>
        <v>8</v>
      </c>
      <c r="C215" s="1536">
        <v>1541</v>
      </c>
      <c r="D215" s="1536">
        <v>1604</v>
      </c>
      <c r="E215" s="1536">
        <v>1666</v>
      </c>
      <c r="F215" s="1536">
        <v>1735</v>
      </c>
      <c r="G215" s="1536">
        <v>1780</v>
      </c>
      <c r="H215" s="1536">
        <v>1833</v>
      </c>
      <c r="I215" s="1536">
        <v>1896</v>
      </c>
      <c r="J215" s="1536">
        <v>1957</v>
      </c>
      <c r="K215" s="1536"/>
      <c r="L215" s="1536"/>
      <c r="M215" s="1536"/>
      <c r="N215" s="1536"/>
      <c r="O215" s="1536"/>
      <c r="P215" s="1536"/>
      <c r="Q215" s="1536"/>
      <c r="R215" s="1536"/>
      <c r="S215" s="1536"/>
      <c r="T215" s="1536"/>
      <c r="U215" s="1536"/>
      <c r="V215" s="1536"/>
      <c r="W215" s="452">
        <f t="shared" si="25"/>
        <v>8</v>
      </c>
      <c r="X215" s="372"/>
    </row>
    <row r="216" spans="1:24" x14ac:dyDescent="0.2">
      <c r="A216" s="347">
        <v>3</v>
      </c>
      <c r="B216" s="452">
        <f t="shared" si="24"/>
        <v>9</v>
      </c>
      <c r="C216" s="1536">
        <v>1541</v>
      </c>
      <c r="D216" s="1536">
        <v>1666</v>
      </c>
      <c r="E216" s="1536">
        <v>1735</v>
      </c>
      <c r="F216" s="1536">
        <v>1833</v>
      </c>
      <c r="G216" s="1536">
        <v>1896</v>
      </c>
      <c r="H216" s="1536">
        <v>1957</v>
      </c>
      <c r="I216" s="1536">
        <v>2017</v>
      </c>
      <c r="J216" s="1536">
        <v>2074</v>
      </c>
      <c r="K216" s="1536">
        <v>2131</v>
      </c>
      <c r="L216" s="1536"/>
      <c r="M216" s="1536"/>
      <c r="N216" s="1536"/>
      <c r="O216" s="1536"/>
      <c r="P216" s="1536"/>
      <c r="Q216" s="1536"/>
      <c r="R216" s="1536"/>
      <c r="S216" s="1536"/>
      <c r="T216" s="1536"/>
      <c r="U216" s="1536"/>
      <c r="V216" s="1536"/>
      <c r="W216" s="452">
        <f t="shared" si="25"/>
        <v>9</v>
      </c>
      <c r="X216" s="372"/>
    </row>
    <row r="217" spans="1:24" x14ac:dyDescent="0.2">
      <c r="A217" s="347">
        <v>4</v>
      </c>
      <c r="B217" s="452">
        <f t="shared" si="24"/>
        <v>11</v>
      </c>
      <c r="C217" s="1536">
        <v>1571</v>
      </c>
      <c r="D217" s="1536">
        <v>1636</v>
      </c>
      <c r="E217" s="1536">
        <v>1700</v>
      </c>
      <c r="F217" s="1536">
        <v>1780</v>
      </c>
      <c r="G217" s="1536">
        <v>1896</v>
      </c>
      <c r="H217" s="1536">
        <v>1957</v>
      </c>
      <c r="I217" s="1536">
        <v>2017</v>
      </c>
      <c r="J217" s="1536">
        <v>2074</v>
      </c>
      <c r="K217" s="1536">
        <v>2131</v>
      </c>
      <c r="L217" s="1536">
        <v>2187</v>
      </c>
      <c r="M217" s="1536">
        <v>2242</v>
      </c>
      <c r="N217" s="1536"/>
      <c r="O217" s="1536"/>
      <c r="P217" s="1536"/>
      <c r="Q217" s="1536"/>
      <c r="R217" s="1536"/>
      <c r="S217" s="1536"/>
      <c r="T217" s="1536"/>
      <c r="U217" s="1536"/>
      <c r="V217" s="1536"/>
      <c r="W217" s="452">
        <f t="shared" si="25"/>
        <v>11</v>
      </c>
      <c r="X217" s="372"/>
    </row>
    <row r="218" spans="1:24" x14ac:dyDescent="0.2">
      <c r="A218" s="347">
        <v>5</v>
      </c>
      <c r="B218" s="452">
        <f t="shared" si="24"/>
        <v>12</v>
      </c>
      <c r="C218" s="1536">
        <v>1604</v>
      </c>
      <c r="D218" s="1536">
        <v>1636</v>
      </c>
      <c r="E218" s="1536">
        <v>1735</v>
      </c>
      <c r="F218" s="1536">
        <v>1833</v>
      </c>
      <c r="G218" s="1536">
        <v>1957</v>
      </c>
      <c r="H218" s="1536">
        <v>2017</v>
      </c>
      <c r="I218" s="1536">
        <v>2074</v>
      </c>
      <c r="J218" s="1536">
        <v>2131</v>
      </c>
      <c r="K218" s="1536">
        <v>2187</v>
      </c>
      <c r="L218" s="1536">
        <v>2242</v>
      </c>
      <c r="M218" s="1536">
        <v>2295</v>
      </c>
      <c r="N218" s="1536">
        <v>2357</v>
      </c>
      <c r="O218" s="1536"/>
      <c r="P218" s="1536"/>
      <c r="Q218" s="1536"/>
      <c r="R218" s="1536"/>
      <c r="S218" s="1536"/>
      <c r="T218" s="1536"/>
      <c r="U218" s="1536"/>
      <c r="V218" s="1536"/>
      <c r="W218" s="452">
        <f t="shared" si="25"/>
        <v>12</v>
      </c>
      <c r="X218" s="372"/>
    </row>
    <row r="219" spans="1:24" x14ac:dyDescent="0.2">
      <c r="A219" s="347">
        <v>6</v>
      </c>
      <c r="B219" s="452">
        <f t="shared" si="24"/>
        <v>11</v>
      </c>
      <c r="C219" s="1536">
        <v>1666</v>
      </c>
      <c r="D219" s="1536">
        <v>1735</v>
      </c>
      <c r="E219" s="1536">
        <v>1957</v>
      </c>
      <c r="F219" s="1536">
        <v>2074</v>
      </c>
      <c r="G219" s="1536">
        <v>2131</v>
      </c>
      <c r="H219" s="1536">
        <v>2187</v>
      </c>
      <c r="I219" s="1536">
        <v>2242</v>
      </c>
      <c r="J219" s="1536">
        <v>2295</v>
      </c>
      <c r="K219" s="1536">
        <v>2357</v>
      </c>
      <c r="L219" s="1536">
        <v>2414</v>
      </c>
      <c r="M219" s="1536">
        <v>2470</v>
      </c>
      <c r="N219" s="1536"/>
      <c r="O219" s="1536"/>
      <c r="P219" s="1536"/>
      <c r="Q219" s="1536"/>
      <c r="R219" s="1536"/>
      <c r="S219" s="1536"/>
      <c r="T219" s="1536"/>
      <c r="U219" s="1536"/>
      <c r="V219" s="1536"/>
      <c r="W219" s="452">
        <f t="shared" si="25"/>
        <v>11</v>
      </c>
      <c r="X219" s="372"/>
    </row>
    <row r="220" spans="1:24" x14ac:dyDescent="0.2">
      <c r="A220" s="347">
        <v>7</v>
      </c>
      <c r="B220" s="452">
        <f t="shared" si="24"/>
        <v>12</v>
      </c>
      <c r="C220" s="1536">
        <v>1780</v>
      </c>
      <c r="D220" s="1536">
        <v>1833</v>
      </c>
      <c r="E220" s="1536">
        <v>1957</v>
      </c>
      <c r="F220" s="1536">
        <v>2187</v>
      </c>
      <c r="G220" s="1536">
        <v>2295</v>
      </c>
      <c r="H220" s="1536">
        <v>2357</v>
      </c>
      <c r="I220" s="1536">
        <v>2414</v>
      </c>
      <c r="J220" s="1536">
        <v>2470</v>
      </c>
      <c r="K220" s="1536">
        <v>2527</v>
      </c>
      <c r="L220" s="1536">
        <v>2589</v>
      </c>
      <c r="M220" s="1536">
        <v>2653</v>
      </c>
      <c r="N220" s="1536">
        <v>2723</v>
      </c>
      <c r="O220" s="1536"/>
      <c r="P220" s="1536"/>
      <c r="Q220" s="1536"/>
      <c r="R220" s="1536"/>
      <c r="S220" s="1536"/>
      <c r="T220" s="1536"/>
      <c r="U220" s="1536"/>
      <c r="V220" s="1536"/>
      <c r="W220" s="452">
        <f t="shared" si="25"/>
        <v>12</v>
      </c>
      <c r="X220" s="372"/>
    </row>
    <row r="221" spans="1:24" x14ac:dyDescent="0.2">
      <c r="A221" s="347">
        <v>8</v>
      </c>
      <c r="B221" s="452">
        <f t="shared" si="24"/>
        <v>13</v>
      </c>
      <c r="C221" s="1536">
        <v>2017</v>
      </c>
      <c r="D221" s="1536">
        <v>2074</v>
      </c>
      <c r="E221" s="1536">
        <v>2187</v>
      </c>
      <c r="F221" s="1536">
        <v>2414</v>
      </c>
      <c r="G221" s="1536">
        <v>2527</v>
      </c>
      <c r="H221" s="1536">
        <v>2653</v>
      </c>
      <c r="I221" s="1536">
        <v>2723</v>
      </c>
      <c r="J221" s="1536">
        <v>2788</v>
      </c>
      <c r="K221" s="1536">
        <v>2845</v>
      </c>
      <c r="L221" s="1536">
        <v>2907</v>
      </c>
      <c r="M221" s="1536">
        <v>2968</v>
      </c>
      <c r="N221" s="1536">
        <v>3026</v>
      </c>
      <c r="O221" s="1536">
        <v>3080</v>
      </c>
      <c r="P221" s="1536"/>
      <c r="Q221" s="1536"/>
      <c r="R221" s="1536"/>
      <c r="S221" s="1536"/>
      <c r="T221" s="1536"/>
      <c r="U221" s="1536"/>
      <c r="V221" s="1536"/>
      <c r="W221" s="452">
        <f t="shared" si="25"/>
        <v>13</v>
      </c>
      <c r="X221" s="372"/>
    </row>
    <row r="222" spans="1:24" x14ac:dyDescent="0.2">
      <c r="A222" s="347">
        <v>9</v>
      </c>
      <c r="B222" s="452">
        <f t="shared" si="24"/>
        <v>10</v>
      </c>
      <c r="C222" s="1536">
        <v>2319</v>
      </c>
      <c r="D222" s="1536">
        <v>2438</v>
      </c>
      <c r="E222" s="1536">
        <v>2678</v>
      </c>
      <c r="F222" s="1536">
        <v>2815</v>
      </c>
      <c r="G222" s="1536">
        <v>2934</v>
      </c>
      <c r="H222" s="1536">
        <v>3056</v>
      </c>
      <c r="I222" s="1536">
        <v>3169</v>
      </c>
      <c r="J222" s="1536">
        <v>3283</v>
      </c>
      <c r="K222" s="1536">
        <v>3408</v>
      </c>
      <c r="L222" s="1536">
        <v>3516</v>
      </c>
      <c r="M222" s="1536"/>
      <c r="N222" s="1536"/>
      <c r="O222" s="1536"/>
      <c r="P222" s="1536"/>
      <c r="Q222" s="1536"/>
      <c r="R222" s="1536"/>
      <c r="S222" s="1536"/>
      <c r="T222" s="1536"/>
      <c r="U222" s="1536"/>
      <c r="V222" s="1536"/>
      <c r="W222" s="452">
        <f t="shared" si="25"/>
        <v>10</v>
      </c>
      <c r="X222" s="372"/>
    </row>
    <row r="223" spans="1:24" x14ac:dyDescent="0.2">
      <c r="A223" s="347">
        <v>10</v>
      </c>
      <c r="B223" s="452">
        <f t="shared" si="24"/>
        <v>13</v>
      </c>
      <c r="C223" s="1536">
        <v>2319</v>
      </c>
      <c r="D223" s="1536">
        <v>2553</v>
      </c>
      <c r="E223" s="1536">
        <v>2678</v>
      </c>
      <c r="F223" s="1536">
        <v>2815</v>
      </c>
      <c r="G223" s="1536">
        <v>2934</v>
      </c>
      <c r="H223" s="1536">
        <v>3056</v>
      </c>
      <c r="I223" s="1536">
        <v>3169</v>
      </c>
      <c r="J223" s="1536">
        <v>3283</v>
      </c>
      <c r="K223" s="1536">
        <v>3408</v>
      </c>
      <c r="L223" s="1536">
        <v>3516</v>
      </c>
      <c r="M223" s="1536">
        <v>3630</v>
      </c>
      <c r="N223" s="1536">
        <v>3740</v>
      </c>
      <c r="O223" s="1536">
        <v>3864</v>
      </c>
      <c r="P223" s="1536"/>
      <c r="Q223" s="1536"/>
      <c r="R223" s="1536"/>
      <c r="S223" s="1536"/>
      <c r="T223" s="1536"/>
      <c r="U223" s="1536"/>
      <c r="V223" s="1536"/>
      <c r="W223" s="452">
        <f t="shared" si="25"/>
        <v>13</v>
      </c>
      <c r="X223" s="372"/>
    </row>
    <row r="224" spans="1:24" x14ac:dyDescent="0.2">
      <c r="A224" s="347">
        <v>11</v>
      </c>
      <c r="B224" s="452">
        <f t="shared" si="24"/>
        <v>18</v>
      </c>
      <c r="C224" s="1536">
        <v>2438</v>
      </c>
      <c r="D224" s="1536">
        <v>2553</v>
      </c>
      <c r="E224" s="1536">
        <v>2678</v>
      </c>
      <c r="F224" s="1536">
        <v>2815</v>
      </c>
      <c r="G224" s="1536">
        <v>2934</v>
      </c>
      <c r="H224" s="1536">
        <v>3056</v>
      </c>
      <c r="I224" s="1536">
        <v>3169</v>
      </c>
      <c r="J224" s="1536">
        <v>3408</v>
      </c>
      <c r="K224" s="1536">
        <v>3516</v>
      </c>
      <c r="L224" s="1536">
        <v>3630</v>
      </c>
      <c r="M224" s="1536">
        <v>3740</v>
      </c>
      <c r="N224" s="1536">
        <v>3864</v>
      </c>
      <c r="O224" s="1536">
        <v>3986</v>
      </c>
      <c r="P224" s="1536">
        <v>4107</v>
      </c>
      <c r="Q224" s="1536">
        <v>4220</v>
      </c>
      <c r="R224" s="1536">
        <v>4337</v>
      </c>
      <c r="S224" s="1536">
        <v>4448</v>
      </c>
      <c r="T224" s="1536">
        <v>4509</v>
      </c>
      <c r="U224" s="1536"/>
      <c r="V224" s="1536"/>
      <c r="W224" s="452">
        <f t="shared" si="25"/>
        <v>18</v>
      </c>
      <c r="X224" s="372"/>
    </row>
    <row r="225" spans="1:24" x14ac:dyDescent="0.2">
      <c r="A225" s="347">
        <v>12</v>
      </c>
      <c r="B225" s="452">
        <f t="shared" si="24"/>
        <v>16</v>
      </c>
      <c r="C225" s="1536">
        <v>3283</v>
      </c>
      <c r="D225" s="1536">
        <v>3408</v>
      </c>
      <c r="E225" s="1536">
        <v>3516</v>
      </c>
      <c r="F225" s="1536">
        <v>3630</v>
      </c>
      <c r="G225" s="1536">
        <v>3740</v>
      </c>
      <c r="H225" s="1536">
        <v>3864</v>
      </c>
      <c r="I225" s="1536">
        <v>4107</v>
      </c>
      <c r="J225" s="1536">
        <v>4220</v>
      </c>
      <c r="K225" s="1536">
        <v>4337</v>
      </c>
      <c r="L225" s="1536">
        <v>4448</v>
      </c>
      <c r="M225" s="1536">
        <v>4568</v>
      </c>
      <c r="N225" s="1536">
        <v>4685</v>
      </c>
      <c r="O225" s="1536">
        <v>4796</v>
      </c>
      <c r="P225" s="1536">
        <v>4913</v>
      </c>
      <c r="Q225" s="1536">
        <v>5056</v>
      </c>
      <c r="R225" s="1536">
        <v>5130</v>
      </c>
      <c r="S225" s="1536"/>
      <c r="T225" s="1536"/>
      <c r="U225" s="1536"/>
      <c r="V225" s="1536"/>
      <c r="W225" s="452">
        <f t="shared" si="25"/>
        <v>16</v>
      </c>
      <c r="X225" s="372"/>
    </row>
    <row r="226" spans="1:24" x14ac:dyDescent="0.2">
      <c r="A226" s="347">
        <v>13</v>
      </c>
      <c r="B226" s="452">
        <f t="shared" si="24"/>
        <v>13</v>
      </c>
      <c r="C226" s="1536">
        <v>3986</v>
      </c>
      <c r="D226" s="1536">
        <v>4107</v>
      </c>
      <c r="E226" s="1536">
        <v>4220</v>
      </c>
      <c r="F226" s="1536">
        <v>4337</v>
      </c>
      <c r="G226" s="1536">
        <v>4448</v>
      </c>
      <c r="H226" s="1536">
        <v>4685</v>
      </c>
      <c r="I226" s="1536">
        <v>4796</v>
      </c>
      <c r="J226" s="1536">
        <v>4913</v>
      </c>
      <c r="K226" s="1536">
        <v>5056</v>
      </c>
      <c r="L226" s="1536">
        <v>5202</v>
      </c>
      <c r="M226" s="1536">
        <v>5348</v>
      </c>
      <c r="N226" s="1536">
        <v>5491</v>
      </c>
      <c r="O226" s="1536">
        <v>5563</v>
      </c>
      <c r="P226" s="1536"/>
      <c r="Q226" s="1536"/>
      <c r="R226" s="1536"/>
      <c r="S226" s="1536"/>
      <c r="T226" s="1536"/>
      <c r="U226" s="1536"/>
      <c r="V226" s="1536"/>
      <c r="W226" s="452">
        <f t="shared" si="25"/>
        <v>13</v>
      </c>
      <c r="X226" s="372"/>
    </row>
    <row r="227" spans="1:24" x14ac:dyDescent="0.2">
      <c r="A227" s="347">
        <v>14</v>
      </c>
      <c r="B227" s="452">
        <f t="shared" si="24"/>
        <v>11</v>
      </c>
      <c r="C227" s="1536">
        <v>4568</v>
      </c>
      <c r="D227" s="1536">
        <v>4685</v>
      </c>
      <c r="E227" s="1536">
        <v>4913</v>
      </c>
      <c r="F227" s="1536">
        <v>5056</v>
      </c>
      <c r="G227" s="1536">
        <v>5202</v>
      </c>
      <c r="H227" s="1536">
        <v>5348</v>
      </c>
      <c r="I227" s="1536">
        <v>5491</v>
      </c>
      <c r="J227" s="1536">
        <v>5638</v>
      </c>
      <c r="K227" s="1536">
        <v>5793</v>
      </c>
      <c r="L227" s="1536">
        <v>5949</v>
      </c>
      <c r="M227" s="1536">
        <v>6111</v>
      </c>
      <c r="N227" s="1536"/>
      <c r="O227" s="1536"/>
      <c r="P227" s="1536"/>
      <c r="Q227" s="1536"/>
      <c r="R227" s="1536"/>
      <c r="S227" s="1536"/>
      <c r="T227" s="1536"/>
      <c r="U227" s="1536"/>
      <c r="V227" s="1536"/>
      <c r="W227" s="453">
        <f t="shared" si="25"/>
        <v>11</v>
      </c>
      <c r="X227" s="372"/>
    </row>
    <row r="228" spans="1:24" x14ac:dyDescent="0.2">
      <c r="A228" s="347">
        <v>15</v>
      </c>
      <c r="B228" s="452">
        <f t="shared" si="24"/>
        <v>12</v>
      </c>
      <c r="C228" s="1536">
        <v>4796</v>
      </c>
      <c r="D228" s="1536">
        <v>4913</v>
      </c>
      <c r="E228" s="1536">
        <v>5056</v>
      </c>
      <c r="F228" s="1536">
        <v>5348</v>
      </c>
      <c r="G228" s="1536">
        <v>5491</v>
      </c>
      <c r="H228" s="1536">
        <v>5638</v>
      </c>
      <c r="I228" s="1536">
        <v>5793</v>
      </c>
      <c r="J228" s="1536">
        <v>5949</v>
      </c>
      <c r="K228" s="1536">
        <v>6111</v>
      </c>
      <c r="L228" s="1536">
        <v>6305</v>
      </c>
      <c r="M228" s="1536">
        <v>6508</v>
      </c>
      <c r="N228" s="1536">
        <v>6715</v>
      </c>
      <c r="O228" s="1536"/>
      <c r="P228" s="1536"/>
      <c r="Q228" s="1536"/>
      <c r="R228" s="1536"/>
      <c r="S228" s="1536"/>
      <c r="T228" s="1536"/>
      <c r="U228" s="1536"/>
      <c r="V228" s="1536"/>
      <c r="W228" s="453">
        <f t="shared" si="25"/>
        <v>12</v>
      </c>
      <c r="X228" s="372"/>
    </row>
    <row r="229" spans="1:24" x14ac:dyDescent="0.2">
      <c r="A229" s="347">
        <v>16</v>
      </c>
      <c r="B229" s="452">
        <f t="shared" si="24"/>
        <v>12</v>
      </c>
      <c r="C229" s="1536">
        <v>5202</v>
      </c>
      <c r="D229" s="1536">
        <v>5348</v>
      </c>
      <c r="E229" s="1536">
        <v>5491</v>
      </c>
      <c r="F229" s="1536">
        <v>5793</v>
      </c>
      <c r="G229" s="1536">
        <v>5949</v>
      </c>
      <c r="H229" s="1536">
        <v>6111</v>
      </c>
      <c r="I229" s="1536">
        <v>6305</v>
      </c>
      <c r="J229" s="1536">
        <v>6508</v>
      </c>
      <c r="K229" s="1536">
        <v>6715</v>
      </c>
      <c r="L229" s="1536">
        <v>6930</v>
      </c>
      <c r="M229" s="1536">
        <v>7148</v>
      </c>
      <c r="N229" s="1536">
        <v>7377</v>
      </c>
      <c r="O229" s="1536"/>
      <c r="P229" s="1536"/>
      <c r="Q229" s="1536"/>
      <c r="R229" s="1536"/>
      <c r="S229" s="1536"/>
      <c r="T229" s="1536"/>
      <c r="U229" s="1536"/>
      <c r="V229" s="1536"/>
      <c r="W229" s="453">
        <f t="shared" si="25"/>
        <v>12</v>
      </c>
      <c r="X229" s="372"/>
    </row>
    <row r="230" spans="1:24" x14ac:dyDescent="0.2">
      <c r="A230" s="372"/>
      <c r="B230" s="382"/>
      <c r="C230" s="377"/>
      <c r="D230" s="372"/>
      <c r="E230" s="372"/>
      <c r="F230" s="372"/>
      <c r="G230" s="372"/>
      <c r="H230" s="372"/>
      <c r="I230" s="372"/>
      <c r="J230" s="372"/>
      <c r="K230" s="372"/>
      <c r="L230" s="372"/>
      <c r="M230" s="372"/>
      <c r="N230" s="372"/>
      <c r="O230" s="372"/>
      <c r="P230" s="372"/>
      <c r="Q230" s="372"/>
      <c r="R230" s="372"/>
      <c r="S230" s="372"/>
      <c r="T230" s="372"/>
      <c r="U230" s="372"/>
      <c r="V230" s="372"/>
      <c r="W230" s="372"/>
      <c r="X230" s="372"/>
    </row>
    <row r="231" spans="1:24" x14ac:dyDescent="0.2">
      <c r="A231" s="372"/>
      <c r="B231" s="372"/>
      <c r="C231" s="354" t="s">
        <v>148</v>
      </c>
      <c r="D231" s="372"/>
      <c r="E231" s="372"/>
      <c r="F231" s="372"/>
      <c r="G231" s="372"/>
      <c r="H231" s="372"/>
      <c r="I231" s="372"/>
      <c r="J231" s="372"/>
      <c r="K231" s="372"/>
      <c r="L231" s="372"/>
      <c r="M231" s="372"/>
      <c r="N231" s="372"/>
      <c r="O231" s="372"/>
      <c r="P231" s="372"/>
      <c r="Q231" s="372"/>
      <c r="R231" s="372"/>
      <c r="S231" s="372"/>
      <c r="T231" s="372"/>
      <c r="U231" s="372"/>
      <c r="V231" s="372"/>
      <c r="W231" s="372"/>
      <c r="X231" s="372"/>
    </row>
    <row r="232" spans="1:24" x14ac:dyDescent="0.2">
      <c r="A232" s="372"/>
      <c r="B232" s="372"/>
      <c r="C232" s="354" t="s">
        <v>149</v>
      </c>
      <c r="D232" s="372"/>
      <c r="E232" s="372"/>
      <c r="F232" s="372"/>
      <c r="G232" s="372"/>
      <c r="H232" s="372"/>
      <c r="I232" s="372"/>
      <c r="J232" s="372"/>
      <c r="K232" s="372"/>
      <c r="L232" s="372"/>
      <c r="M232" s="372"/>
      <c r="N232" s="372"/>
      <c r="O232" s="372"/>
      <c r="P232" s="372"/>
      <c r="Q232" s="372"/>
      <c r="R232" s="372"/>
      <c r="S232" s="372"/>
      <c r="T232" s="372"/>
      <c r="U232" s="372"/>
      <c r="V232" s="372"/>
      <c r="W232" s="372"/>
      <c r="X232" s="372"/>
    </row>
    <row r="233" spans="1:24" x14ac:dyDescent="0.2">
      <c r="A233" s="372"/>
      <c r="B233" s="372"/>
      <c r="C233" s="387" t="s">
        <v>198</v>
      </c>
      <c r="D233" s="388">
        <v>1.1100000000000001</v>
      </c>
      <c r="E233" s="347"/>
      <c r="F233" s="389"/>
      <c r="G233" s="372"/>
      <c r="H233" s="372"/>
      <c r="I233" s="372"/>
      <c r="J233" s="372"/>
      <c r="K233" s="372"/>
      <c r="L233" s="372"/>
      <c r="M233" s="372"/>
      <c r="N233" s="372"/>
      <c r="O233" s="372"/>
      <c r="P233" s="372"/>
      <c r="Q233" s="372"/>
      <c r="R233" s="372"/>
      <c r="S233" s="372"/>
      <c r="T233" s="372"/>
      <c r="U233" s="372"/>
      <c r="V233" s="372"/>
      <c r="W233" s="372"/>
      <c r="X233" s="372"/>
    </row>
    <row r="234" spans="1:24" x14ac:dyDescent="0.2">
      <c r="A234" s="372"/>
      <c r="B234" s="372"/>
      <c r="C234" s="387" t="s">
        <v>199</v>
      </c>
      <c r="D234" s="388">
        <v>1.25</v>
      </c>
      <c r="E234" s="347"/>
      <c r="F234" s="389"/>
      <c r="G234" s="372"/>
      <c r="H234" s="372"/>
      <c r="I234" s="372"/>
      <c r="J234" s="372"/>
      <c r="K234" s="372"/>
      <c r="L234" s="372"/>
      <c r="M234" s="372"/>
      <c r="N234" s="372"/>
      <c r="O234" s="372"/>
      <c r="P234" s="372"/>
      <c r="Q234" s="372"/>
      <c r="R234" s="372"/>
      <c r="S234" s="372"/>
      <c r="T234" s="372"/>
      <c r="U234" s="372"/>
      <c r="V234" s="372"/>
      <c r="W234" s="372"/>
      <c r="X234" s="372"/>
    </row>
    <row r="235" spans="1:24" x14ac:dyDescent="0.2">
      <c r="A235" s="372"/>
      <c r="B235" s="372"/>
      <c r="C235" s="387" t="s">
        <v>200</v>
      </c>
      <c r="D235" s="388">
        <v>1.32</v>
      </c>
      <c r="E235" s="347"/>
      <c r="F235" s="389"/>
      <c r="G235" s="372"/>
      <c r="H235" s="372"/>
      <c r="I235" s="372"/>
      <c r="J235" s="372"/>
      <c r="K235" s="372"/>
      <c r="L235" s="372"/>
      <c r="M235" s="372"/>
      <c r="N235" s="372"/>
      <c r="O235" s="372"/>
      <c r="P235" s="372"/>
      <c r="Q235" s="372"/>
      <c r="R235" s="372"/>
      <c r="S235" s="372"/>
      <c r="T235" s="372"/>
      <c r="U235" s="372"/>
      <c r="V235" s="372"/>
      <c r="W235" s="372"/>
      <c r="X235" s="372"/>
    </row>
    <row r="236" spans="1:24" x14ac:dyDescent="0.2">
      <c r="A236" s="372"/>
      <c r="B236" s="372"/>
      <c r="C236" s="387" t="s">
        <v>201</v>
      </c>
      <c r="D236" s="388">
        <v>1.39</v>
      </c>
      <c r="E236" s="347"/>
      <c r="F236" s="389"/>
      <c r="G236" s="353"/>
      <c r="H236" s="353"/>
      <c r="I236" s="353"/>
      <c r="X236" s="372"/>
    </row>
    <row r="237" spans="1:24" x14ac:dyDescent="0.2">
      <c r="A237" s="353"/>
      <c r="B237" s="353"/>
      <c r="C237" s="387" t="s">
        <v>202</v>
      </c>
      <c r="D237" s="388">
        <v>1.46</v>
      </c>
      <c r="E237" s="347"/>
      <c r="F237" s="389"/>
      <c r="G237" s="353"/>
      <c r="H237" s="353"/>
      <c r="I237" s="353"/>
      <c r="X237" s="372"/>
    </row>
    <row r="238" spans="1:24" x14ac:dyDescent="0.2">
      <c r="A238" s="353"/>
      <c r="B238" s="353"/>
      <c r="C238" s="387" t="s">
        <v>203</v>
      </c>
      <c r="D238" s="390">
        <v>1.42</v>
      </c>
      <c r="E238" s="347"/>
      <c r="F238" s="389"/>
      <c r="X238" s="372"/>
    </row>
    <row r="239" spans="1:24" x14ac:dyDescent="0.2">
      <c r="C239" s="387" t="s">
        <v>204</v>
      </c>
      <c r="D239" s="390">
        <v>1.56</v>
      </c>
      <c r="E239" s="347"/>
      <c r="F239" s="389"/>
      <c r="X239" s="372"/>
    </row>
    <row r="240" spans="1:24" x14ac:dyDescent="0.2">
      <c r="C240" s="387" t="s">
        <v>205</v>
      </c>
      <c r="D240" s="388">
        <v>0.94</v>
      </c>
      <c r="E240" s="347"/>
      <c r="F240" s="389"/>
      <c r="X240" s="372"/>
    </row>
    <row r="241" spans="3:24" x14ac:dyDescent="0.2">
      <c r="C241" s="387" t="s">
        <v>206</v>
      </c>
      <c r="D241" s="388">
        <v>1.02</v>
      </c>
      <c r="E241" s="347"/>
      <c r="F241" s="389"/>
      <c r="X241" s="372"/>
    </row>
    <row r="242" spans="3:24" x14ac:dyDescent="0.2">
      <c r="C242" s="387" t="s">
        <v>207</v>
      </c>
      <c r="D242" s="388">
        <v>1.1599999999999999</v>
      </c>
      <c r="E242" s="347"/>
      <c r="F242" s="389"/>
      <c r="X242" s="372"/>
    </row>
    <row r="243" spans="3:24" x14ac:dyDescent="0.2">
      <c r="C243" s="387" t="s">
        <v>208</v>
      </c>
      <c r="D243" s="388">
        <v>1.32</v>
      </c>
      <c r="E243" s="347"/>
      <c r="F243" s="389"/>
    </row>
    <row r="244" spans="3:24" x14ac:dyDescent="0.2">
      <c r="C244" s="387" t="s">
        <v>209</v>
      </c>
      <c r="D244" s="388">
        <v>1.43</v>
      </c>
      <c r="E244" s="347"/>
      <c r="F244" s="389"/>
    </row>
    <row r="245" spans="3:24" x14ac:dyDescent="0.2">
      <c r="C245" s="387" t="s">
        <v>210</v>
      </c>
      <c r="D245" s="390">
        <v>0.91</v>
      </c>
      <c r="E245" s="347"/>
      <c r="F245" s="389"/>
    </row>
    <row r="246" spans="3:24" x14ac:dyDescent="0.2">
      <c r="C246" s="387" t="s">
        <v>211</v>
      </c>
      <c r="D246" s="390">
        <v>1</v>
      </c>
      <c r="E246" s="348"/>
      <c r="F246" s="391"/>
    </row>
    <row r="247" spans="3:24" x14ac:dyDescent="0.2">
      <c r="C247" s="387" t="s">
        <v>212</v>
      </c>
      <c r="D247" s="390">
        <v>1.1599999999999999</v>
      </c>
      <c r="E247" s="347"/>
      <c r="F247" s="389"/>
    </row>
    <row r="248" spans="3:24" x14ac:dyDescent="0.2">
      <c r="C248" s="387" t="s">
        <v>213</v>
      </c>
      <c r="D248" s="390">
        <v>1.32</v>
      </c>
      <c r="E248" s="347"/>
      <c r="F248" s="389"/>
    </row>
    <row r="249" spans="3:24" x14ac:dyDescent="0.2">
      <c r="C249" s="387" t="s">
        <v>214</v>
      </c>
      <c r="D249" s="390">
        <v>1.43</v>
      </c>
      <c r="E249" s="347"/>
      <c r="F249" s="389"/>
    </row>
    <row r="250" spans="3:24" x14ac:dyDescent="0.2">
      <c r="C250" s="426" t="s">
        <v>250</v>
      </c>
      <c r="D250" s="390">
        <v>0.46002883550688978</v>
      </c>
      <c r="E250" s="347"/>
      <c r="F250" s="389"/>
    </row>
    <row r="251" spans="3:24" x14ac:dyDescent="0.2">
      <c r="C251" s="426" t="s">
        <v>251</v>
      </c>
      <c r="D251" s="390">
        <v>0.4991802257627953</v>
      </c>
      <c r="E251" s="347"/>
      <c r="F251" s="389"/>
    </row>
    <row r="252" spans="3:24" x14ac:dyDescent="0.2">
      <c r="C252" s="426" t="s">
        <v>252</v>
      </c>
      <c r="D252" s="390">
        <v>0.51875592089074807</v>
      </c>
      <c r="E252" s="347"/>
      <c r="F252" s="389"/>
    </row>
    <row r="253" spans="3:24" x14ac:dyDescent="0.2">
      <c r="C253" s="387">
        <v>1</v>
      </c>
      <c r="D253" s="390">
        <v>0.46</v>
      </c>
      <c r="E253" s="347"/>
      <c r="F253" s="389"/>
    </row>
    <row r="254" spans="3:24" x14ac:dyDescent="0.2">
      <c r="C254" s="387">
        <v>2</v>
      </c>
      <c r="D254" s="390">
        <v>0.5</v>
      </c>
      <c r="E254" s="347"/>
      <c r="F254" s="389"/>
    </row>
    <row r="255" spans="3:24" x14ac:dyDescent="0.2">
      <c r="C255" s="387">
        <v>3</v>
      </c>
      <c r="D255" s="390">
        <v>0.55000000000000004</v>
      </c>
      <c r="E255" s="347"/>
      <c r="F255" s="389"/>
    </row>
    <row r="256" spans="3:24" x14ac:dyDescent="0.2">
      <c r="C256" s="387">
        <v>4</v>
      </c>
      <c r="D256" s="390">
        <v>0.57999999999999996</v>
      </c>
      <c r="E256" s="347"/>
      <c r="F256" s="389"/>
    </row>
    <row r="257" spans="3:6" x14ac:dyDescent="0.2">
      <c r="C257" s="387">
        <v>5</v>
      </c>
      <c r="D257" s="390">
        <v>0.61</v>
      </c>
      <c r="E257" s="347"/>
      <c r="F257" s="389"/>
    </row>
    <row r="258" spans="3:6" x14ac:dyDescent="0.2">
      <c r="C258" s="387">
        <v>6</v>
      </c>
      <c r="D258" s="390">
        <v>0.64</v>
      </c>
      <c r="E258" s="347"/>
      <c r="F258" s="389"/>
    </row>
    <row r="259" spans="3:6" x14ac:dyDescent="0.2">
      <c r="C259" s="387">
        <v>7</v>
      </c>
      <c r="D259" s="388">
        <v>0.69</v>
      </c>
      <c r="E259" s="347"/>
      <c r="F259" s="389"/>
    </row>
    <row r="260" spans="3:6" x14ac:dyDescent="0.2">
      <c r="C260" s="387">
        <v>8</v>
      </c>
      <c r="D260" s="388">
        <v>0.79</v>
      </c>
      <c r="E260" s="347"/>
      <c r="F260" s="389"/>
    </row>
    <row r="261" spans="3:6" x14ac:dyDescent="0.2">
      <c r="C261" s="387">
        <v>9</v>
      </c>
      <c r="D261" s="388">
        <v>0.9</v>
      </c>
      <c r="E261" s="347"/>
      <c r="F261" s="389"/>
    </row>
    <row r="262" spans="3:6" x14ac:dyDescent="0.2">
      <c r="C262" s="387">
        <v>10</v>
      </c>
      <c r="D262" s="388">
        <v>0.99</v>
      </c>
      <c r="E262" s="347"/>
      <c r="F262" s="389"/>
    </row>
    <row r="263" spans="3:6" x14ac:dyDescent="0.2">
      <c r="C263" s="387">
        <v>11</v>
      </c>
      <c r="D263" s="388">
        <v>1.1499999999999999</v>
      </c>
      <c r="E263" s="347"/>
      <c r="F263" s="389"/>
    </row>
    <row r="264" spans="3:6" x14ac:dyDescent="0.2">
      <c r="C264" s="387">
        <v>12</v>
      </c>
      <c r="D264" s="388">
        <v>1.31</v>
      </c>
      <c r="E264" s="347"/>
      <c r="F264" s="389"/>
    </row>
    <row r="265" spans="3:6" x14ac:dyDescent="0.2">
      <c r="C265" s="387">
        <v>13</v>
      </c>
      <c r="D265" s="388">
        <v>1.42</v>
      </c>
      <c r="E265" s="347"/>
      <c r="F265" s="389"/>
    </row>
    <row r="266" spans="3:6" x14ac:dyDescent="0.2">
      <c r="C266" s="387">
        <v>14</v>
      </c>
      <c r="D266" s="388">
        <v>1.57</v>
      </c>
    </row>
    <row r="267" spans="3:6" x14ac:dyDescent="0.2">
      <c r="C267" s="387">
        <v>15</v>
      </c>
      <c r="D267" s="388">
        <v>1.74</v>
      </c>
    </row>
    <row r="268" spans="3:6" x14ac:dyDescent="0.2">
      <c r="C268" s="387">
        <v>16</v>
      </c>
      <c r="D268" s="388">
        <v>1.91</v>
      </c>
    </row>
    <row r="269" spans="3:6" x14ac:dyDescent="0.2">
      <c r="C269" s="387" t="s">
        <v>215</v>
      </c>
      <c r="D269" s="388">
        <v>0.31</v>
      </c>
    </row>
    <row r="270" spans="3:6" x14ac:dyDescent="0.2">
      <c r="C270" s="387" t="s">
        <v>216</v>
      </c>
      <c r="D270" s="388">
        <v>0.32</v>
      </c>
    </row>
  </sheetData>
  <sheetProtection algorithmName="SHA-512" hashValue="uVTX5rA2dwhMk1ZJvCGlZHpivFABBhC1nkN6eUCVWQdtst1oBw24W24r++V2fMOiVlmZ0TybFC7yh8kPn7eVIA==" saltValue="2sP7Hntjg60zTZh3GcqL9w==" spinCount="100000" sheet="1" objects="1" scenarios="1"/>
  <phoneticPr fontId="0" type="noConversion"/>
  <printOptions headings="1" gridLines="1"/>
  <pageMargins left="0.74803149606299213" right="0.74803149606299213" top="0.98425196850393704" bottom="0.98425196850393704" header="0.51181102362204722" footer="0.51181102362204722"/>
  <pageSetup paperSize="9" scale="47" orientation="landscape" r:id="rId1"/>
  <headerFooter alignWithMargins="0">
    <oddHeader>&amp;L&amp;"Arial,Vet"&amp;9&amp;F&amp;R&amp;"Arial,Vet"&amp;9&amp;A</oddHeader>
    <oddFooter>&amp;L&amp;"Arial,Vet"&amp;9keizer / goedhart&amp;C&amp;"Arial,Vet"&amp;9pagina &amp;P&amp;R&amp;"Arial,Vet"&amp;9&amp;D</oddFooter>
  </headerFooter>
  <rowBreaks count="1" manualBreakCount="1">
    <brk id="61" max="11"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231"/>
  <sheetViews>
    <sheetView showGridLines="0" tabSelected="1" zoomScale="85" zoomScaleNormal="85" zoomScaleSheetLayoutView="85" workbookViewId="0">
      <selection activeCell="B2" sqref="B2"/>
    </sheetView>
  </sheetViews>
  <sheetFormatPr defaultColWidth="9.140625" defaultRowHeight="13.15" customHeight="1" x14ac:dyDescent="0.2"/>
  <cols>
    <col min="1" max="1" width="3.7109375" style="651" customWidth="1"/>
    <col min="2" max="3" width="2.7109375" style="196" customWidth="1"/>
    <col min="4" max="4" width="51" style="196" customWidth="1"/>
    <col min="5" max="5" width="2.7109375" style="196" customWidth="1"/>
    <col min="6" max="6" width="12.7109375" style="201" hidden="1" customWidth="1"/>
    <col min="7" max="13" width="12.7109375" style="201" customWidth="1"/>
    <col min="14" max="15" width="2.7109375" style="196" customWidth="1"/>
    <col min="16" max="44" width="9.140625" style="523"/>
    <col min="45" max="16384" width="9.140625" style="196"/>
  </cols>
  <sheetData>
    <row r="1" spans="1:44" s="523" customFormat="1" ht="13.15" customHeight="1" x14ac:dyDescent="0.2">
      <c r="A1" s="651"/>
      <c r="F1" s="524"/>
      <c r="G1" s="524"/>
      <c r="H1" s="524"/>
      <c r="I1" s="524"/>
      <c r="J1" s="524"/>
      <c r="K1" s="524"/>
      <c r="L1" s="524"/>
      <c r="M1" s="524"/>
    </row>
    <row r="2" spans="1:44" ht="13.15" customHeight="1" x14ac:dyDescent="0.2">
      <c r="B2" s="23"/>
      <c r="C2" s="24"/>
      <c r="D2" s="24"/>
      <c r="E2" s="24"/>
      <c r="F2" s="202"/>
      <c r="G2" s="202"/>
      <c r="H2" s="202"/>
      <c r="I2" s="202"/>
      <c r="J2" s="202"/>
      <c r="K2" s="202"/>
      <c r="L2" s="202"/>
      <c r="M2" s="966"/>
      <c r="N2" s="24"/>
      <c r="O2" s="436"/>
      <c r="R2" s="526"/>
    </row>
    <row r="3" spans="1:44" ht="13.15" customHeight="1" x14ac:dyDescent="0.2">
      <c r="B3" s="26"/>
      <c r="C3" s="27"/>
      <c r="D3" s="650"/>
      <c r="E3" s="27"/>
      <c r="F3" s="29"/>
      <c r="G3" s="29"/>
      <c r="H3" s="29"/>
      <c r="I3" s="29"/>
      <c r="J3" s="29"/>
      <c r="K3" s="29"/>
      <c r="L3" s="29"/>
      <c r="M3" s="29"/>
      <c r="N3" s="27"/>
      <c r="O3" s="30"/>
    </row>
    <row r="4" spans="1:44" s="198" customFormat="1" ht="18" customHeight="1" x14ac:dyDescent="0.3">
      <c r="A4" s="652"/>
      <c r="B4" s="203"/>
      <c r="C4" s="204" t="s">
        <v>47</v>
      </c>
      <c r="D4" s="204"/>
      <c r="E4" s="204"/>
      <c r="F4" s="205"/>
      <c r="G4" s="205"/>
      <c r="H4" s="205"/>
      <c r="I4" s="205"/>
      <c r="J4" s="205"/>
      <c r="K4" s="205"/>
      <c r="L4" s="205"/>
      <c r="M4" s="205"/>
      <c r="N4" s="204"/>
      <c r="O4" s="206"/>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row>
    <row r="5" spans="1:44" s="743" customFormat="1" ht="16.899999999999999" customHeight="1" x14ac:dyDescent="0.25">
      <c r="A5" s="764"/>
      <c r="B5" s="258"/>
      <c r="C5" s="259" t="str">
        <f>G8</f>
        <v>SWV PO Passend Onderwijs</v>
      </c>
      <c r="D5" s="111"/>
      <c r="E5" s="259"/>
      <c r="F5" s="742"/>
      <c r="G5" s="742"/>
      <c r="H5" s="742"/>
      <c r="I5" s="742"/>
      <c r="J5" s="742"/>
      <c r="K5" s="742"/>
      <c r="L5" s="742"/>
      <c r="M5" s="742"/>
      <c r="N5" s="259"/>
      <c r="O5" s="269"/>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row>
    <row r="6" spans="1:44" ht="13.15" customHeight="1" x14ac:dyDescent="0.2">
      <c r="B6" s="26"/>
      <c r="C6" s="27"/>
      <c r="D6" s="28"/>
      <c r="E6" s="27"/>
      <c r="F6" s="29"/>
      <c r="G6" s="29"/>
      <c r="H6" s="29"/>
      <c r="I6" s="29"/>
      <c r="J6" s="29"/>
      <c r="K6" s="29"/>
      <c r="L6" s="29"/>
      <c r="M6" s="29"/>
      <c r="N6" s="27"/>
      <c r="O6" s="30"/>
    </row>
    <row r="7" spans="1:44" ht="13.15" customHeight="1" x14ac:dyDescent="0.2">
      <c r="B7" s="26"/>
      <c r="C7" s="1037"/>
      <c r="D7" s="1038"/>
      <c r="E7" s="1037"/>
      <c r="F7" s="1037"/>
      <c r="G7" s="1044"/>
      <c r="H7" s="1044"/>
      <c r="I7" s="1039"/>
      <c r="J7" s="1039"/>
      <c r="K7" s="1039"/>
      <c r="L7" s="1039"/>
      <c r="M7" s="1039"/>
      <c r="N7" s="1037"/>
      <c r="O7" s="30"/>
    </row>
    <row r="8" spans="1:44" ht="13.15" customHeight="1" x14ac:dyDescent="0.2">
      <c r="B8" s="26"/>
      <c r="C8" s="1037"/>
      <c r="D8" s="1040" t="s">
        <v>626</v>
      </c>
      <c r="E8" s="1037"/>
      <c r="F8" s="1042"/>
      <c r="G8" s="1046" t="s">
        <v>853</v>
      </c>
      <c r="H8" s="1047"/>
      <c r="I8" s="1043"/>
      <c r="J8" s="1041"/>
      <c r="K8" s="1041"/>
      <c r="L8" s="1041"/>
      <c r="M8" s="1041"/>
      <c r="N8" s="1037"/>
      <c r="O8" s="30"/>
    </row>
    <row r="9" spans="1:44" ht="13.15" customHeight="1" x14ac:dyDescent="0.2">
      <c r="B9" s="26"/>
      <c r="C9" s="1037"/>
      <c r="D9" s="1040" t="s">
        <v>169</v>
      </c>
      <c r="E9" s="1037"/>
      <c r="F9" s="1042"/>
      <c r="G9" s="1046" t="s">
        <v>1047</v>
      </c>
      <c r="H9" s="1048"/>
      <c r="I9" s="1043"/>
      <c r="J9" s="1041"/>
      <c r="K9" s="1041"/>
      <c r="L9" s="1041"/>
      <c r="M9" s="1041"/>
      <c r="N9" s="1037"/>
      <c r="O9" s="30"/>
    </row>
    <row r="10" spans="1:44" ht="13.15" customHeight="1" x14ac:dyDescent="0.2">
      <c r="B10" s="26"/>
      <c r="C10" s="1037"/>
      <c r="D10" s="1037"/>
      <c r="E10" s="1037"/>
      <c r="F10" s="1037"/>
      <c r="G10" s="1045"/>
      <c r="H10" s="1045"/>
      <c r="I10" s="1037"/>
      <c r="J10" s="1037"/>
      <c r="K10" s="1037"/>
      <c r="L10" s="1037"/>
      <c r="M10" s="1037"/>
      <c r="N10" s="1037"/>
      <c r="O10" s="30"/>
    </row>
    <row r="11" spans="1:44" ht="13.15" customHeight="1" x14ac:dyDescent="0.2">
      <c r="B11" s="26"/>
      <c r="C11" s="27"/>
      <c r="D11" s="28"/>
      <c r="E11" s="27"/>
      <c r="F11" s="29"/>
      <c r="G11" s="29"/>
      <c r="H11" s="29"/>
      <c r="I11" s="29"/>
      <c r="J11" s="29"/>
      <c r="K11" s="29"/>
      <c r="L11" s="29"/>
      <c r="M11" s="29"/>
      <c r="N11" s="27"/>
      <c r="O11" s="30"/>
    </row>
    <row r="12" spans="1:44" ht="13.15" customHeight="1" x14ac:dyDescent="0.2">
      <c r="B12" s="26"/>
      <c r="C12" s="27"/>
      <c r="D12" s="658" t="s">
        <v>255</v>
      </c>
      <c r="E12" s="659"/>
      <c r="F12" s="660" t="e">
        <f>tab!#REF!</f>
        <v>#REF!</v>
      </c>
      <c r="G12" s="660" t="str">
        <f>tab!C2</f>
        <v>2015/16</v>
      </c>
      <c r="H12" s="660" t="str">
        <f>tab!D2</f>
        <v>2016/17</v>
      </c>
      <c r="I12" s="660" t="str">
        <f>tab!E2</f>
        <v>2017/18</v>
      </c>
      <c r="J12" s="660" t="str">
        <f>tab!F2</f>
        <v>2018/19</v>
      </c>
      <c r="K12" s="660" t="str">
        <f>tab!G2</f>
        <v>2019/20</v>
      </c>
      <c r="L12" s="660" t="str">
        <f>tab!H2</f>
        <v>2020/21</v>
      </c>
      <c r="M12" s="660" t="str">
        <f>tab!I2</f>
        <v>2021/22</v>
      </c>
      <c r="N12" s="27"/>
      <c r="O12" s="30"/>
    </row>
    <row r="13" spans="1:44" ht="13.15" customHeight="1" x14ac:dyDescent="0.2">
      <c r="B13" s="26"/>
      <c r="C13" s="27"/>
      <c r="D13" s="658" t="s">
        <v>401</v>
      </c>
      <c r="E13" s="659"/>
      <c r="F13" s="661">
        <f>G13-1</f>
        <v>2013</v>
      </c>
      <c r="G13" s="661">
        <f>2014</f>
        <v>2014</v>
      </c>
      <c r="H13" s="661">
        <f t="shared" ref="H13:M13" si="0">G13+1</f>
        <v>2015</v>
      </c>
      <c r="I13" s="661">
        <f t="shared" si="0"/>
        <v>2016</v>
      </c>
      <c r="J13" s="661">
        <f t="shared" si="0"/>
        <v>2017</v>
      </c>
      <c r="K13" s="661">
        <f t="shared" si="0"/>
        <v>2018</v>
      </c>
      <c r="L13" s="661">
        <f t="shared" si="0"/>
        <v>2019</v>
      </c>
      <c r="M13" s="661">
        <f t="shared" si="0"/>
        <v>2020</v>
      </c>
      <c r="N13" s="27"/>
      <c r="O13" s="30"/>
    </row>
    <row r="14" spans="1:44" ht="13.15" customHeight="1" x14ac:dyDescent="0.2">
      <c r="B14" s="26"/>
      <c r="C14" s="27"/>
      <c r="D14" s="28"/>
      <c r="E14" s="27"/>
      <c r="F14" s="29"/>
      <c r="G14" s="29"/>
      <c r="H14" s="29"/>
      <c r="I14" s="29"/>
      <c r="J14" s="29"/>
      <c r="K14" s="29"/>
      <c r="L14" s="29"/>
      <c r="M14" s="29"/>
      <c r="N14" s="27"/>
      <c r="O14" s="30"/>
    </row>
    <row r="15" spans="1:44" ht="13.15" customHeight="1" x14ac:dyDescent="0.2">
      <c r="B15" s="26"/>
      <c r="C15" s="1037"/>
      <c r="D15" s="1037"/>
      <c r="E15" s="1037"/>
      <c r="F15" s="1039"/>
      <c r="G15" s="1039"/>
      <c r="H15" s="1039"/>
      <c r="I15" s="1039"/>
      <c r="J15" s="1039"/>
      <c r="K15" s="1039"/>
      <c r="L15" s="1039"/>
      <c r="M15" s="1039"/>
      <c r="N15" s="1037"/>
      <c r="O15" s="30"/>
    </row>
    <row r="16" spans="1:44" ht="13.15" customHeight="1" x14ac:dyDescent="0.2">
      <c r="B16" s="26"/>
      <c r="C16" s="1037"/>
      <c r="D16" s="1049" t="s">
        <v>351</v>
      </c>
      <c r="E16" s="1037"/>
      <c r="F16" s="1039"/>
      <c r="G16" s="1039"/>
      <c r="H16" s="1039"/>
      <c r="I16" s="1039"/>
      <c r="J16" s="1039"/>
      <c r="K16" s="1039"/>
      <c r="L16" s="1039"/>
      <c r="M16" s="1039"/>
      <c r="N16" s="1037"/>
      <c r="O16" s="30"/>
    </row>
    <row r="17" spans="2:17" ht="13.15" customHeight="1" x14ac:dyDescent="0.2">
      <c r="B17" s="26"/>
      <c r="C17" s="1037"/>
      <c r="D17" s="1037" t="s">
        <v>316</v>
      </c>
      <c r="E17" s="1037"/>
      <c r="F17" s="1050">
        <v>10000</v>
      </c>
      <c r="G17" s="1065">
        <v>0</v>
      </c>
      <c r="H17" s="1065">
        <v>0</v>
      </c>
      <c r="I17" s="1065">
        <f t="shared" ref="H17:M18" si="1">H17</f>
        <v>0</v>
      </c>
      <c r="J17" s="1065">
        <f t="shared" si="1"/>
        <v>0</v>
      </c>
      <c r="K17" s="1065">
        <f t="shared" si="1"/>
        <v>0</v>
      </c>
      <c r="L17" s="1065">
        <f t="shared" si="1"/>
        <v>0</v>
      </c>
      <c r="M17" s="1065">
        <f t="shared" si="1"/>
        <v>0</v>
      </c>
      <c r="N17" s="1037"/>
      <c r="O17" s="30"/>
    </row>
    <row r="18" spans="2:17" ht="13.15" customHeight="1" x14ac:dyDescent="0.2">
      <c r="B18" s="26"/>
      <c r="C18" s="1037"/>
      <c r="D18" s="1037" t="s">
        <v>399</v>
      </c>
      <c r="E18" s="1037"/>
      <c r="F18" s="1050">
        <v>100</v>
      </c>
      <c r="G18" s="1065">
        <v>0</v>
      </c>
      <c r="H18" s="1065">
        <v>0</v>
      </c>
      <c r="I18" s="1065">
        <f t="shared" si="1"/>
        <v>0</v>
      </c>
      <c r="J18" s="1065">
        <f t="shared" si="1"/>
        <v>0</v>
      </c>
      <c r="K18" s="1065">
        <f t="shared" si="1"/>
        <v>0</v>
      </c>
      <c r="L18" s="1065">
        <f t="shared" si="1"/>
        <v>0</v>
      </c>
      <c r="M18" s="1065">
        <f t="shared" si="1"/>
        <v>0</v>
      </c>
      <c r="N18" s="1037"/>
      <c r="O18" s="30"/>
      <c r="Q18" s="656"/>
    </row>
    <row r="19" spans="2:17" ht="13.15" customHeight="1" x14ac:dyDescent="0.2">
      <c r="B19" s="26"/>
      <c r="C19" s="1037"/>
      <c r="D19" s="1037"/>
      <c r="E19" s="1037"/>
      <c r="F19" s="1039"/>
      <c r="G19" s="1039"/>
      <c r="H19" s="1039"/>
      <c r="I19" s="1039"/>
      <c r="J19" s="1039"/>
      <c r="K19" s="1039"/>
      <c r="L19" s="1039"/>
      <c r="M19" s="1039"/>
      <c r="N19" s="1037"/>
      <c r="O19" s="30"/>
    </row>
    <row r="20" spans="2:17" ht="13.15" customHeight="1" x14ac:dyDescent="0.2">
      <c r="B20" s="26"/>
      <c r="C20" s="1037"/>
      <c r="D20" s="1037" t="s">
        <v>320</v>
      </c>
      <c r="E20" s="1037"/>
      <c r="F20" s="1039"/>
      <c r="G20" s="1039"/>
      <c r="H20" s="1039"/>
      <c r="I20" s="1039"/>
      <c r="J20" s="1039"/>
      <c r="K20" s="1039"/>
      <c r="L20" s="1039"/>
      <c r="M20" s="1039"/>
      <c r="N20" s="1037"/>
      <c r="O20" s="30"/>
    </row>
    <row r="21" spans="2:17" ht="13.15" customHeight="1" x14ac:dyDescent="0.2">
      <c r="B21" s="26"/>
      <c r="C21" s="1037"/>
      <c r="D21" s="1051" t="s">
        <v>695</v>
      </c>
      <c r="E21" s="1037"/>
      <c r="F21" s="1052">
        <v>222</v>
      </c>
      <c r="G21" s="1065">
        <v>0</v>
      </c>
      <c r="H21" s="1065">
        <v>0</v>
      </c>
      <c r="I21" s="1065">
        <f t="shared" ref="G21:M24" si="2">H21</f>
        <v>0</v>
      </c>
      <c r="J21" s="1065">
        <f t="shared" si="2"/>
        <v>0</v>
      </c>
      <c r="K21" s="1065">
        <f t="shared" si="2"/>
        <v>0</v>
      </c>
      <c r="L21" s="1065">
        <f t="shared" si="2"/>
        <v>0</v>
      </c>
      <c r="M21" s="1065">
        <f t="shared" si="2"/>
        <v>0</v>
      </c>
      <c r="N21" s="1037"/>
      <c r="O21" s="30"/>
    </row>
    <row r="22" spans="2:17" ht="13.15" customHeight="1" x14ac:dyDescent="0.2">
      <c r="B22" s="26"/>
      <c r="C22" s="1037"/>
      <c r="D22" s="1051" t="s">
        <v>696</v>
      </c>
      <c r="E22" s="1037"/>
      <c r="F22" s="1052">
        <v>0</v>
      </c>
      <c r="G22" s="1065">
        <f t="shared" si="2"/>
        <v>0</v>
      </c>
      <c r="H22" s="1065">
        <v>0</v>
      </c>
      <c r="I22" s="1065">
        <f t="shared" si="2"/>
        <v>0</v>
      </c>
      <c r="J22" s="1065">
        <f t="shared" si="2"/>
        <v>0</v>
      </c>
      <c r="K22" s="1065">
        <f t="shared" si="2"/>
        <v>0</v>
      </c>
      <c r="L22" s="1065">
        <f t="shared" si="2"/>
        <v>0</v>
      </c>
      <c r="M22" s="1065">
        <f t="shared" si="2"/>
        <v>0</v>
      </c>
      <c r="N22" s="1037"/>
      <c r="O22" s="30"/>
    </row>
    <row r="23" spans="2:17" ht="13.15" customHeight="1" x14ac:dyDescent="0.2">
      <c r="B23" s="26"/>
      <c r="C23" s="1037"/>
      <c r="D23" s="1051" t="s">
        <v>697</v>
      </c>
      <c r="E23" s="1037"/>
      <c r="F23" s="1052">
        <v>0</v>
      </c>
      <c r="G23" s="1065">
        <f>F23</f>
        <v>0</v>
      </c>
      <c r="H23" s="1065">
        <v>0</v>
      </c>
      <c r="I23" s="1065">
        <f t="shared" si="2"/>
        <v>0</v>
      </c>
      <c r="J23" s="1065">
        <f t="shared" si="2"/>
        <v>0</v>
      </c>
      <c r="K23" s="1065">
        <f t="shared" si="2"/>
        <v>0</v>
      </c>
      <c r="L23" s="1065">
        <f t="shared" si="2"/>
        <v>0</v>
      </c>
      <c r="M23" s="1065">
        <f t="shared" si="2"/>
        <v>0</v>
      </c>
      <c r="N23" s="1037"/>
      <c r="O23" s="30"/>
    </row>
    <row r="24" spans="2:17" ht="13.15" customHeight="1" x14ac:dyDescent="0.2">
      <c r="B24" s="26"/>
      <c r="C24" s="1037"/>
      <c r="D24" s="1051" t="s">
        <v>698</v>
      </c>
      <c r="E24" s="1037"/>
      <c r="F24" s="1052">
        <v>0</v>
      </c>
      <c r="G24" s="1065">
        <f t="shared" si="2"/>
        <v>0</v>
      </c>
      <c r="H24" s="1065">
        <v>0</v>
      </c>
      <c r="I24" s="1065">
        <f t="shared" si="2"/>
        <v>0</v>
      </c>
      <c r="J24" s="1065">
        <f t="shared" si="2"/>
        <v>0</v>
      </c>
      <c r="K24" s="1065">
        <f t="shared" si="2"/>
        <v>0</v>
      </c>
      <c r="L24" s="1065">
        <f t="shared" si="2"/>
        <v>0</v>
      </c>
      <c r="M24" s="1065">
        <f t="shared" si="2"/>
        <v>0</v>
      </c>
      <c r="N24" s="1037"/>
      <c r="O24" s="30"/>
    </row>
    <row r="25" spans="2:17" ht="13.15" customHeight="1" x14ac:dyDescent="0.2">
      <c r="B25" s="26"/>
      <c r="C25" s="1037"/>
      <c r="D25" s="1051" t="s">
        <v>699</v>
      </c>
      <c r="E25" s="1037"/>
      <c r="F25" s="1052">
        <v>0</v>
      </c>
      <c r="G25" s="1065">
        <f t="shared" ref="G25:M26" si="3">F25</f>
        <v>0</v>
      </c>
      <c r="H25" s="1065">
        <v>0</v>
      </c>
      <c r="I25" s="1065">
        <f t="shared" si="3"/>
        <v>0</v>
      </c>
      <c r="J25" s="1065">
        <f t="shared" si="3"/>
        <v>0</v>
      </c>
      <c r="K25" s="1065">
        <f t="shared" si="3"/>
        <v>0</v>
      </c>
      <c r="L25" s="1065">
        <f t="shared" si="3"/>
        <v>0</v>
      </c>
      <c r="M25" s="1065">
        <f t="shared" si="3"/>
        <v>0</v>
      </c>
      <c r="N25" s="1037"/>
      <c r="O25" s="30"/>
    </row>
    <row r="26" spans="2:17" ht="13.15" customHeight="1" x14ac:dyDescent="0.2">
      <c r="B26" s="26"/>
      <c r="C26" s="1037"/>
      <c r="D26" s="1051" t="s">
        <v>700</v>
      </c>
      <c r="E26" s="1037"/>
      <c r="F26" s="1052">
        <v>0</v>
      </c>
      <c r="G26" s="1065">
        <f t="shared" si="3"/>
        <v>0</v>
      </c>
      <c r="H26" s="1065">
        <v>0</v>
      </c>
      <c r="I26" s="1065">
        <f t="shared" si="3"/>
        <v>0</v>
      </c>
      <c r="J26" s="1065">
        <f t="shared" si="3"/>
        <v>0</v>
      </c>
      <c r="K26" s="1065">
        <f t="shared" si="3"/>
        <v>0</v>
      </c>
      <c r="L26" s="1065">
        <f t="shared" si="3"/>
        <v>0</v>
      </c>
      <c r="M26" s="1065">
        <f t="shared" si="3"/>
        <v>0</v>
      </c>
      <c r="N26" s="1037"/>
      <c r="O26" s="30"/>
    </row>
    <row r="27" spans="2:17" ht="13.15" customHeight="1" x14ac:dyDescent="0.2">
      <c r="B27" s="26"/>
      <c r="C27" s="1037"/>
      <c r="D27" s="1051" t="s">
        <v>701</v>
      </c>
      <c r="E27" s="1037"/>
      <c r="F27" s="1052">
        <v>0</v>
      </c>
      <c r="G27" s="1065">
        <f t="shared" ref="G27:M35" si="4">F27</f>
        <v>0</v>
      </c>
      <c r="H27" s="1065">
        <v>0</v>
      </c>
      <c r="I27" s="1065">
        <f t="shared" si="4"/>
        <v>0</v>
      </c>
      <c r="J27" s="1065">
        <f t="shared" si="4"/>
        <v>0</v>
      </c>
      <c r="K27" s="1065">
        <f t="shared" si="4"/>
        <v>0</v>
      </c>
      <c r="L27" s="1065">
        <f t="shared" si="4"/>
        <v>0</v>
      </c>
      <c r="M27" s="1065">
        <f t="shared" si="4"/>
        <v>0</v>
      </c>
      <c r="N27" s="1037"/>
      <c r="O27" s="30"/>
    </row>
    <row r="28" spans="2:17" ht="13.15" customHeight="1" x14ac:dyDescent="0.2">
      <c r="B28" s="26"/>
      <c r="C28" s="1037"/>
      <c r="D28" s="1051" t="s">
        <v>702</v>
      </c>
      <c r="E28" s="1037"/>
      <c r="F28" s="1052">
        <v>0</v>
      </c>
      <c r="G28" s="1065">
        <f t="shared" si="4"/>
        <v>0</v>
      </c>
      <c r="H28" s="1065">
        <v>0</v>
      </c>
      <c r="I28" s="1065">
        <f t="shared" si="4"/>
        <v>0</v>
      </c>
      <c r="J28" s="1065">
        <f t="shared" si="4"/>
        <v>0</v>
      </c>
      <c r="K28" s="1065">
        <f t="shared" si="4"/>
        <v>0</v>
      </c>
      <c r="L28" s="1065">
        <f t="shared" si="4"/>
        <v>0</v>
      </c>
      <c r="M28" s="1065">
        <f t="shared" si="4"/>
        <v>0</v>
      </c>
      <c r="N28" s="1037"/>
      <c r="O28" s="30"/>
    </row>
    <row r="29" spans="2:17" ht="13.15" customHeight="1" x14ac:dyDescent="0.2">
      <c r="B29" s="26"/>
      <c r="C29" s="1037"/>
      <c r="D29" s="1051" t="s">
        <v>703</v>
      </c>
      <c r="E29" s="1037"/>
      <c r="F29" s="1052">
        <v>0</v>
      </c>
      <c r="G29" s="1065">
        <f t="shared" si="4"/>
        <v>0</v>
      </c>
      <c r="H29" s="1065">
        <v>0</v>
      </c>
      <c r="I29" s="1065">
        <f t="shared" si="4"/>
        <v>0</v>
      </c>
      <c r="J29" s="1065">
        <f t="shared" si="4"/>
        <v>0</v>
      </c>
      <c r="K29" s="1065">
        <f t="shared" si="4"/>
        <v>0</v>
      </c>
      <c r="L29" s="1065">
        <f t="shared" si="4"/>
        <v>0</v>
      </c>
      <c r="M29" s="1065">
        <f t="shared" si="4"/>
        <v>0</v>
      </c>
      <c r="N29" s="1037"/>
      <c r="O29" s="30"/>
    </row>
    <row r="30" spans="2:17" ht="13.15" customHeight="1" x14ac:dyDescent="0.2">
      <c r="B30" s="26"/>
      <c r="C30" s="1037"/>
      <c r="D30" s="1051" t="s">
        <v>98</v>
      </c>
      <c r="E30" s="1037"/>
      <c r="F30" s="1052">
        <v>0</v>
      </c>
      <c r="G30" s="1065">
        <f t="shared" si="4"/>
        <v>0</v>
      </c>
      <c r="H30" s="1065">
        <v>0</v>
      </c>
      <c r="I30" s="1065">
        <f t="shared" si="4"/>
        <v>0</v>
      </c>
      <c r="J30" s="1065">
        <f t="shared" si="4"/>
        <v>0</v>
      </c>
      <c r="K30" s="1065">
        <f t="shared" si="4"/>
        <v>0</v>
      </c>
      <c r="L30" s="1065">
        <f t="shared" si="4"/>
        <v>0</v>
      </c>
      <c r="M30" s="1065">
        <f t="shared" si="4"/>
        <v>0</v>
      </c>
      <c r="N30" s="1037"/>
      <c r="O30" s="30"/>
    </row>
    <row r="31" spans="2:17" ht="13.15" customHeight="1" x14ac:dyDescent="0.2">
      <c r="B31" s="26"/>
      <c r="C31" s="1037"/>
      <c r="D31" s="1051" t="s">
        <v>99</v>
      </c>
      <c r="E31" s="1037"/>
      <c r="F31" s="1052">
        <v>0</v>
      </c>
      <c r="G31" s="1065">
        <f t="shared" si="4"/>
        <v>0</v>
      </c>
      <c r="H31" s="1065">
        <v>0</v>
      </c>
      <c r="I31" s="1065">
        <f t="shared" si="4"/>
        <v>0</v>
      </c>
      <c r="J31" s="1065">
        <f t="shared" si="4"/>
        <v>0</v>
      </c>
      <c r="K31" s="1065">
        <f t="shared" si="4"/>
        <v>0</v>
      </c>
      <c r="L31" s="1065">
        <f t="shared" si="4"/>
        <v>0</v>
      </c>
      <c r="M31" s="1065">
        <f t="shared" si="4"/>
        <v>0</v>
      </c>
      <c r="N31" s="1037"/>
      <c r="O31" s="30"/>
    </row>
    <row r="32" spans="2:17" ht="13.15" customHeight="1" x14ac:dyDescent="0.2">
      <c r="B32" s="26"/>
      <c r="C32" s="1037"/>
      <c r="D32" s="1051" t="s">
        <v>100</v>
      </c>
      <c r="E32" s="1037"/>
      <c r="F32" s="1052">
        <v>0</v>
      </c>
      <c r="G32" s="1065">
        <f t="shared" si="4"/>
        <v>0</v>
      </c>
      <c r="H32" s="1065">
        <v>0</v>
      </c>
      <c r="I32" s="1065">
        <f t="shared" si="4"/>
        <v>0</v>
      </c>
      <c r="J32" s="1065">
        <f t="shared" si="4"/>
        <v>0</v>
      </c>
      <c r="K32" s="1065">
        <f t="shared" si="4"/>
        <v>0</v>
      </c>
      <c r="L32" s="1065">
        <f t="shared" si="4"/>
        <v>0</v>
      </c>
      <c r="M32" s="1065">
        <f t="shared" si="4"/>
        <v>0</v>
      </c>
      <c r="N32" s="1037"/>
      <c r="O32" s="30"/>
    </row>
    <row r="33" spans="1:44" ht="13.15" customHeight="1" x14ac:dyDescent="0.2">
      <c r="B33" s="26"/>
      <c r="C33" s="1037"/>
      <c r="D33" s="1051" t="s">
        <v>101</v>
      </c>
      <c r="E33" s="1037"/>
      <c r="F33" s="1052">
        <v>0</v>
      </c>
      <c r="G33" s="1065">
        <f t="shared" si="4"/>
        <v>0</v>
      </c>
      <c r="H33" s="1065">
        <v>0</v>
      </c>
      <c r="I33" s="1065">
        <f t="shared" si="4"/>
        <v>0</v>
      </c>
      <c r="J33" s="1065">
        <f t="shared" si="4"/>
        <v>0</v>
      </c>
      <c r="K33" s="1065">
        <f t="shared" si="4"/>
        <v>0</v>
      </c>
      <c r="L33" s="1065">
        <f t="shared" si="4"/>
        <v>0</v>
      </c>
      <c r="M33" s="1065">
        <f t="shared" si="4"/>
        <v>0</v>
      </c>
      <c r="N33" s="1037"/>
      <c r="O33" s="30"/>
    </row>
    <row r="34" spans="1:44" ht="13.15" customHeight="1" x14ac:dyDescent="0.2">
      <c r="B34" s="26"/>
      <c r="C34" s="1037"/>
      <c r="D34" s="1051" t="s">
        <v>102</v>
      </c>
      <c r="E34" s="1037"/>
      <c r="F34" s="1052">
        <v>0</v>
      </c>
      <c r="G34" s="1065">
        <f t="shared" si="4"/>
        <v>0</v>
      </c>
      <c r="H34" s="1065">
        <v>0</v>
      </c>
      <c r="I34" s="1065">
        <f t="shared" si="4"/>
        <v>0</v>
      </c>
      <c r="J34" s="1065">
        <f t="shared" si="4"/>
        <v>0</v>
      </c>
      <c r="K34" s="1065">
        <f t="shared" si="4"/>
        <v>0</v>
      </c>
      <c r="L34" s="1065">
        <f t="shared" si="4"/>
        <v>0</v>
      </c>
      <c r="M34" s="1065">
        <f t="shared" si="4"/>
        <v>0</v>
      </c>
      <c r="N34" s="1037"/>
      <c r="O34" s="30"/>
    </row>
    <row r="35" spans="1:44" ht="13.15" customHeight="1" x14ac:dyDescent="0.2">
      <c r="B35" s="26"/>
      <c r="C35" s="1037"/>
      <c r="D35" s="1051" t="s">
        <v>103</v>
      </c>
      <c r="E35" s="1037"/>
      <c r="F35" s="1052">
        <v>0</v>
      </c>
      <c r="G35" s="1065">
        <f t="shared" si="4"/>
        <v>0</v>
      </c>
      <c r="H35" s="1065">
        <v>0</v>
      </c>
      <c r="I35" s="1065">
        <f t="shared" si="4"/>
        <v>0</v>
      </c>
      <c r="J35" s="1065">
        <f>I35</f>
        <v>0</v>
      </c>
      <c r="K35" s="1065">
        <f>J35</f>
        <v>0</v>
      </c>
      <c r="L35" s="1065">
        <f>K35</f>
        <v>0</v>
      </c>
      <c r="M35" s="1065">
        <f>L35</f>
        <v>0</v>
      </c>
      <c r="N35" s="1037"/>
      <c r="O35" s="30"/>
    </row>
    <row r="36" spans="1:44" s="199" customFormat="1" ht="13.15" customHeight="1" x14ac:dyDescent="0.2">
      <c r="A36" s="653"/>
      <c r="B36" s="34"/>
      <c r="C36" s="1053"/>
      <c r="D36" s="1053"/>
      <c r="E36" s="1053"/>
      <c r="F36" s="1054">
        <f t="shared" ref="F36:L36" si="5">SUM(F21:F35)</f>
        <v>222</v>
      </c>
      <c r="G36" s="1066">
        <f t="shared" si="5"/>
        <v>0</v>
      </c>
      <c r="H36" s="1066">
        <f t="shared" si="5"/>
        <v>0</v>
      </c>
      <c r="I36" s="1066">
        <f t="shared" si="5"/>
        <v>0</v>
      </c>
      <c r="J36" s="1066">
        <f t="shared" si="5"/>
        <v>0</v>
      </c>
      <c r="K36" s="1066">
        <f t="shared" si="5"/>
        <v>0</v>
      </c>
      <c r="L36" s="1066">
        <f t="shared" si="5"/>
        <v>0</v>
      </c>
      <c r="M36" s="1066">
        <f t="shared" ref="M36" si="6">SUM(M21:M35)</f>
        <v>0</v>
      </c>
      <c r="N36" s="1053"/>
      <c r="O36" s="35"/>
      <c r="P36" s="657"/>
      <c r="Q36" s="657"/>
      <c r="R36" s="657"/>
      <c r="S36" s="657"/>
      <c r="T36" s="657"/>
      <c r="U36" s="657"/>
      <c r="V36" s="657"/>
      <c r="W36" s="657"/>
      <c r="X36" s="657"/>
      <c r="Y36" s="657"/>
      <c r="Z36" s="657"/>
      <c r="AA36" s="657"/>
      <c r="AB36" s="657"/>
      <c r="AC36" s="657"/>
      <c r="AD36" s="657"/>
      <c r="AE36" s="657"/>
      <c r="AF36" s="657"/>
      <c r="AG36" s="657"/>
      <c r="AH36" s="657"/>
      <c r="AI36" s="657"/>
      <c r="AJ36" s="657"/>
      <c r="AK36" s="657"/>
      <c r="AL36" s="657"/>
      <c r="AM36" s="657"/>
      <c r="AN36" s="657"/>
      <c r="AO36" s="657"/>
      <c r="AP36" s="657"/>
      <c r="AQ36" s="657"/>
      <c r="AR36" s="657"/>
    </row>
    <row r="37" spans="1:44" ht="13.15" customHeight="1" x14ac:dyDescent="0.2">
      <c r="B37" s="26"/>
      <c r="C37" s="1037"/>
      <c r="D37" s="1037"/>
      <c r="E37" s="1037"/>
      <c r="F37" s="1039"/>
      <c r="G37" s="1039"/>
      <c r="H37" s="1039"/>
      <c r="I37" s="1039"/>
      <c r="J37" s="1039"/>
      <c r="K37" s="1039"/>
      <c r="L37" s="1039"/>
      <c r="M37" s="1039"/>
      <c r="N37" s="1037"/>
      <c r="O37" s="30"/>
    </row>
    <row r="38" spans="1:44" s="200" customFormat="1" ht="13.15" customHeight="1" x14ac:dyDescent="0.2">
      <c r="A38" s="654"/>
      <c r="B38" s="207"/>
      <c r="C38" s="1038"/>
      <c r="D38" s="1000" t="s">
        <v>468</v>
      </c>
      <c r="E38" s="1038"/>
      <c r="F38" s="1055">
        <f t="shared" ref="F38:L38" si="7">+F17+F36</f>
        <v>10222</v>
      </c>
      <c r="G38" s="1067">
        <f t="shared" si="7"/>
        <v>0</v>
      </c>
      <c r="H38" s="1067">
        <f t="shared" si="7"/>
        <v>0</v>
      </c>
      <c r="I38" s="1067">
        <f t="shared" si="7"/>
        <v>0</v>
      </c>
      <c r="J38" s="1067">
        <f t="shared" si="7"/>
        <v>0</v>
      </c>
      <c r="K38" s="1067">
        <f t="shared" si="7"/>
        <v>0</v>
      </c>
      <c r="L38" s="1067">
        <f t="shared" si="7"/>
        <v>0</v>
      </c>
      <c r="M38" s="1067">
        <f t="shared" ref="M38" si="8">+M17+M36</f>
        <v>0</v>
      </c>
      <c r="N38" s="1038"/>
      <c r="O38" s="208"/>
      <c r="P38" s="525"/>
      <c r="Q38" s="525"/>
      <c r="R38" s="525"/>
      <c r="S38" s="525"/>
      <c r="T38" s="525"/>
      <c r="U38" s="525"/>
      <c r="V38" s="525"/>
      <c r="W38" s="525"/>
      <c r="X38" s="525"/>
      <c r="Y38" s="525"/>
      <c r="Z38" s="525"/>
      <c r="AA38" s="525"/>
      <c r="AB38" s="525"/>
      <c r="AC38" s="525"/>
      <c r="AD38" s="525"/>
      <c r="AE38" s="525"/>
      <c r="AF38" s="525"/>
      <c r="AG38" s="525"/>
      <c r="AH38" s="525"/>
      <c r="AI38" s="525"/>
      <c r="AJ38" s="525"/>
      <c r="AK38" s="525"/>
      <c r="AL38" s="525"/>
      <c r="AM38" s="525"/>
      <c r="AN38" s="525"/>
      <c r="AO38" s="525"/>
      <c r="AP38" s="525"/>
      <c r="AQ38" s="525"/>
      <c r="AR38" s="525"/>
    </row>
    <row r="39" spans="1:44" ht="13.15" customHeight="1" x14ac:dyDescent="0.2">
      <c r="B39" s="26"/>
      <c r="C39" s="1037"/>
      <c r="D39" s="1037"/>
      <c r="E39" s="1037"/>
      <c r="F39" s="1039"/>
      <c r="G39" s="1039"/>
      <c r="H39" s="1039"/>
      <c r="I39" s="1039"/>
      <c r="J39" s="1039"/>
      <c r="K39" s="1039"/>
      <c r="L39" s="1039"/>
      <c r="M39" s="1039"/>
      <c r="N39" s="1037"/>
      <c r="O39" s="30"/>
    </row>
    <row r="40" spans="1:44" ht="13.15" customHeight="1" x14ac:dyDescent="0.2">
      <c r="B40" s="26"/>
      <c r="C40" s="1037"/>
      <c r="D40" s="1037" t="s">
        <v>318</v>
      </c>
      <c r="E40" s="1037"/>
      <c r="F40" s="1055">
        <f t="shared" ref="F40:L40" si="9">ROUND(0.02*F38,0)</f>
        <v>204</v>
      </c>
      <c r="G40" s="1067">
        <f t="shared" si="9"/>
        <v>0</v>
      </c>
      <c r="H40" s="1067">
        <f t="shared" si="9"/>
        <v>0</v>
      </c>
      <c r="I40" s="1067">
        <f t="shared" si="9"/>
        <v>0</v>
      </c>
      <c r="J40" s="1067">
        <f t="shared" si="9"/>
        <v>0</v>
      </c>
      <c r="K40" s="1067">
        <f t="shared" si="9"/>
        <v>0</v>
      </c>
      <c r="L40" s="1067">
        <f t="shared" si="9"/>
        <v>0</v>
      </c>
      <c r="M40" s="1067">
        <f t="shared" ref="M40" si="10">ROUND(0.02*M38,0)</f>
        <v>0</v>
      </c>
      <c r="N40" s="1037"/>
      <c r="O40" s="30"/>
    </row>
    <row r="41" spans="1:44" ht="13.15" customHeight="1" x14ac:dyDescent="0.2">
      <c r="B41" s="26"/>
      <c r="C41" s="1037"/>
      <c r="D41" s="1056" t="s">
        <v>319</v>
      </c>
      <c r="E41" s="1037"/>
      <c r="F41" s="1039"/>
      <c r="G41" s="1039"/>
      <c r="H41" s="1039"/>
      <c r="I41" s="1039"/>
      <c r="J41" s="1039"/>
      <c r="K41" s="1039"/>
      <c r="L41" s="1039"/>
      <c r="M41" s="1039"/>
      <c r="N41" s="1037"/>
      <c r="O41" s="30"/>
    </row>
    <row r="42" spans="1:44" ht="13.15" customHeight="1" x14ac:dyDescent="0.2">
      <c r="B42" s="26"/>
      <c r="C42" s="1037"/>
      <c r="D42" s="1037" t="str">
        <f t="shared" ref="D42:D56" si="11">D21</f>
        <v>Naam SBO 1</v>
      </c>
      <c r="E42" s="1037"/>
      <c r="F42" s="1057">
        <f>IF(F21=0,0,+F21/F$36*F$40)</f>
        <v>204</v>
      </c>
      <c r="G42" s="1468">
        <f>IF(G21=0,0,+G21/G$36*G$40)</f>
        <v>0</v>
      </c>
      <c r="H42" s="1468">
        <f t="shared" ref="H42:L42" si="12">IF(H21=0,0,+H21/H$36*H$40)</f>
        <v>0</v>
      </c>
      <c r="I42" s="1468">
        <f t="shared" si="12"/>
        <v>0</v>
      </c>
      <c r="J42" s="1468">
        <f t="shared" si="12"/>
        <v>0</v>
      </c>
      <c r="K42" s="1468">
        <f t="shared" si="12"/>
        <v>0</v>
      </c>
      <c r="L42" s="1468">
        <f t="shared" si="12"/>
        <v>0</v>
      </c>
      <c r="M42" s="1468">
        <f t="shared" ref="M42" si="13">IF(M21=0,0,+M21/M$36*M$40)</f>
        <v>0</v>
      </c>
      <c r="N42" s="1037"/>
      <c r="O42" s="30"/>
    </row>
    <row r="43" spans="1:44" ht="13.15" customHeight="1" x14ac:dyDescent="0.2">
      <c r="B43" s="26"/>
      <c r="C43" s="1037"/>
      <c r="D43" s="1037" t="str">
        <f t="shared" si="11"/>
        <v>Naam SBO 2</v>
      </c>
      <c r="E43" s="1037"/>
      <c r="F43" s="1057">
        <f t="shared" ref="F43:L43" si="14">IF(F22=0,0,+F22/F$36*F$40)</f>
        <v>0</v>
      </c>
      <c r="G43" s="1468">
        <f t="shared" si="14"/>
        <v>0</v>
      </c>
      <c r="H43" s="1468">
        <f t="shared" si="14"/>
        <v>0</v>
      </c>
      <c r="I43" s="1468">
        <f t="shared" si="14"/>
        <v>0</v>
      </c>
      <c r="J43" s="1468">
        <f t="shared" si="14"/>
        <v>0</v>
      </c>
      <c r="K43" s="1468">
        <f t="shared" si="14"/>
        <v>0</v>
      </c>
      <c r="L43" s="1468">
        <f t="shared" si="14"/>
        <v>0</v>
      </c>
      <c r="M43" s="1468">
        <f t="shared" ref="M43" si="15">IF(M22=0,0,+M22/M$36*M$40)</f>
        <v>0</v>
      </c>
      <c r="N43" s="1037"/>
      <c r="O43" s="30"/>
    </row>
    <row r="44" spans="1:44" ht="13.15" customHeight="1" x14ac:dyDescent="0.2">
      <c r="B44" s="26"/>
      <c r="C44" s="1037"/>
      <c r="D44" s="1037" t="str">
        <f t="shared" si="11"/>
        <v>Naam SBO 3</v>
      </c>
      <c r="E44" s="1037"/>
      <c r="F44" s="1057">
        <f t="shared" ref="F44:L44" si="16">IF(F23=0,0,+F23/F$36*F$40)</f>
        <v>0</v>
      </c>
      <c r="G44" s="1468">
        <f t="shared" si="16"/>
        <v>0</v>
      </c>
      <c r="H44" s="1468">
        <f t="shared" si="16"/>
        <v>0</v>
      </c>
      <c r="I44" s="1468">
        <f t="shared" si="16"/>
        <v>0</v>
      </c>
      <c r="J44" s="1468">
        <f t="shared" si="16"/>
        <v>0</v>
      </c>
      <c r="K44" s="1468">
        <f t="shared" si="16"/>
        <v>0</v>
      </c>
      <c r="L44" s="1468">
        <f t="shared" si="16"/>
        <v>0</v>
      </c>
      <c r="M44" s="1468">
        <f t="shared" ref="M44" si="17">IF(M23=0,0,+M23/M$36*M$40)</f>
        <v>0</v>
      </c>
      <c r="N44" s="1037"/>
      <c r="O44" s="30"/>
    </row>
    <row r="45" spans="1:44" ht="13.15" customHeight="1" x14ac:dyDescent="0.2">
      <c r="B45" s="26"/>
      <c r="C45" s="1037"/>
      <c r="D45" s="1037" t="str">
        <f t="shared" si="11"/>
        <v>Naam SBO 4</v>
      </c>
      <c r="E45" s="1037"/>
      <c r="F45" s="1057">
        <f t="shared" ref="F45:L45" si="18">IF(F24=0,0,+F24/F$36*F$40)</f>
        <v>0</v>
      </c>
      <c r="G45" s="1468">
        <f t="shared" si="18"/>
        <v>0</v>
      </c>
      <c r="H45" s="1468">
        <f t="shared" si="18"/>
        <v>0</v>
      </c>
      <c r="I45" s="1468">
        <f t="shared" si="18"/>
        <v>0</v>
      </c>
      <c r="J45" s="1468">
        <f t="shared" si="18"/>
        <v>0</v>
      </c>
      <c r="K45" s="1468">
        <f t="shared" si="18"/>
        <v>0</v>
      </c>
      <c r="L45" s="1468">
        <f t="shared" si="18"/>
        <v>0</v>
      </c>
      <c r="M45" s="1468">
        <f t="shared" ref="M45" si="19">IF(M24=0,0,+M24/M$36*M$40)</f>
        <v>0</v>
      </c>
      <c r="N45" s="1037"/>
      <c r="O45" s="30"/>
    </row>
    <row r="46" spans="1:44" ht="13.15" customHeight="1" x14ac:dyDescent="0.2">
      <c r="B46" s="26"/>
      <c r="C46" s="1037"/>
      <c r="D46" s="1037" t="str">
        <f t="shared" si="11"/>
        <v>Naam SBO 5</v>
      </c>
      <c r="E46" s="1037"/>
      <c r="F46" s="1057">
        <f t="shared" ref="F46:L46" si="20">IF(F25=0,0,+F25/F$36*F$40)</f>
        <v>0</v>
      </c>
      <c r="G46" s="1468">
        <f t="shared" si="20"/>
        <v>0</v>
      </c>
      <c r="H46" s="1468">
        <f t="shared" si="20"/>
        <v>0</v>
      </c>
      <c r="I46" s="1468">
        <f t="shared" si="20"/>
        <v>0</v>
      </c>
      <c r="J46" s="1468">
        <f t="shared" si="20"/>
        <v>0</v>
      </c>
      <c r="K46" s="1468">
        <f t="shared" si="20"/>
        <v>0</v>
      </c>
      <c r="L46" s="1468">
        <f t="shared" si="20"/>
        <v>0</v>
      </c>
      <c r="M46" s="1468">
        <f t="shared" ref="M46" si="21">IF(M25=0,0,+M25/M$36*M$40)</f>
        <v>0</v>
      </c>
      <c r="N46" s="1037"/>
      <c r="O46" s="30"/>
    </row>
    <row r="47" spans="1:44" ht="13.15" customHeight="1" x14ac:dyDescent="0.2">
      <c r="B47" s="26"/>
      <c r="C47" s="1037"/>
      <c r="D47" s="1037" t="str">
        <f t="shared" si="11"/>
        <v>Naam SBO 6</v>
      </c>
      <c r="E47" s="1037"/>
      <c r="F47" s="1057">
        <f t="shared" ref="F47:L47" si="22">IF(F26=0,0,+F26/F$36*F$40)</f>
        <v>0</v>
      </c>
      <c r="G47" s="1468">
        <f t="shared" si="22"/>
        <v>0</v>
      </c>
      <c r="H47" s="1468">
        <f t="shared" si="22"/>
        <v>0</v>
      </c>
      <c r="I47" s="1468">
        <f t="shared" si="22"/>
        <v>0</v>
      </c>
      <c r="J47" s="1468">
        <f t="shared" si="22"/>
        <v>0</v>
      </c>
      <c r="K47" s="1468">
        <f t="shared" si="22"/>
        <v>0</v>
      </c>
      <c r="L47" s="1468">
        <f t="shared" si="22"/>
        <v>0</v>
      </c>
      <c r="M47" s="1468">
        <f t="shared" ref="M47" si="23">IF(M26=0,0,+M26/M$36*M$40)</f>
        <v>0</v>
      </c>
      <c r="N47" s="1037"/>
      <c r="O47" s="30"/>
    </row>
    <row r="48" spans="1:44" ht="13.15" customHeight="1" x14ac:dyDescent="0.2">
      <c r="B48" s="26"/>
      <c r="C48" s="1037"/>
      <c r="D48" s="1037" t="str">
        <f t="shared" si="11"/>
        <v>Naam SBO 7</v>
      </c>
      <c r="E48" s="1037"/>
      <c r="F48" s="1057">
        <f t="shared" ref="F48:L48" si="24">IF(F27=0,0,+F27/F$36*F$40)</f>
        <v>0</v>
      </c>
      <c r="G48" s="1468">
        <f t="shared" si="24"/>
        <v>0</v>
      </c>
      <c r="H48" s="1468">
        <f t="shared" si="24"/>
        <v>0</v>
      </c>
      <c r="I48" s="1468">
        <f t="shared" si="24"/>
        <v>0</v>
      </c>
      <c r="J48" s="1468">
        <f t="shared" si="24"/>
        <v>0</v>
      </c>
      <c r="K48" s="1468">
        <f t="shared" si="24"/>
        <v>0</v>
      </c>
      <c r="L48" s="1468">
        <f t="shared" si="24"/>
        <v>0</v>
      </c>
      <c r="M48" s="1468">
        <f t="shared" ref="M48" si="25">IF(M27=0,0,+M27/M$36*M$40)</f>
        <v>0</v>
      </c>
      <c r="N48" s="1037"/>
      <c r="O48" s="30"/>
    </row>
    <row r="49" spans="2:15" ht="13.15" customHeight="1" x14ac:dyDescent="0.2">
      <c r="B49" s="26"/>
      <c r="C49" s="1037"/>
      <c r="D49" s="1037" t="str">
        <f t="shared" si="11"/>
        <v>Naam SBO 8</v>
      </c>
      <c r="E49" s="1037"/>
      <c r="F49" s="1057">
        <f t="shared" ref="F49:L49" si="26">IF(F28=0,0,+F28/F$36*F$40)</f>
        <v>0</v>
      </c>
      <c r="G49" s="1468">
        <f t="shared" si="26"/>
        <v>0</v>
      </c>
      <c r="H49" s="1468">
        <f t="shared" si="26"/>
        <v>0</v>
      </c>
      <c r="I49" s="1468">
        <f t="shared" si="26"/>
        <v>0</v>
      </c>
      <c r="J49" s="1468">
        <f t="shared" si="26"/>
        <v>0</v>
      </c>
      <c r="K49" s="1468">
        <f t="shared" si="26"/>
        <v>0</v>
      </c>
      <c r="L49" s="1468">
        <f t="shared" si="26"/>
        <v>0</v>
      </c>
      <c r="M49" s="1468">
        <f t="shared" ref="M49" si="27">IF(M28=0,0,+M28/M$36*M$40)</f>
        <v>0</v>
      </c>
      <c r="N49" s="1037"/>
      <c r="O49" s="30"/>
    </row>
    <row r="50" spans="2:15" ht="13.15" customHeight="1" x14ac:dyDescent="0.2">
      <c r="B50" s="26"/>
      <c r="C50" s="1037"/>
      <c r="D50" s="1037" t="str">
        <f t="shared" si="11"/>
        <v>Naam SBO 9</v>
      </c>
      <c r="E50" s="1037"/>
      <c r="F50" s="1057">
        <f t="shared" ref="F50:L50" si="28">IF(F29=0,0,+F29/F$36*F$40)</f>
        <v>0</v>
      </c>
      <c r="G50" s="1468">
        <f t="shared" si="28"/>
        <v>0</v>
      </c>
      <c r="H50" s="1468">
        <f t="shared" si="28"/>
        <v>0</v>
      </c>
      <c r="I50" s="1468">
        <f t="shared" si="28"/>
        <v>0</v>
      </c>
      <c r="J50" s="1468">
        <f t="shared" si="28"/>
        <v>0</v>
      </c>
      <c r="K50" s="1468">
        <f t="shared" si="28"/>
        <v>0</v>
      </c>
      <c r="L50" s="1468">
        <f t="shared" si="28"/>
        <v>0</v>
      </c>
      <c r="M50" s="1468">
        <f t="shared" ref="M50" si="29">IF(M29=0,0,+M29/M$36*M$40)</f>
        <v>0</v>
      </c>
      <c r="N50" s="1037"/>
      <c r="O50" s="30"/>
    </row>
    <row r="51" spans="2:15" ht="13.15" customHeight="1" x14ac:dyDescent="0.2">
      <c r="B51" s="26"/>
      <c r="C51" s="1037"/>
      <c r="D51" s="1037" t="str">
        <f t="shared" si="11"/>
        <v>Naam SBO 10</v>
      </c>
      <c r="E51" s="1037"/>
      <c r="F51" s="1057">
        <f t="shared" ref="F51:L51" si="30">IF(F30=0,0,+F30/F$36*F$40)</f>
        <v>0</v>
      </c>
      <c r="G51" s="1468">
        <f t="shared" si="30"/>
        <v>0</v>
      </c>
      <c r="H51" s="1468">
        <f t="shared" si="30"/>
        <v>0</v>
      </c>
      <c r="I51" s="1468">
        <f t="shared" si="30"/>
        <v>0</v>
      </c>
      <c r="J51" s="1468">
        <f t="shared" si="30"/>
        <v>0</v>
      </c>
      <c r="K51" s="1468">
        <f t="shared" si="30"/>
        <v>0</v>
      </c>
      <c r="L51" s="1468">
        <f t="shared" si="30"/>
        <v>0</v>
      </c>
      <c r="M51" s="1468">
        <f t="shared" ref="M51" si="31">IF(M30=0,0,+M30/M$36*M$40)</f>
        <v>0</v>
      </c>
      <c r="N51" s="1037"/>
      <c r="O51" s="30"/>
    </row>
    <row r="52" spans="2:15" ht="13.15" customHeight="1" x14ac:dyDescent="0.2">
      <c r="B52" s="26"/>
      <c r="C52" s="1037"/>
      <c r="D52" s="1037" t="str">
        <f t="shared" si="11"/>
        <v>Naam SBO 11</v>
      </c>
      <c r="E52" s="1037"/>
      <c r="F52" s="1057">
        <f t="shared" ref="F52:L52" si="32">IF(F31=0,0,+F31/F$36*F$40)</f>
        <v>0</v>
      </c>
      <c r="G52" s="1468">
        <f t="shared" si="32"/>
        <v>0</v>
      </c>
      <c r="H52" s="1468">
        <f t="shared" si="32"/>
        <v>0</v>
      </c>
      <c r="I52" s="1468">
        <f t="shared" si="32"/>
        <v>0</v>
      </c>
      <c r="J52" s="1468">
        <f t="shared" si="32"/>
        <v>0</v>
      </c>
      <c r="K52" s="1468">
        <f t="shared" si="32"/>
        <v>0</v>
      </c>
      <c r="L52" s="1468">
        <f t="shared" si="32"/>
        <v>0</v>
      </c>
      <c r="M52" s="1468">
        <f t="shared" ref="M52" si="33">IF(M31=0,0,+M31/M$36*M$40)</f>
        <v>0</v>
      </c>
      <c r="N52" s="1037"/>
      <c r="O52" s="30"/>
    </row>
    <row r="53" spans="2:15" ht="13.15" customHeight="1" x14ac:dyDescent="0.2">
      <c r="B53" s="26"/>
      <c r="C53" s="1037"/>
      <c r="D53" s="1037" t="str">
        <f t="shared" si="11"/>
        <v>Naam SBO 12</v>
      </c>
      <c r="E53" s="1037"/>
      <c r="F53" s="1057">
        <f t="shared" ref="F53:L53" si="34">IF(F32=0,0,+F32/F$36*F$40)</f>
        <v>0</v>
      </c>
      <c r="G53" s="1468">
        <f t="shared" si="34"/>
        <v>0</v>
      </c>
      <c r="H53" s="1468">
        <f t="shared" si="34"/>
        <v>0</v>
      </c>
      <c r="I53" s="1468">
        <f t="shared" si="34"/>
        <v>0</v>
      </c>
      <c r="J53" s="1468">
        <f t="shared" si="34"/>
        <v>0</v>
      </c>
      <c r="K53" s="1468">
        <f t="shared" si="34"/>
        <v>0</v>
      </c>
      <c r="L53" s="1468">
        <f t="shared" si="34"/>
        <v>0</v>
      </c>
      <c r="M53" s="1468">
        <f t="shared" ref="M53" si="35">IF(M32=0,0,+M32/M$36*M$40)</f>
        <v>0</v>
      </c>
      <c r="N53" s="1037"/>
      <c r="O53" s="30"/>
    </row>
    <row r="54" spans="2:15" ht="13.15" customHeight="1" x14ac:dyDescent="0.2">
      <c r="B54" s="26"/>
      <c r="C54" s="1037"/>
      <c r="D54" s="1037" t="str">
        <f t="shared" si="11"/>
        <v>Naam SBO 13</v>
      </c>
      <c r="E54" s="1037"/>
      <c r="F54" s="1057">
        <f t="shared" ref="F54:L54" si="36">IF(F33=0,0,+F33/F$36*F$40)</f>
        <v>0</v>
      </c>
      <c r="G54" s="1468">
        <f t="shared" si="36"/>
        <v>0</v>
      </c>
      <c r="H54" s="1468">
        <f t="shared" si="36"/>
        <v>0</v>
      </c>
      <c r="I54" s="1468">
        <f t="shared" si="36"/>
        <v>0</v>
      </c>
      <c r="J54" s="1468">
        <f t="shared" si="36"/>
        <v>0</v>
      </c>
      <c r="K54" s="1468">
        <f t="shared" si="36"/>
        <v>0</v>
      </c>
      <c r="L54" s="1468">
        <f t="shared" si="36"/>
        <v>0</v>
      </c>
      <c r="M54" s="1468">
        <f t="shared" ref="M54" si="37">IF(M33=0,0,+M33/M$36*M$40)</f>
        <v>0</v>
      </c>
      <c r="N54" s="1037"/>
      <c r="O54" s="30"/>
    </row>
    <row r="55" spans="2:15" ht="13.15" customHeight="1" x14ac:dyDescent="0.2">
      <c r="B55" s="26"/>
      <c r="C55" s="1037"/>
      <c r="D55" s="1037" t="str">
        <f t="shared" si="11"/>
        <v>Naam SBO 14</v>
      </c>
      <c r="E55" s="1037"/>
      <c r="F55" s="1057">
        <f t="shared" ref="F55:L55" si="38">IF(F34=0,0,+F34/F$36*F$40)</f>
        <v>0</v>
      </c>
      <c r="G55" s="1468">
        <f t="shared" si="38"/>
        <v>0</v>
      </c>
      <c r="H55" s="1468">
        <f t="shared" si="38"/>
        <v>0</v>
      </c>
      <c r="I55" s="1468">
        <f t="shared" si="38"/>
        <v>0</v>
      </c>
      <c r="J55" s="1468">
        <f t="shared" si="38"/>
        <v>0</v>
      </c>
      <c r="K55" s="1468">
        <f t="shared" si="38"/>
        <v>0</v>
      </c>
      <c r="L55" s="1468">
        <f t="shared" si="38"/>
        <v>0</v>
      </c>
      <c r="M55" s="1468">
        <f t="shared" ref="M55" si="39">IF(M34=0,0,+M34/M$36*M$40)</f>
        <v>0</v>
      </c>
      <c r="N55" s="1037"/>
      <c r="O55" s="30"/>
    </row>
    <row r="56" spans="2:15" ht="13.15" customHeight="1" x14ac:dyDescent="0.2">
      <c r="B56" s="26"/>
      <c r="C56" s="1037"/>
      <c r="D56" s="1037" t="str">
        <f t="shared" si="11"/>
        <v>Naam SBO 15</v>
      </c>
      <c r="E56" s="1037"/>
      <c r="F56" s="1057">
        <f t="shared" ref="F56:L56" si="40">IF(F35=0,0,+F35/F$36*F$40)</f>
        <v>0</v>
      </c>
      <c r="G56" s="1468">
        <f t="shared" si="40"/>
        <v>0</v>
      </c>
      <c r="H56" s="1468">
        <f t="shared" si="40"/>
        <v>0</v>
      </c>
      <c r="I56" s="1468">
        <f t="shared" si="40"/>
        <v>0</v>
      </c>
      <c r="J56" s="1468">
        <f t="shared" si="40"/>
        <v>0</v>
      </c>
      <c r="K56" s="1468">
        <f t="shared" si="40"/>
        <v>0</v>
      </c>
      <c r="L56" s="1468">
        <f t="shared" si="40"/>
        <v>0</v>
      </c>
      <c r="M56" s="1468">
        <f t="shared" ref="M56" si="41">IF(M35=0,0,+M35/M$36*M$40)</f>
        <v>0</v>
      </c>
      <c r="N56" s="1037"/>
      <c r="O56" s="30"/>
    </row>
    <row r="57" spans="2:15" ht="13.15" customHeight="1" x14ac:dyDescent="0.2">
      <c r="B57" s="26"/>
      <c r="C57" s="1037"/>
      <c r="D57" s="1037"/>
      <c r="E57" s="1037"/>
      <c r="F57" s="1039"/>
      <c r="G57" s="1039"/>
      <c r="H57" s="1039"/>
      <c r="I57" s="1039"/>
      <c r="J57" s="1039"/>
      <c r="K57" s="1039"/>
      <c r="L57" s="1039"/>
      <c r="M57" s="1039"/>
      <c r="N57" s="1037"/>
      <c r="O57" s="30"/>
    </row>
    <row r="58" spans="2:15" ht="13.15" customHeight="1" x14ac:dyDescent="0.2">
      <c r="B58" s="26"/>
      <c r="C58" s="1037"/>
      <c r="D58" s="1049" t="s">
        <v>350</v>
      </c>
      <c r="E58" s="1037"/>
      <c r="F58" s="1039"/>
      <c r="G58" s="1039"/>
      <c r="H58" s="1039"/>
      <c r="I58" s="1039"/>
      <c r="J58" s="1039"/>
      <c r="K58" s="1039"/>
      <c r="L58" s="1039"/>
      <c r="M58" s="1039"/>
      <c r="N58" s="1037"/>
      <c r="O58" s="30"/>
    </row>
    <row r="59" spans="2:15" ht="13.15" customHeight="1" x14ac:dyDescent="0.2">
      <c r="B59" s="26"/>
      <c r="C59" s="1037"/>
      <c r="D59" s="1056" t="s">
        <v>321</v>
      </c>
      <c r="E59" s="1037"/>
      <c r="F59" s="1060">
        <v>41671</v>
      </c>
      <c r="G59" s="1039"/>
      <c r="H59" s="1039"/>
      <c r="I59" s="1039"/>
      <c r="J59" s="1039"/>
      <c r="K59" s="1039"/>
      <c r="L59" s="1039"/>
      <c r="M59" s="1039"/>
      <c r="N59" s="1037"/>
      <c r="O59" s="30"/>
    </row>
    <row r="60" spans="2:15" ht="13.15" customHeight="1" x14ac:dyDescent="0.2">
      <c r="B60" s="26"/>
      <c r="C60" s="1037"/>
      <c r="D60" s="1037" t="str">
        <f t="shared" ref="D60:D74" si="42">D21</f>
        <v>Naam SBO 1</v>
      </c>
      <c r="E60" s="1037"/>
      <c r="F60" s="1050">
        <v>232</v>
      </c>
      <c r="G60" s="1068">
        <v>0</v>
      </c>
      <c r="H60" s="1068">
        <v>0</v>
      </c>
      <c r="I60" s="1068">
        <f t="shared" ref="G60:M63" si="43">H60</f>
        <v>0</v>
      </c>
      <c r="J60" s="1068">
        <f t="shared" si="43"/>
        <v>0</v>
      </c>
      <c r="K60" s="1068">
        <f t="shared" si="43"/>
        <v>0</v>
      </c>
      <c r="L60" s="1068">
        <f t="shared" si="43"/>
        <v>0</v>
      </c>
      <c r="M60" s="1068">
        <f t="shared" si="43"/>
        <v>0</v>
      </c>
      <c r="N60" s="1037"/>
      <c r="O60" s="30"/>
    </row>
    <row r="61" spans="2:15" ht="13.15" customHeight="1" x14ac:dyDescent="0.2">
      <c r="B61" s="26"/>
      <c r="C61" s="1037"/>
      <c r="D61" s="1037" t="str">
        <f t="shared" si="42"/>
        <v>Naam SBO 2</v>
      </c>
      <c r="E61" s="1037"/>
      <c r="F61" s="1050">
        <v>0</v>
      </c>
      <c r="G61" s="1068">
        <f t="shared" si="43"/>
        <v>0</v>
      </c>
      <c r="H61" s="1068">
        <v>0</v>
      </c>
      <c r="I61" s="1068">
        <f t="shared" si="43"/>
        <v>0</v>
      </c>
      <c r="J61" s="1068">
        <f t="shared" si="43"/>
        <v>0</v>
      </c>
      <c r="K61" s="1068">
        <f t="shared" si="43"/>
        <v>0</v>
      </c>
      <c r="L61" s="1068">
        <f t="shared" si="43"/>
        <v>0</v>
      </c>
      <c r="M61" s="1068">
        <f t="shared" si="43"/>
        <v>0</v>
      </c>
      <c r="N61" s="1037"/>
      <c r="O61" s="30"/>
    </row>
    <row r="62" spans="2:15" ht="13.15" customHeight="1" x14ac:dyDescent="0.2">
      <c r="B62" s="26"/>
      <c r="C62" s="1037"/>
      <c r="D62" s="1037" t="str">
        <f t="shared" si="42"/>
        <v>Naam SBO 3</v>
      </c>
      <c r="E62" s="1037"/>
      <c r="F62" s="1050">
        <v>0</v>
      </c>
      <c r="G62" s="1068">
        <f t="shared" si="43"/>
        <v>0</v>
      </c>
      <c r="H62" s="1068">
        <v>0</v>
      </c>
      <c r="I62" s="1068">
        <f t="shared" si="43"/>
        <v>0</v>
      </c>
      <c r="J62" s="1068">
        <f t="shared" si="43"/>
        <v>0</v>
      </c>
      <c r="K62" s="1068">
        <f t="shared" si="43"/>
        <v>0</v>
      </c>
      <c r="L62" s="1068">
        <f t="shared" si="43"/>
        <v>0</v>
      </c>
      <c r="M62" s="1068">
        <f t="shared" si="43"/>
        <v>0</v>
      </c>
      <c r="N62" s="1037"/>
      <c r="O62" s="30"/>
    </row>
    <row r="63" spans="2:15" ht="13.15" customHeight="1" x14ac:dyDescent="0.2">
      <c r="B63" s="26"/>
      <c r="C63" s="1037"/>
      <c r="D63" s="1037" t="str">
        <f t="shared" si="42"/>
        <v>Naam SBO 4</v>
      </c>
      <c r="E63" s="1037"/>
      <c r="F63" s="1050">
        <v>0</v>
      </c>
      <c r="G63" s="1068">
        <f t="shared" si="43"/>
        <v>0</v>
      </c>
      <c r="H63" s="1068">
        <v>0</v>
      </c>
      <c r="I63" s="1068">
        <f t="shared" si="43"/>
        <v>0</v>
      </c>
      <c r="J63" s="1068">
        <f t="shared" si="43"/>
        <v>0</v>
      </c>
      <c r="K63" s="1068">
        <f t="shared" si="43"/>
        <v>0</v>
      </c>
      <c r="L63" s="1068">
        <f t="shared" si="43"/>
        <v>0</v>
      </c>
      <c r="M63" s="1068">
        <f t="shared" si="43"/>
        <v>0</v>
      </c>
      <c r="N63" s="1037"/>
      <c r="O63" s="30"/>
    </row>
    <row r="64" spans="2:15" ht="13.15" customHeight="1" x14ac:dyDescent="0.2">
      <c r="B64" s="26"/>
      <c r="C64" s="1037"/>
      <c r="D64" s="1037" t="str">
        <f t="shared" si="42"/>
        <v>Naam SBO 5</v>
      </c>
      <c r="E64" s="1037"/>
      <c r="F64" s="1050">
        <v>0</v>
      </c>
      <c r="G64" s="1068">
        <f t="shared" ref="G64:M65" si="44">F64</f>
        <v>0</v>
      </c>
      <c r="H64" s="1068">
        <v>0</v>
      </c>
      <c r="I64" s="1068">
        <f t="shared" si="44"/>
        <v>0</v>
      </c>
      <c r="J64" s="1068">
        <f t="shared" si="44"/>
        <v>0</v>
      </c>
      <c r="K64" s="1068">
        <f t="shared" si="44"/>
        <v>0</v>
      </c>
      <c r="L64" s="1068">
        <f t="shared" si="44"/>
        <v>0</v>
      </c>
      <c r="M64" s="1068">
        <f t="shared" si="44"/>
        <v>0</v>
      </c>
      <c r="N64" s="1037"/>
      <c r="O64" s="30"/>
    </row>
    <row r="65" spans="1:44" ht="13.15" customHeight="1" x14ac:dyDescent="0.2">
      <c r="B65" s="26"/>
      <c r="C65" s="1037"/>
      <c r="D65" s="1037" t="str">
        <f t="shared" si="42"/>
        <v>Naam SBO 6</v>
      </c>
      <c r="E65" s="1037"/>
      <c r="F65" s="1050">
        <v>0</v>
      </c>
      <c r="G65" s="1068">
        <f t="shared" si="44"/>
        <v>0</v>
      </c>
      <c r="H65" s="1068">
        <v>0</v>
      </c>
      <c r="I65" s="1068">
        <f t="shared" si="44"/>
        <v>0</v>
      </c>
      <c r="J65" s="1068">
        <f t="shared" si="44"/>
        <v>0</v>
      </c>
      <c r="K65" s="1068">
        <f t="shared" si="44"/>
        <v>0</v>
      </c>
      <c r="L65" s="1068">
        <f t="shared" si="44"/>
        <v>0</v>
      </c>
      <c r="M65" s="1068">
        <f t="shared" si="44"/>
        <v>0</v>
      </c>
      <c r="N65" s="1037"/>
      <c r="O65" s="30"/>
    </row>
    <row r="66" spans="1:44" ht="13.15" customHeight="1" x14ac:dyDescent="0.2">
      <c r="B66" s="26"/>
      <c r="C66" s="1037"/>
      <c r="D66" s="1037" t="str">
        <f t="shared" si="42"/>
        <v>Naam SBO 7</v>
      </c>
      <c r="E66" s="1037"/>
      <c r="F66" s="1050">
        <v>0</v>
      </c>
      <c r="G66" s="1068">
        <f t="shared" ref="G66:M74" si="45">F66</f>
        <v>0</v>
      </c>
      <c r="H66" s="1068">
        <v>0</v>
      </c>
      <c r="I66" s="1068">
        <f t="shared" si="45"/>
        <v>0</v>
      </c>
      <c r="J66" s="1068">
        <f t="shared" si="45"/>
        <v>0</v>
      </c>
      <c r="K66" s="1068">
        <f t="shared" si="45"/>
        <v>0</v>
      </c>
      <c r="L66" s="1068">
        <f t="shared" si="45"/>
        <v>0</v>
      </c>
      <c r="M66" s="1068">
        <f t="shared" si="45"/>
        <v>0</v>
      </c>
      <c r="N66" s="1037"/>
      <c r="O66" s="30"/>
    </row>
    <row r="67" spans="1:44" ht="13.15" customHeight="1" x14ac:dyDescent="0.2">
      <c r="B67" s="26"/>
      <c r="C67" s="1037"/>
      <c r="D67" s="1037" t="str">
        <f t="shared" si="42"/>
        <v>Naam SBO 8</v>
      </c>
      <c r="E67" s="1037"/>
      <c r="F67" s="1050">
        <v>0</v>
      </c>
      <c r="G67" s="1068">
        <f t="shared" si="45"/>
        <v>0</v>
      </c>
      <c r="H67" s="1068">
        <v>0</v>
      </c>
      <c r="I67" s="1068">
        <f t="shared" si="45"/>
        <v>0</v>
      </c>
      <c r="J67" s="1068">
        <f t="shared" si="45"/>
        <v>0</v>
      </c>
      <c r="K67" s="1068">
        <f t="shared" si="45"/>
        <v>0</v>
      </c>
      <c r="L67" s="1068">
        <f t="shared" si="45"/>
        <v>0</v>
      </c>
      <c r="M67" s="1068">
        <f t="shared" si="45"/>
        <v>0</v>
      </c>
      <c r="N67" s="1037"/>
      <c r="O67" s="30"/>
    </row>
    <row r="68" spans="1:44" ht="13.15" customHeight="1" x14ac:dyDescent="0.2">
      <c r="B68" s="26"/>
      <c r="C68" s="1037"/>
      <c r="D68" s="1037" t="str">
        <f t="shared" si="42"/>
        <v>Naam SBO 9</v>
      </c>
      <c r="E68" s="1037"/>
      <c r="F68" s="1050">
        <v>0</v>
      </c>
      <c r="G68" s="1068">
        <f t="shared" si="45"/>
        <v>0</v>
      </c>
      <c r="H68" s="1068">
        <v>0</v>
      </c>
      <c r="I68" s="1068">
        <f t="shared" si="45"/>
        <v>0</v>
      </c>
      <c r="J68" s="1068">
        <f t="shared" si="45"/>
        <v>0</v>
      </c>
      <c r="K68" s="1068">
        <f t="shared" si="45"/>
        <v>0</v>
      </c>
      <c r="L68" s="1068">
        <f t="shared" si="45"/>
        <v>0</v>
      </c>
      <c r="M68" s="1068">
        <f t="shared" si="45"/>
        <v>0</v>
      </c>
      <c r="N68" s="1037"/>
      <c r="O68" s="30"/>
    </row>
    <row r="69" spans="1:44" ht="13.15" customHeight="1" x14ac:dyDescent="0.2">
      <c r="B69" s="26"/>
      <c r="C69" s="1037"/>
      <c r="D69" s="1037" t="str">
        <f t="shared" si="42"/>
        <v>Naam SBO 10</v>
      </c>
      <c r="E69" s="1037"/>
      <c r="F69" s="1050">
        <v>0</v>
      </c>
      <c r="G69" s="1068">
        <f t="shared" si="45"/>
        <v>0</v>
      </c>
      <c r="H69" s="1068">
        <v>0</v>
      </c>
      <c r="I69" s="1068">
        <f t="shared" si="45"/>
        <v>0</v>
      </c>
      <c r="J69" s="1068">
        <f t="shared" si="45"/>
        <v>0</v>
      </c>
      <c r="K69" s="1068">
        <f t="shared" si="45"/>
        <v>0</v>
      </c>
      <c r="L69" s="1068">
        <f t="shared" si="45"/>
        <v>0</v>
      </c>
      <c r="M69" s="1068">
        <f t="shared" si="45"/>
        <v>0</v>
      </c>
      <c r="N69" s="1037"/>
      <c r="O69" s="30"/>
    </row>
    <row r="70" spans="1:44" ht="13.15" customHeight="1" x14ac:dyDescent="0.2">
      <c r="B70" s="26"/>
      <c r="C70" s="1037"/>
      <c r="D70" s="1037" t="str">
        <f t="shared" si="42"/>
        <v>Naam SBO 11</v>
      </c>
      <c r="E70" s="1037"/>
      <c r="F70" s="1050">
        <v>0</v>
      </c>
      <c r="G70" s="1068">
        <f t="shared" si="45"/>
        <v>0</v>
      </c>
      <c r="H70" s="1068">
        <v>0</v>
      </c>
      <c r="I70" s="1068">
        <f t="shared" si="45"/>
        <v>0</v>
      </c>
      <c r="J70" s="1068">
        <f t="shared" si="45"/>
        <v>0</v>
      </c>
      <c r="K70" s="1068">
        <f t="shared" si="45"/>
        <v>0</v>
      </c>
      <c r="L70" s="1068">
        <f t="shared" si="45"/>
        <v>0</v>
      </c>
      <c r="M70" s="1068">
        <f t="shared" si="45"/>
        <v>0</v>
      </c>
      <c r="N70" s="1037"/>
      <c r="O70" s="30"/>
    </row>
    <row r="71" spans="1:44" ht="13.15" customHeight="1" x14ac:dyDescent="0.2">
      <c r="B71" s="26"/>
      <c r="C71" s="1037"/>
      <c r="D71" s="1037" t="str">
        <f t="shared" si="42"/>
        <v>Naam SBO 12</v>
      </c>
      <c r="E71" s="1037"/>
      <c r="F71" s="1050">
        <v>0</v>
      </c>
      <c r="G71" s="1068">
        <f t="shared" si="45"/>
        <v>0</v>
      </c>
      <c r="H71" s="1068">
        <v>0</v>
      </c>
      <c r="I71" s="1068">
        <f t="shared" si="45"/>
        <v>0</v>
      </c>
      <c r="J71" s="1068">
        <f t="shared" si="45"/>
        <v>0</v>
      </c>
      <c r="K71" s="1068">
        <f t="shared" si="45"/>
        <v>0</v>
      </c>
      <c r="L71" s="1068">
        <f t="shared" si="45"/>
        <v>0</v>
      </c>
      <c r="M71" s="1068">
        <f t="shared" si="45"/>
        <v>0</v>
      </c>
      <c r="N71" s="1037"/>
      <c r="O71" s="30"/>
    </row>
    <row r="72" spans="1:44" ht="13.15" customHeight="1" x14ac:dyDescent="0.2">
      <c r="B72" s="26"/>
      <c r="C72" s="1037"/>
      <c r="D72" s="1037" t="str">
        <f t="shared" si="42"/>
        <v>Naam SBO 13</v>
      </c>
      <c r="E72" s="1037"/>
      <c r="F72" s="1050">
        <v>0</v>
      </c>
      <c r="G72" s="1068">
        <f t="shared" si="45"/>
        <v>0</v>
      </c>
      <c r="H72" s="1068">
        <v>0</v>
      </c>
      <c r="I72" s="1068">
        <f t="shared" si="45"/>
        <v>0</v>
      </c>
      <c r="J72" s="1068">
        <f t="shared" si="45"/>
        <v>0</v>
      </c>
      <c r="K72" s="1068">
        <f t="shared" si="45"/>
        <v>0</v>
      </c>
      <c r="L72" s="1068">
        <f t="shared" si="45"/>
        <v>0</v>
      </c>
      <c r="M72" s="1068">
        <f t="shared" si="45"/>
        <v>0</v>
      </c>
      <c r="N72" s="1037"/>
      <c r="O72" s="30"/>
    </row>
    <row r="73" spans="1:44" ht="13.15" customHeight="1" x14ac:dyDescent="0.2">
      <c r="B73" s="26"/>
      <c r="C73" s="1037"/>
      <c r="D73" s="1037" t="str">
        <f t="shared" si="42"/>
        <v>Naam SBO 14</v>
      </c>
      <c r="E73" s="1037"/>
      <c r="F73" s="1050">
        <v>0</v>
      </c>
      <c r="G73" s="1068">
        <f t="shared" si="45"/>
        <v>0</v>
      </c>
      <c r="H73" s="1068">
        <v>0</v>
      </c>
      <c r="I73" s="1068">
        <f t="shared" si="45"/>
        <v>0</v>
      </c>
      <c r="J73" s="1068">
        <f t="shared" si="45"/>
        <v>0</v>
      </c>
      <c r="K73" s="1068">
        <f t="shared" si="45"/>
        <v>0</v>
      </c>
      <c r="L73" s="1068">
        <f t="shared" si="45"/>
        <v>0</v>
      </c>
      <c r="M73" s="1068">
        <f t="shared" si="45"/>
        <v>0</v>
      </c>
      <c r="N73" s="1037"/>
      <c r="O73" s="30"/>
    </row>
    <row r="74" spans="1:44" ht="13.15" customHeight="1" x14ac:dyDescent="0.2">
      <c r="B74" s="26"/>
      <c r="C74" s="1037"/>
      <c r="D74" s="1037" t="str">
        <f t="shared" si="42"/>
        <v>Naam SBO 15</v>
      </c>
      <c r="E74" s="1037"/>
      <c r="F74" s="1050">
        <v>0</v>
      </c>
      <c r="G74" s="1068">
        <f t="shared" si="45"/>
        <v>0</v>
      </c>
      <c r="H74" s="1068">
        <v>0</v>
      </c>
      <c r="I74" s="1068">
        <f t="shared" si="45"/>
        <v>0</v>
      </c>
      <c r="J74" s="1068">
        <f>I74</f>
        <v>0</v>
      </c>
      <c r="K74" s="1068">
        <f>J74</f>
        <v>0</v>
      </c>
      <c r="L74" s="1068">
        <f>K74</f>
        <v>0</v>
      </c>
      <c r="M74" s="1068">
        <f>L74</f>
        <v>0</v>
      </c>
      <c r="N74" s="1037"/>
      <c r="O74" s="30"/>
    </row>
    <row r="75" spans="1:44" s="199" customFormat="1" ht="13.15" customHeight="1" x14ac:dyDescent="0.2">
      <c r="A75" s="653"/>
      <c r="B75" s="34"/>
      <c r="C75" s="1053"/>
      <c r="D75" s="1053"/>
      <c r="E75" s="1053"/>
      <c r="F75" s="1054">
        <f t="shared" ref="F75:L75" si="46">SUM(F60:F74)</f>
        <v>232</v>
      </c>
      <c r="G75" s="1066">
        <f t="shared" si="46"/>
        <v>0</v>
      </c>
      <c r="H75" s="1066">
        <f t="shared" si="46"/>
        <v>0</v>
      </c>
      <c r="I75" s="1066">
        <f t="shared" si="46"/>
        <v>0</v>
      </c>
      <c r="J75" s="1066">
        <f t="shared" si="46"/>
        <v>0</v>
      </c>
      <c r="K75" s="1066">
        <f t="shared" si="46"/>
        <v>0</v>
      </c>
      <c r="L75" s="1066">
        <f t="shared" si="46"/>
        <v>0</v>
      </c>
      <c r="M75" s="1066">
        <f t="shared" ref="M75" si="47">SUM(M60:M74)</f>
        <v>0</v>
      </c>
      <c r="N75" s="1053"/>
      <c r="O75" s="35"/>
      <c r="P75" s="657"/>
      <c r="Q75" s="657"/>
      <c r="R75" s="657"/>
      <c r="S75" s="657"/>
      <c r="T75" s="657"/>
      <c r="U75" s="657"/>
      <c r="V75" s="657"/>
      <c r="W75" s="657"/>
      <c r="X75" s="657"/>
      <c r="Y75" s="657"/>
      <c r="Z75" s="657"/>
      <c r="AA75" s="657"/>
      <c r="AB75" s="657"/>
      <c r="AC75" s="657"/>
      <c r="AD75" s="657"/>
      <c r="AE75" s="657"/>
      <c r="AF75" s="657"/>
      <c r="AG75" s="657"/>
      <c r="AH75" s="657"/>
      <c r="AI75" s="657"/>
      <c r="AJ75" s="657"/>
      <c r="AK75" s="657"/>
      <c r="AL75" s="657"/>
      <c r="AM75" s="657"/>
      <c r="AN75" s="657"/>
      <c r="AO75" s="657"/>
      <c r="AP75" s="657"/>
      <c r="AQ75" s="657"/>
      <c r="AR75" s="657"/>
    </row>
    <row r="76" spans="1:44" ht="13.15" customHeight="1" x14ac:dyDescent="0.2">
      <c r="B76" s="26"/>
      <c r="C76" s="1069"/>
      <c r="D76" s="1069"/>
      <c r="E76" s="1069"/>
      <c r="F76" s="1044"/>
      <c r="G76" s="1044"/>
      <c r="H76" s="1044"/>
      <c r="I76" s="1044"/>
      <c r="J76" s="1044"/>
      <c r="K76" s="1044"/>
      <c r="L76" s="1044"/>
      <c r="M76" s="1044"/>
      <c r="N76" s="1069"/>
      <c r="O76" s="30"/>
    </row>
    <row r="77" spans="1:44" ht="13.15" customHeight="1" x14ac:dyDescent="0.2">
      <c r="B77" s="26"/>
      <c r="C77" s="1058"/>
      <c r="D77" s="1058"/>
      <c r="E77" s="1058"/>
      <c r="F77" s="1061" t="e">
        <f t="shared" ref="F77:M77" si="48">F12</f>
        <v>#REF!</v>
      </c>
      <c r="G77" s="1061" t="str">
        <f t="shared" si="48"/>
        <v>2015/16</v>
      </c>
      <c r="H77" s="1061" t="str">
        <f t="shared" si="48"/>
        <v>2016/17</v>
      </c>
      <c r="I77" s="1061" t="str">
        <f t="shared" si="48"/>
        <v>2017/18</v>
      </c>
      <c r="J77" s="1061" t="str">
        <f t="shared" si="48"/>
        <v>2018/19</v>
      </c>
      <c r="K77" s="1061" t="str">
        <f t="shared" si="48"/>
        <v>2019/20</v>
      </c>
      <c r="L77" s="1061" t="str">
        <f t="shared" si="48"/>
        <v>2020/21</v>
      </c>
      <c r="M77" s="1061" t="str">
        <f t="shared" si="48"/>
        <v>2021/22</v>
      </c>
      <c r="N77" s="1058"/>
      <c r="O77" s="30"/>
    </row>
    <row r="78" spans="1:44" ht="13.15" customHeight="1" x14ac:dyDescent="0.2">
      <c r="B78" s="26"/>
      <c r="C78" s="1037"/>
      <c r="D78" s="1049" t="s">
        <v>194</v>
      </c>
      <c r="E78" s="1037"/>
      <c r="F78" s="1062" t="s">
        <v>386</v>
      </c>
      <c r="G78" s="1070" t="s">
        <v>386</v>
      </c>
      <c r="H78" s="1070" t="str">
        <f t="shared" ref="H78:M78" si="49">G78</f>
        <v>ja</v>
      </c>
      <c r="I78" s="1070" t="str">
        <f t="shared" si="49"/>
        <v>ja</v>
      </c>
      <c r="J78" s="1070" t="str">
        <f t="shared" si="49"/>
        <v>ja</v>
      </c>
      <c r="K78" s="1070" t="str">
        <f t="shared" si="49"/>
        <v>ja</v>
      </c>
      <c r="L78" s="1070" t="str">
        <f t="shared" si="49"/>
        <v>ja</v>
      </c>
      <c r="M78" s="1070" t="str">
        <f t="shared" si="49"/>
        <v>ja</v>
      </c>
      <c r="N78" s="1037"/>
      <c r="O78" s="30"/>
    </row>
    <row r="79" spans="1:44" ht="13.15" customHeight="1" x14ac:dyDescent="0.2">
      <c r="B79" s="26"/>
      <c r="C79" s="1037"/>
      <c r="D79" s="1056" t="s">
        <v>385</v>
      </c>
      <c r="E79" s="1037"/>
      <c r="F79" s="1039"/>
      <c r="G79" s="1039"/>
      <c r="H79" s="1039"/>
      <c r="I79" s="1039"/>
      <c r="J79" s="1039"/>
      <c r="K79" s="1039"/>
      <c r="L79" s="1039"/>
      <c r="M79" s="1039"/>
      <c r="N79" s="1037"/>
      <c r="O79" s="30"/>
    </row>
    <row r="80" spans="1:44" ht="13.15" customHeight="1" x14ac:dyDescent="0.2">
      <c r="B80" s="26"/>
      <c r="C80" s="1037"/>
      <c r="D80" s="1037" t="str">
        <f t="shared" ref="D80:D94" si="50">D21</f>
        <v>Naam SBO 1</v>
      </c>
      <c r="E80" s="1037"/>
      <c r="F80" s="1063" t="e">
        <f>tab!#REF!</f>
        <v>#REF!</v>
      </c>
      <c r="G80" s="1071">
        <f>tab!$C$27</f>
        <v>41.69</v>
      </c>
      <c r="H80" s="1071">
        <f>tab!$C$27</f>
        <v>41.69</v>
      </c>
      <c r="I80" s="1071">
        <f>tab!$C$27</f>
        <v>41.69</v>
      </c>
      <c r="J80" s="1071">
        <f>tab!$C$27</f>
        <v>41.69</v>
      </c>
      <c r="K80" s="1071">
        <f>tab!$C$27</f>
        <v>41.69</v>
      </c>
      <c r="L80" s="1071">
        <f>tab!$C$27</f>
        <v>41.69</v>
      </c>
      <c r="M80" s="1071">
        <f>tab!$C$27</f>
        <v>41.69</v>
      </c>
      <c r="N80" s="1037"/>
      <c r="O80" s="30"/>
    </row>
    <row r="81" spans="2:15" ht="13.15" customHeight="1" x14ac:dyDescent="0.2">
      <c r="B81" s="26"/>
      <c r="C81" s="1037"/>
      <c r="D81" s="1037" t="str">
        <f t="shared" si="50"/>
        <v>Naam SBO 2</v>
      </c>
      <c r="E81" s="1037"/>
      <c r="F81" s="1063" t="e">
        <f>tab!#REF!</f>
        <v>#REF!</v>
      </c>
      <c r="G81" s="1071">
        <f>tab!$C$27</f>
        <v>41.69</v>
      </c>
      <c r="H81" s="1071">
        <f>tab!$C$27</f>
        <v>41.69</v>
      </c>
      <c r="I81" s="1071">
        <f>tab!$C$27</f>
        <v>41.69</v>
      </c>
      <c r="J81" s="1071">
        <f>tab!$C$27</f>
        <v>41.69</v>
      </c>
      <c r="K81" s="1071">
        <f>tab!$C$27</f>
        <v>41.69</v>
      </c>
      <c r="L81" s="1071">
        <f>tab!$C$27</f>
        <v>41.69</v>
      </c>
      <c r="M81" s="1071">
        <f>tab!$C$27</f>
        <v>41.69</v>
      </c>
      <c r="N81" s="1037"/>
      <c r="O81" s="30"/>
    </row>
    <row r="82" spans="2:15" ht="13.15" customHeight="1" x14ac:dyDescent="0.2">
      <c r="B82" s="26"/>
      <c r="C82" s="1037"/>
      <c r="D82" s="1037" t="str">
        <f t="shared" si="50"/>
        <v>Naam SBO 3</v>
      </c>
      <c r="E82" s="1037"/>
      <c r="F82" s="1063" t="e">
        <f>tab!#REF!</f>
        <v>#REF!</v>
      </c>
      <c r="G82" s="1071">
        <f>tab!$C$27</f>
        <v>41.69</v>
      </c>
      <c r="H82" s="1071">
        <f>tab!$C$27</f>
        <v>41.69</v>
      </c>
      <c r="I82" s="1071">
        <f>tab!$C$27</f>
        <v>41.69</v>
      </c>
      <c r="J82" s="1071">
        <f>tab!$C$27</f>
        <v>41.69</v>
      </c>
      <c r="K82" s="1071">
        <f>tab!$C$27</f>
        <v>41.69</v>
      </c>
      <c r="L82" s="1071">
        <f>tab!$C$27</f>
        <v>41.69</v>
      </c>
      <c r="M82" s="1071">
        <f>tab!$C$27</f>
        <v>41.69</v>
      </c>
      <c r="N82" s="1037"/>
      <c r="O82" s="30"/>
    </row>
    <row r="83" spans="2:15" ht="13.15" customHeight="1" x14ac:dyDescent="0.2">
      <c r="B83" s="26"/>
      <c r="C83" s="1037"/>
      <c r="D83" s="1037" t="str">
        <f t="shared" si="50"/>
        <v>Naam SBO 4</v>
      </c>
      <c r="E83" s="1037"/>
      <c r="F83" s="1063" t="e">
        <f>tab!#REF!</f>
        <v>#REF!</v>
      </c>
      <c r="G83" s="1071">
        <f>tab!$C$27</f>
        <v>41.69</v>
      </c>
      <c r="H83" s="1071">
        <f>tab!$C$27</f>
        <v>41.69</v>
      </c>
      <c r="I83" s="1071">
        <f>tab!$C$27</f>
        <v>41.69</v>
      </c>
      <c r="J83" s="1071">
        <f>tab!$C$27</f>
        <v>41.69</v>
      </c>
      <c r="K83" s="1071">
        <f>tab!$C$27</f>
        <v>41.69</v>
      </c>
      <c r="L83" s="1071">
        <f>tab!$C$27</f>
        <v>41.69</v>
      </c>
      <c r="M83" s="1071">
        <f>tab!$C$27</f>
        <v>41.69</v>
      </c>
      <c r="N83" s="1037"/>
      <c r="O83" s="30"/>
    </row>
    <row r="84" spans="2:15" ht="13.15" customHeight="1" x14ac:dyDescent="0.2">
      <c r="B84" s="26"/>
      <c r="C84" s="1037"/>
      <c r="D84" s="1037" t="str">
        <f t="shared" si="50"/>
        <v>Naam SBO 5</v>
      </c>
      <c r="E84" s="1037"/>
      <c r="F84" s="1063" t="e">
        <f>tab!#REF!</f>
        <v>#REF!</v>
      </c>
      <c r="G84" s="1071">
        <f>tab!$C$27</f>
        <v>41.69</v>
      </c>
      <c r="H84" s="1071">
        <f>tab!$C$27</f>
        <v>41.69</v>
      </c>
      <c r="I84" s="1071">
        <f>tab!$C$27</f>
        <v>41.69</v>
      </c>
      <c r="J84" s="1071">
        <f>tab!$C$27</f>
        <v>41.69</v>
      </c>
      <c r="K84" s="1071">
        <f>tab!$C$27</f>
        <v>41.69</v>
      </c>
      <c r="L84" s="1071">
        <f>tab!$C$27</f>
        <v>41.69</v>
      </c>
      <c r="M84" s="1071">
        <f>tab!$C$27</f>
        <v>41.69</v>
      </c>
      <c r="N84" s="1037"/>
      <c r="O84" s="30"/>
    </row>
    <row r="85" spans="2:15" ht="13.15" customHeight="1" x14ac:dyDescent="0.2">
      <c r="B85" s="26"/>
      <c r="C85" s="1037"/>
      <c r="D85" s="1037" t="str">
        <f t="shared" si="50"/>
        <v>Naam SBO 6</v>
      </c>
      <c r="E85" s="1037"/>
      <c r="F85" s="1063" t="e">
        <f>tab!#REF!</f>
        <v>#REF!</v>
      </c>
      <c r="G85" s="1071">
        <f>tab!$C$27</f>
        <v>41.69</v>
      </c>
      <c r="H85" s="1071">
        <f>tab!$C$27</f>
        <v>41.69</v>
      </c>
      <c r="I85" s="1071">
        <f>tab!$C$27</f>
        <v>41.69</v>
      </c>
      <c r="J85" s="1071">
        <f>tab!$C$27</f>
        <v>41.69</v>
      </c>
      <c r="K85" s="1071">
        <f>tab!$C$27</f>
        <v>41.69</v>
      </c>
      <c r="L85" s="1071">
        <f>tab!$C$27</f>
        <v>41.69</v>
      </c>
      <c r="M85" s="1071">
        <f>tab!$C$27</f>
        <v>41.69</v>
      </c>
      <c r="N85" s="1037"/>
      <c r="O85" s="30"/>
    </row>
    <row r="86" spans="2:15" ht="13.15" customHeight="1" x14ac:dyDescent="0.2">
      <c r="B86" s="26"/>
      <c r="C86" s="1037"/>
      <c r="D86" s="1037" t="str">
        <f t="shared" si="50"/>
        <v>Naam SBO 7</v>
      </c>
      <c r="E86" s="1037"/>
      <c r="F86" s="1063" t="e">
        <f>tab!#REF!</f>
        <v>#REF!</v>
      </c>
      <c r="G86" s="1071">
        <f>tab!$C$27</f>
        <v>41.69</v>
      </c>
      <c r="H86" s="1071">
        <f>tab!$C$27</f>
        <v>41.69</v>
      </c>
      <c r="I86" s="1071">
        <f>tab!$C$27</f>
        <v>41.69</v>
      </c>
      <c r="J86" s="1071">
        <f>tab!$C$27</f>
        <v>41.69</v>
      </c>
      <c r="K86" s="1071">
        <f>tab!$C$27</f>
        <v>41.69</v>
      </c>
      <c r="L86" s="1071">
        <f>tab!$C$27</f>
        <v>41.69</v>
      </c>
      <c r="M86" s="1071">
        <f>tab!$C$27</f>
        <v>41.69</v>
      </c>
      <c r="N86" s="1037"/>
      <c r="O86" s="30"/>
    </row>
    <row r="87" spans="2:15" ht="13.15" customHeight="1" x14ac:dyDescent="0.2">
      <c r="B87" s="26"/>
      <c r="C87" s="1037"/>
      <c r="D87" s="1037" t="str">
        <f t="shared" si="50"/>
        <v>Naam SBO 8</v>
      </c>
      <c r="E87" s="1037"/>
      <c r="F87" s="1063" t="e">
        <f>tab!#REF!</f>
        <v>#REF!</v>
      </c>
      <c r="G87" s="1071">
        <f>tab!$C$27</f>
        <v>41.69</v>
      </c>
      <c r="H87" s="1071">
        <f>tab!$C$27</f>
        <v>41.69</v>
      </c>
      <c r="I87" s="1071">
        <f>tab!$C$27</f>
        <v>41.69</v>
      </c>
      <c r="J87" s="1071">
        <f>tab!$C$27</f>
        <v>41.69</v>
      </c>
      <c r="K87" s="1071">
        <f>tab!$C$27</f>
        <v>41.69</v>
      </c>
      <c r="L87" s="1071">
        <f>tab!$C$27</f>
        <v>41.69</v>
      </c>
      <c r="M87" s="1071">
        <f>tab!$C$27</f>
        <v>41.69</v>
      </c>
      <c r="N87" s="1037"/>
      <c r="O87" s="30"/>
    </row>
    <row r="88" spans="2:15" ht="13.15" customHeight="1" x14ac:dyDescent="0.2">
      <c r="B88" s="26"/>
      <c r="C88" s="1037"/>
      <c r="D88" s="1037" t="str">
        <f t="shared" si="50"/>
        <v>Naam SBO 9</v>
      </c>
      <c r="E88" s="1037"/>
      <c r="F88" s="1063" t="e">
        <f>tab!#REF!</f>
        <v>#REF!</v>
      </c>
      <c r="G88" s="1071">
        <f>tab!$C$27</f>
        <v>41.69</v>
      </c>
      <c r="H88" s="1071">
        <f>tab!$C$27</f>
        <v>41.69</v>
      </c>
      <c r="I88" s="1071">
        <f>tab!$C$27</f>
        <v>41.69</v>
      </c>
      <c r="J88" s="1071">
        <f>tab!$C$27</f>
        <v>41.69</v>
      </c>
      <c r="K88" s="1071">
        <f>tab!$C$27</f>
        <v>41.69</v>
      </c>
      <c r="L88" s="1071">
        <f>tab!$C$27</f>
        <v>41.69</v>
      </c>
      <c r="M88" s="1071">
        <f>tab!$C$27</f>
        <v>41.69</v>
      </c>
      <c r="N88" s="1037"/>
      <c r="O88" s="30"/>
    </row>
    <row r="89" spans="2:15" ht="13.15" customHeight="1" x14ac:dyDescent="0.2">
      <c r="B89" s="26"/>
      <c r="C89" s="1037"/>
      <c r="D89" s="1037" t="str">
        <f t="shared" si="50"/>
        <v>Naam SBO 10</v>
      </c>
      <c r="E89" s="1037"/>
      <c r="F89" s="1063" t="e">
        <f>tab!#REF!</f>
        <v>#REF!</v>
      </c>
      <c r="G89" s="1071">
        <f>tab!$C$27</f>
        <v>41.69</v>
      </c>
      <c r="H89" s="1071">
        <f>tab!$C$27</f>
        <v>41.69</v>
      </c>
      <c r="I89" s="1071">
        <f>tab!$C$27</f>
        <v>41.69</v>
      </c>
      <c r="J89" s="1071">
        <f>tab!$C$27</f>
        <v>41.69</v>
      </c>
      <c r="K89" s="1071">
        <f>tab!$C$27</f>
        <v>41.69</v>
      </c>
      <c r="L89" s="1071">
        <f>tab!$C$27</f>
        <v>41.69</v>
      </c>
      <c r="M89" s="1071">
        <f>tab!$C$27</f>
        <v>41.69</v>
      </c>
      <c r="N89" s="1037"/>
      <c r="O89" s="30"/>
    </row>
    <row r="90" spans="2:15" ht="13.15" customHeight="1" x14ac:dyDescent="0.2">
      <c r="B90" s="26"/>
      <c r="C90" s="1037"/>
      <c r="D90" s="1037" t="str">
        <f t="shared" si="50"/>
        <v>Naam SBO 11</v>
      </c>
      <c r="E90" s="1037"/>
      <c r="F90" s="1063" t="e">
        <f>tab!#REF!</f>
        <v>#REF!</v>
      </c>
      <c r="G90" s="1071">
        <f>tab!$C$27</f>
        <v>41.69</v>
      </c>
      <c r="H90" s="1071">
        <f>tab!$C$27</f>
        <v>41.69</v>
      </c>
      <c r="I90" s="1071">
        <f>tab!$C$27</f>
        <v>41.69</v>
      </c>
      <c r="J90" s="1071">
        <f>tab!$C$27</f>
        <v>41.69</v>
      </c>
      <c r="K90" s="1071">
        <f>tab!$C$27</f>
        <v>41.69</v>
      </c>
      <c r="L90" s="1071">
        <f>tab!$C$27</f>
        <v>41.69</v>
      </c>
      <c r="M90" s="1071">
        <f>tab!$C$27</f>
        <v>41.69</v>
      </c>
      <c r="N90" s="1037"/>
      <c r="O90" s="30"/>
    </row>
    <row r="91" spans="2:15" ht="13.15" customHeight="1" x14ac:dyDescent="0.2">
      <c r="B91" s="26"/>
      <c r="C91" s="1037"/>
      <c r="D91" s="1037" t="str">
        <f t="shared" si="50"/>
        <v>Naam SBO 12</v>
      </c>
      <c r="E91" s="1037"/>
      <c r="F91" s="1063" t="e">
        <f>tab!#REF!</f>
        <v>#REF!</v>
      </c>
      <c r="G91" s="1071">
        <f>tab!$C$27</f>
        <v>41.69</v>
      </c>
      <c r="H91" s="1071">
        <f>tab!$C$27</f>
        <v>41.69</v>
      </c>
      <c r="I91" s="1071">
        <f>tab!$C$27</f>
        <v>41.69</v>
      </c>
      <c r="J91" s="1071">
        <f>tab!$C$27</f>
        <v>41.69</v>
      </c>
      <c r="K91" s="1071">
        <f>tab!$C$27</f>
        <v>41.69</v>
      </c>
      <c r="L91" s="1071">
        <f>tab!$C$27</f>
        <v>41.69</v>
      </c>
      <c r="M91" s="1071">
        <f>tab!$C$27</f>
        <v>41.69</v>
      </c>
      <c r="N91" s="1037"/>
      <c r="O91" s="30"/>
    </row>
    <row r="92" spans="2:15" ht="13.15" customHeight="1" x14ac:dyDescent="0.2">
      <c r="B92" s="26"/>
      <c r="C92" s="1037"/>
      <c r="D92" s="1037" t="str">
        <f t="shared" si="50"/>
        <v>Naam SBO 13</v>
      </c>
      <c r="E92" s="1037"/>
      <c r="F92" s="1063" t="e">
        <f>tab!#REF!</f>
        <v>#REF!</v>
      </c>
      <c r="G92" s="1071">
        <f>tab!$C$27</f>
        <v>41.69</v>
      </c>
      <c r="H92" s="1071">
        <f>tab!$C$27</f>
        <v>41.69</v>
      </c>
      <c r="I92" s="1071">
        <f>tab!$C$27</f>
        <v>41.69</v>
      </c>
      <c r="J92" s="1071">
        <f>tab!$C$27</f>
        <v>41.69</v>
      </c>
      <c r="K92" s="1071">
        <f>tab!$C$27</f>
        <v>41.69</v>
      </c>
      <c r="L92" s="1071">
        <f>tab!$C$27</f>
        <v>41.69</v>
      </c>
      <c r="M92" s="1071">
        <f>tab!$C$27</f>
        <v>41.69</v>
      </c>
      <c r="N92" s="1037"/>
      <c r="O92" s="30"/>
    </row>
    <row r="93" spans="2:15" ht="13.15" customHeight="1" x14ac:dyDescent="0.2">
      <c r="B93" s="26"/>
      <c r="C93" s="1037"/>
      <c r="D93" s="1037" t="str">
        <f t="shared" si="50"/>
        <v>Naam SBO 14</v>
      </c>
      <c r="E93" s="1037"/>
      <c r="F93" s="1063" t="e">
        <f>tab!#REF!</f>
        <v>#REF!</v>
      </c>
      <c r="G93" s="1071">
        <f>tab!$C$27</f>
        <v>41.69</v>
      </c>
      <c r="H93" s="1071">
        <f>tab!$C$27</f>
        <v>41.69</v>
      </c>
      <c r="I93" s="1071">
        <f>tab!$C$27</f>
        <v>41.69</v>
      </c>
      <c r="J93" s="1071">
        <f>tab!$C$27</f>
        <v>41.69</v>
      </c>
      <c r="K93" s="1071">
        <f>tab!$C$27</f>
        <v>41.69</v>
      </c>
      <c r="L93" s="1071">
        <f>tab!$C$27</f>
        <v>41.69</v>
      </c>
      <c r="M93" s="1071">
        <f>tab!$C$27</f>
        <v>41.69</v>
      </c>
      <c r="N93" s="1037"/>
      <c r="O93" s="30"/>
    </row>
    <row r="94" spans="2:15" ht="13.15" customHeight="1" x14ac:dyDescent="0.2">
      <c r="B94" s="26"/>
      <c r="C94" s="1037"/>
      <c r="D94" s="1037" t="str">
        <f t="shared" si="50"/>
        <v>Naam SBO 15</v>
      </c>
      <c r="E94" s="1037"/>
      <c r="F94" s="1063" t="e">
        <f>tab!#REF!</f>
        <v>#REF!</v>
      </c>
      <c r="G94" s="1071">
        <f>tab!$C$27</f>
        <v>41.69</v>
      </c>
      <c r="H94" s="1071">
        <f>tab!$C$27</f>
        <v>41.69</v>
      </c>
      <c r="I94" s="1071">
        <f>tab!$C$27</f>
        <v>41.69</v>
      </c>
      <c r="J94" s="1071">
        <f>tab!$C$27</f>
        <v>41.69</v>
      </c>
      <c r="K94" s="1071">
        <f>tab!$C$27</f>
        <v>41.69</v>
      </c>
      <c r="L94" s="1071">
        <f>tab!$C$27</f>
        <v>41.69</v>
      </c>
      <c r="M94" s="1071">
        <f>tab!$C$27</f>
        <v>41.69</v>
      </c>
      <c r="N94" s="1037"/>
      <c r="O94" s="30"/>
    </row>
    <row r="95" spans="2:15" ht="13.15" customHeight="1" x14ac:dyDescent="0.2">
      <c r="B95" s="26"/>
      <c r="C95" s="1037"/>
      <c r="D95" s="1037"/>
      <c r="E95" s="1037"/>
      <c r="F95" s="1039"/>
      <c r="G95" s="1039"/>
      <c r="H95" s="1039"/>
      <c r="I95" s="1039"/>
      <c r="J95" s="1039"/>
      <c r="K95" s="1039"/>
      <c r="L95" s="1039"/>
      <c r="M95" s="1039"/>
      <c r="N95" s="1037"/>
      <c r="O95" s="30"/>
    </row>
    <row r="96" spans="2:15" ht="13.15" customHeight="1" x14ac:dyDescent="0.2">
      <c r="B96" s="26"/>
      <c r="C96" s="1037"/>
      <c r="D96" s="1049" t="s">
        <v>375</v>
      </c>
      <c r="E96" s="1037"/>
      <c r="F96" s="1062" t="s">
        <v>386</v>
      </c>
      <c r="G96" s="1070" t="str">
        <f t="shared" ref="G96:M96" si="51">F96</f>
        <v>ja</v>
      </c>
      <c r="H96" s="1070" t="str">
        <f t="shared" si="51"/>
        <v>ja</v>
      </c>
      <c r="I96" s="1070" t="str">
        <f t="shared" si="51"/>
        <v>ja</v>
      </c>
      <c r="J96" s="1070" t="str">
        <f t="shared" si="51"/>
        <v>ja</v>
      </c>
      <c r="K96" s="1070" t="str">
        <f t="shared" si="51"/>
        <v>ja</v>
      </c>
      <c r="L96" s="1070" t="str">
        <f t="shared" si="51"/>
        <v>ja</v>
      </c>
      <c r="M96" s="1070" t="str">
        <f t="shared" si="51"/>
        <v>ja</v>
      </c>
      <c r="N96" s="1037"/>
      <c r="O96" s="30"/>
    </row>
    <row r="97" spans="1:44" ht="13.15" customHeight="1" x14ac:dyDescent="0.2">
      <c r="B97" s="26"/>
      <c r="C97" s="1037"/>
      <c r="D97" s="1037"/>
      <c r="E97" s="1037"/>
      <c r="F97" s="1039"/>
      <c r="G97" s="1039"/>
      <c r="H97" s="1039"/>
      <c r="I97" s="1039"/>
      <c r="J97" s="1039"/>
      <c r="K97" s="1039"/>
      <c r="L97" s="1039"/>
      <c r="M97" s="1039"/>
      <c r="N97" s="1037"/>
      <c r="O97" s="30"/>
    </row>
    <row r="98" spans="1:44" ht="13.15" customHeight="1" x14ac:dyDescent="0.2">
      <c r="B98" s="26"/>
      <c r="C98" s="1037"/>
      <c r="D98" s="1049" t="s">
        <v>170</v>
      </c>
      <c r="E98" s="1037"/>
      <c r="F98" s="1039"/>
      <c r="G98" s="1039"/>
      <c r="H98" s="1039"/>
      <c r="I98" s="1039"/>
      <c r="J98" s="1039"/>
      <c r="K98" s="1039"/>
      <c r="L98" s="1039"/>
      <c r="M98" s="1039"/>
      <c r="N98" s="1037"/>
      <c r="O98" s="30"/>
    </row>
    <row r="99" spans="1:44" ht="13.15" customHeight="1" x14ac:dyDescent="0.2">
      <c r="B99" s="26"/>
      <c r="C99" s="1037"/>
      <c r="D99" s="1056" t="s">
        <v>352</v>
      </c>
      <c r="E99" s="1037"/>
      <c r="F99" s="1039"/>
      <c r="G99" s="1039"/>
      <c r="H99" s="1039"/>
      <c r="I99" s="1039"/>
      <c r="J99" s="1039"/>
      <c r="K99" s="1039"/>
      <c r="L99" s="1039"/>
      <c r="M99" s="1039"/>
      <c r="N99" s="1037"/>
      <c r="O99" s="30"/>
    </row>
    <row r="100" spans="1:44" ht="13.15" customHeight="1" x14ac:dyDescent="0.2">
      <c r="B100" s="26"/>
      <c r="C100" s="1037"/>
      <c r="D100" s="1037" t="s">
        <v>310</v>
      </c>
      <c r="E100" s="1037"/>
      <c r="F100" s="1062">
        <v>0</v>
      </c>
      <c r="G100" s="1070">
        <v>0</v>
      </c>
      <c r="H100" s="1070">
        <v>0</v>
      </c>
      <c r="I100" s="1070">
        <v>0</v>
      </c>
      <c r="J100" s="1070">
        <v>0</v>
      </c>
      <c r="K100" s="1070">
        <f t="shared" ref="H100:M101" si="52">J100</f>
        <v>0</v>
      </c>
      <c r="L100" s="1070">
        <f t="shared" si="52"/>
        <v>0</v>
      </c>
      <c r="M100" s="1070">
        <f t="shared" si="52"/>
        <v>0</v>
      </c>
      <c r="N100" s="1037"/>
      <c r="O100" s="30"/>
    </row>
    <row r="101" spans="1:44" ht="13.15" customHeight="1" x14ac:dyDescent="0.2">
      <c r="B101" s="26"/>
      <c r="C101" s="1037"/>
      <c r="D101" s="1037" t="s">
        <v>311</v>
      </c>
      <c r="E101" s="1037"/>
      <c r="F101" s="1062">
        <v>0</v>
      </c>
      <c r="G101" s="1070">
        <v>0</v>
      </c>
      <c r="H101" s="1070">
        <v>0</v>
      </c>
      <c r="I101" s="1070">
        <v>0</v>
      </c>
      <c r="J101" s="1070">
        <v>0</v>
      </c>
      <c r="K101" s="1070">
        <f t="shared" si="52"/>
        <v>0</v>
      </c>
      <c r="L101" s="1070">
        <f t="shared" si="52"/>
        <v>0</v>
      </c>
      <c r="M101" s="1070">
        <f t="shared" si="52"/>
        <v>0</v>
      </c>
      <c r="N101" s="1037"/>
      <c r="O101" s="30"/>
    </row>
    <row r="102" spans="1:44" ht="13.15" customHeight="1" x14ac:dyDescent="0.2">
      <c r="B102" s="26"/>
      <c r="C102" s="1037"/>
      <c r="D102" s="1056" t="s">
        <v>309</v>
      </c>
      <c r="E102" s="1037"/>
      <c r="F102" s="1039"/>
      <c r="G102" s="1039"/>
      <c r="H102" s="1039"/>
      <c r="I102" s="1039"/>
      <c r="J102" s="1039"/>
      <c r="K102" s="1039"/>
      <c r="L102" s="1039"/>
      <c r="M102" s="1039"/>
      <c r="N102" s="1037"/>
      <c r="O102" s="30"/>
    </row>
    <row r="103" spans="1:44" ht="13.15" customHeight="1" x14ac:dyDescent="0.2">
      <c r="B103" s="26"/>
      <c r="C103" s="1037"/>
      <c r="D103" s="1037" t="s">
        <v>312</v>
      </c>
      <c r="E103" s="1037"/>
      <c r="F103" s="1062">
        <v>0</v>
      </c>
      <c r="G103" s="1070">
        <v>0</v>
      </c>
      <c r="H103" s="1070">
        <v>0</v>
      </c>
      <c r="I103" s="1070">
        <v>0</v>
      </c>
      <c r="J103" s="1070">
        <v>0</v>
      </c>
      <c r="K103" s="1070">
        <f t="shared" ref="H103:M104" si="53">J103</f>
        <v>0</v>
      </c>
      <c r="L103" s="1070">
        <f t="shared" si="53"/>
        <v>0</v>
      </c>
      <c r="M103" s="1070">
        <f t="shared" si="53"/>
        <v>0</v>
      </c>
      <c r="N103" s="1037"/>
      <c r="O103" s="30"/>
    </row>
    <row r="104" spans="1:44" ht="13.15" customHeight="1" x14ac:dyDescent="0.2">
      <c r="B104" s="26"/>
      <c r="C104" s="1037"/>
      <c r="D104" s="1037" t="s">
        <v>313</v>
      </c>
      <c r="E104" s="1037"/>
      <c r="F104" s="1062">
        <v>0</v>
      </c>
      <c r="G104" s="1070">
        <v>0</v>
      </c>
      <c r="H104" s="1070">
        <v>0</v>
      </c>
      <c r="I104" s="1070">
        <v>0</v>
      </c>
      <c r="J104" s="1070">
        <v>0</v>
      </c>
      <c r="K104" s="1070">
        <f t="shared" si="53"/>
        <v>0</v>
      </c>
      <c r="L104" s="1070">
        <f t="shared" si="53"/>
        <v>0</v>
      </c>
      <c r="M104" s="1070">
        <f t="shared" si="53"/>
        <v>0</v>
      </c>
      <c r="N104" s="1037"/>
      <c r="O104" s="30"/>
    </row>
    <row r="105" spans="1:44" ht="13.15" customHeight="1" x14ac:dyDescent="0.2">
      <c r="B105" s="26"/>
      <c r="C105" s="1037"/>
      <c r="D105" s="1037"/>
      <c r="E105" s="1037"/>
      <c r="F105" s="1039"/>
      <c r="G105" s="1039"/>
      <c r="H105" s="1039"/>
      <c r="I105" s="1039"/>
      <c r="J105" s="1039"/>
      <c r="K105" s="1039"/>
      <c r="L105" s="1039"/>
      <c r="M105" s="1039"/>
      <c r="N105" s="1037"/>
      <c r="O105" s="30"/>
    </row>
    <row r="106" spans="1:44" ht="13.15" customHeight="1" x14ac:dyDescent="0.2">
      <c r="B106" s="26"/>
      <c r="C106" s="1037"/>
      <c r="D106" s="1049" t="s">
        <v>353</v>
      </c>
      <c r="E106" s="1037"/>
      <c r="F106" s="1039"/>
      <c r="G106" s="1039"/>
      <c r="H106" s="1039"/>
      <c r="I106" s="1039"/>
      <c r="J106" s="1039"/>
      <c r="K106" s="1039"/>
      <c r="L106" s="1039"/>
      <c r="M106" s="1039"/>
      <c r="N106" s="1037"/>
      <c r="O106" s="30"/>
    </row>
    <row r="107" spans="1:44" ht="13.15" customHeight="1" x14ac:dyDescent="0.2">
      <c r="B107" s="26"/>
      <c r="C107" s="1037"/>
      <c r="D107" s="1037" t="s">
        <v>171</v>
      </c>
      <c r="E107" s="1037"/>
      <c r="F107" s="1064">
        <f t="shared" ref="F107:M107" si="54">IF(F$38=0,0,+F$36/F$38)</f>
        <v>2.1717863431813735E-2</v>
      </c>
      <c r="G107" s="1072">
        <f t="shared" si="54"/>
        <v>0</v>
      </c>
      <c r="H107" s="1072">
        <f t="shared" si="54"/>
        <v>0</v>
      </c>
      <c r="I107" s="1072">
        <f t="shared" si="54"/>
        <v>0</v>
      </c>
      <c r="J107" s="1072">
        <f t="shared" si="54"/>
        <v>0</v>
      </c>
      <c r="K107" s="1072">
        <f t="shared" si="54"/>
        <v>0</v>
      </c>
      <c r="L107" s="1072">
        <f t="shared" si="54"/>
        <v>0</v>
      </c>
      <c r="M107" s="1072">
        <f t="shared" si="54"/>
        <v>0</v>
      </c>
      <c r="N107" s="1037"/>
      <c r="O107" s="30"/>
    </row>
    <row r="108" spans="1:44" ht="13.15" customHeight="1" x14ac:dyDescent="0.2">
      <c r="B108" s="26"/>
      <c r="C108" s="1037"/>
      <c r="D108" s="1037" t="s">
        <v>174</v>
      </c>
      <c r="E108" s="1037"/>
      <c r="F108" s="1064">
        <f t="shared" ref="F108:M108" si="55">IF(F$38=0,0,+(F$36-(F$100+F$101))/F$38)</f>
        <v>2.1717863431813735E-2</v>
      </c>
      <c r="G108" s="1072">
        <f t="shared" si="55"/>
        <v>0</v>
      </c>
      <c r="H108" s="1072">
        <f t="shared" si="55"/>
        <v>0</v>
      </c>
      <c r="I108" s="1072">
        <f t="shared" si="55"/>
        <v>0</v>
      </c>
      <c r="J108" s="1072">
        <f t="shared" si="55"/>
        <v>0</v>
      </c>
      <c r="K108" s="1072">
        <f t="shared" si="55"/>
        <v>0</v>
      </c>
      <c r="L108" s="1072">
        <f t="shared" si="55"/>
        <v>0</v>
      </c>
      <c r="M108" s="1072">
        <f t="shared" si="55"/>
        <v>0</v>
      </c>
      <c r="N108" s="1037"/>
      <c r="O108" s="30"/>
    </row>
    <row r="109" spans="1:44" s="200" customFormat="1" ht="13.15" customHeight="1" x14ac:dyDescent="0.2">
      <c r="A109" s="654"/>
      <c r="B109" s="207"/>
      <c r="C109" s="1038"/>
      <c r="D109" s="1037" t="s">
        <v>314</v>
      </c>
      <c r="E109" s="1038"/>
      <c r="F109" s="1064">
        <f t="shared" ref="F109:M109" si="56">IF(F$38=0,0,+(F$36-(F$100+F$101)+(F$103+F$104))/F$38)</f>
        <v>2.1717863431813735E-2</v>
      </c>
      <c r="G109" s="1072">
        <f t="shared" si="56"/>
        <v>0</v>
      </c>
      <c r="H109" s="1072">
        <f t="shared" si="56"/>
        <v>0</v>
      </c>
      <c r="I109" s="1072">
        <f t="shared" si="56"/>
        <v>0</v>
      </c>
      <c r="J109" s="1072">
        <f t="shared" si="56"/>
        <v>0</v>
      </c>
      <c r="K109" s="1072">
        <f t="shared" si="56"/>
        <v>0</v>
      </c>
      <c r="L109" s="1072">
        <f t="shared" si="56"/>
        <v>0</v>
      </c>
      <c r="M109" s="1072">
        <f t="shared" si="56"/>
        <v>0</v>
      </c>
      <c r="N109" s="1038"/>
      <c r="O109" s="208"/>
      <c r="P109" s="525"/>
      <c r="Q109" s="525"/>
      <c r="R109" s="525"/>
      <c r="S109" s="525"/>
      <c r="T109" s="525"/>
      <c r="U109" s="525"/>
      <c r="V109" s="525"/>
      <c r="W109" s="525"/>
      <c r="X109" s="525"/>
      <c r="Y109" s="525"/>
      <c r="Z109" s="525"/>
      <c r="AA109" s="525"/>
      <c r="AB109" s="525"/>
      <c r="AC109" s="525"/>
      <c r="AD109" s="525"/>
      <c r="AE109" s="525"/>
      <c r="AF109" s="525"/>
      <c r="AG109" s="525"/>
      <c r="AH109" s="525"/>
      <c r="AI109" s="525"/>
      <c r="AJ109" s="525"/>
      <c r="AK109" s="525"/>
      <c r="AL109" s="525"/>
      <c r="AM109" s="525"/>
      <c r="AN109" s="525"/>
      <c r="AO109" s="525"/>
      <c r="AP109" s="525"/>
      <c r="AQ109" s="525"/>
      <c r="AR109" s="525"/>
    </row>
    <row r="110" spans="1:44" s="200" customFormat="1" ht="13.15" customHeight="1" x14ac:dyDescent="0.2">
      <c r="A110" s="654"/>
      <c r="B110" s="207"/>
      <c r="C110" s="1038"/>
      <c r="D110" s="1000" t="s">
        <v>944</v>
      </c>
      <c r="E110" s="1038"/>
      <c r="F110" s="1064">
        <v>2.52E-2</v>
      </c>
      <c r="G110" s="1073">
        <v>2.4660000000000001E-2</v>
      </c>
      <c r="H110" s="1073">
        <v>2.35E-2</v>
      </c>
      <c r="I110" s="1074">
        <v>0</v>
      </c>
      <c r="J110" s="1074">
        <v>0</v>
      </c>
      <c r="K110" s="1074">
        <v>0</v>
      </c>
      <c r="L110" s="1074">
        <v>0</v>
      </c>
      <c r="M110" s="1074">
        <v>0</v>
      </c>
      <c r="N110" s="1038"/>
      <c r="O110" s="208"/>
      <c r="P110" s="525"/>
      <c r="Q110" s="525"/>
      <c r="R110" s="525"/>
      <c r="S110" s="525"/>
      <c r="T110" s="525"/>
      <c r="U110" s="525"/>
      <c r="V110" s="525"/>
      <c r="W110" s="525"/>
      <c r="X110" s="525"/>
      <c r="Y110" s="525"/>
      <c r="Z110" s="525"/>
      <c r="AA110" s="525"/>
      <c r="AB110" s="525"/>
      <c r="AC110" s="525"/>
      <c r="AD110" s="525"/>
      <c r="AE110" s="525"/>
      <c r="AF110" s="525"/>
      <c r="AG110" s="525"/>
      <c r="AH110" s="525"/>
      <c r="AI110" s="525"/>
      <c r="AJ110" s="525"/>
      <c r="AK110" s="525"/>
      <c r="AL110" s="525"/>
      <c r="AM110" s="525"/>
      <c r="AN110" s="525"/>
      <c r="AO110" s="525"/>
      <c r="AP110" s="525"/>
      <c r="AQ110" s="525"/>
      <c r="AR110" s="525"/>
    </row>
    <row r="111" spans="1:44" ht="13.15" customHeight="1" x14ac:dyDescent="0.2">
      <c r="B111" s="26"/>
      <c r="C111" s="1037"/>
      <c r="D111" s="1037"/>
      <c r="E111" s="1037"/>
      <c r="F111" s="1039"/>
      <c r="G111" s="1039"/>
      <c r="H111" s="1039"/>
      <c r="I111" s="1039"/>
      <c r="J111" s="1039"/>
      <c r="K111" s="1039"/>
      <c r="L111" s="1039"/>
      <c r="M111" s="1039"/>
      <c r="N111" s="1037"/>
      <c r="O111" s="30"/>
    </row>
    <row r="112" spans="1:44" ht="13.15" customHeight="1" x14ac:dyDescent="0.25">
      <c r="B112" s="211"/>
      <c r="C112" s="194"/>
      <c r="D112" s="194"/>
      <c r="E112" s="194"/>
      <c r="F112" s="212"/>
      <c r="G112" s="212"/>
      <c r="H112" s="212"/>
      <c r="I112" s="212"/>
      <c r="J112" s="212"/>
      <c r="K112" s="212"/>
      <c r="L112" s="212"/>
      <c r="M112" s="212"/>
      <c r="N112" s="36" t="s">
        <v>464</v>
      </c>
      <c r="O112" s="213"/>
    </row>
    <row r="113" spans="1:13" s="523" customFormat="1" ht="13.15" customHeight="1" x14ac:dyDescent="0.2">
      <c r="A113" s="651"/>
      <c r="F113" s="524"/>
      <c r="G113" s="524"/>
      <c r="H113" s="524"/>
      <c r="I113" s="524"/>
      <c r="J113" s="524"/>
      <c r="K113" s="524"/>
      <c r="L113" s="524"/>
      <c r="M113" s="524"/>
    </row>
    <row r="114" spans="1:13" s="523" customFormat="1" ht="13.15" customHeight="1" x14ac:dyDescent="0.2">
      <c r="A114" s="651"/>
      <c r="F114" s="524"/>
      <c r="G114" s="524"/>
      <c r="H114" s="524"/>
      <c r="I114" s="524"/>
      <c r="J114" s="524"/>
      <c r="K114" s="524"/>
      <c r="L114" s="524"/>
      <c r="M114" s="524"/>
    </row>
    <row r="115" spans="1:13" s="523" customFormat="1" ht="13.15" customHeight="1" x14ac:dyDescent="0.2">
      <c r="A115" s="651"/>
      <c r="F115" s="524"/>
      <c r="G115" s="524"/>
      <c r="H115" s="524"/>
      <c r="I115" s="524"/>
      <c r="J115" s="524"/>
      <c r="K115" s="524"/>
      <c r="L115" s="524"/>
      <c r="M115" s="524"/>
    </row>
    <row r="116" spans="1:13" s="523" customFormat="1" ht="13.15" customHeight="1" x14ac:dyDescent="0.2">
      <c r="A116" s="651"/>
      <c r="F116" s="524"/>
      <c r="G116" s="524"/>
      <c r="H116" s="524"/>
      <c r="I116" s="524"/>
      <c r="J116" s="524"/>
      <c r="K116" s="524"/>
      <c r="L116" s="524"/>
      <c r="M116" s="524"/>
    </row>
    <row r="117" spans="1:13" s="523" customFormat="1" ht="13.15" customHeight="1" x14ac:dyDescent="0.2">
      <c r="A117" s="651"/>
      <c r="F117" s="524"/>
      <c r="G117" s="524"/>
      <c r="H117" s="524"/>
      <c r="I117" s="524"/>
      <c r="J117" s="524"/>
      <c r="K117" s="524"/>
      <c r="L117" s="524"/>
      <c r="M117" s="524"/>
    </row>
    <row r="118" spans="1:13" s="523" customFormat="1" ht="13.15" customHeight="1" x14ac:dyDescent="0.2">
      <c r="A118" s="651"/>
      <c r="F118" s="524"/>
      <c r="G118" s="524"/>
      <c r="H118" s="524"/>
      <c r="I118" s="524"/>
      <c r="J118" s="524"/>
      <c r="K118" s="524"/>
      <c r="L118" s="524"/>
      <c r="M118" s="524"/>
    </row>
    <row r="119" spans="1:13" s="523" customFormat="1" ht="13.15" customHeight="1" x14ac:dyDescent="0.2">
      <c r="A119" s="651"/>
      <c r="F119" s="524"/>
      <c r="G119" s="524"/>
      <c r="H119" s="524"/>
      <c r="I119" s="524"/>
      <c r="J119" s="524"/>
      <c r="K119" s="524"/>
      <c r="L119" s="524"/>
      <c r="M119" s="524"/>
    </row>
    <row r="120" spans="1:13" s="523" customFormat="1" ht="13.15" customHeight="1" x14ac:dyDescent="0.2">
      <c r="A120" s="651"/>
      <c r="F120" s="524"/>
      <c r="G120" s="524"/>
      <c r="H120" s="524"/>
      <c r="I120" s="524"/>
      <c r="J120" s="524"/>
      <c r="K120" s="524"/>
      <c r="L120" s="524"/>
      <c r="M120" s="524"/>
    </row>
    <row r="121" spans="1:13" s="523" customFormat="1" ht="13.15" customHeight="1" x14ac:dyDescent="0.2">
      <c r="A121" s="651"/>
      <c r="F121" s="524"/>
      <c r="G121" s="524"/>
      <c r="H121" s="524"/>
      <c r="I121" s="524"/>
      <c r="J121" s="524"/>
      <c r="K121" s="524"/>
      <c r="L121" s="524"/>
      <c r="M121" s="524"/>
    </row>
    <row r="122" spans="1:13" s="523" customFormat="1" ht="13.15" customHeight="1" x14ac:dyDescent="0.2">
      <c r="A122" s="651"/>
      <c r="F122" s="524"/>
      <c r="G122" s="524"/>
      <c r="H122" s="524"/>
      <c r="I122" s="524"/>
      <c r="J122" s="524"/>
      <c r="K122" s="524"/>
      <c r="L122" s="524"/>
      <c r="M122" s="524"/>
    </row>
    <row r="123" spans="1:13" s="523" customFormat="1" ht="13.15" customHeight="1" x14ac:dyDescent="0.2">
      <c r="A123" s="651"/>
      <c r="F123" s="524"/>
      <c r="G123" s="524"/>
      <c r="H123" s="524"/>
      <c r="I123" s="524"/>
      <c r="J123" s="524"/>
      <c r="K123" s="524"/>
      <c r="L123" s="524"/>
      <c r="M123" s="524"/>
    </row>
    <row r="124" spans="1:13" s="523" customFormat="1" ht="13.15" customHeight="1" x14ac:dyDescent="0.2">
      <c r="A124" s="651"/>
      <c r="F124" s="524"/>
      <c r="G124" s="524"/>
      <c r="H124" s="524"/>
      <c r="I124" s="524"/>
      <c r="J124" s="524"/>
      <c r="K124" s="524"/>
      <c r="L124" s="524"/>
      <c r="M124" s="524"/>
    </row>
    <row r="125" spans="1:13" s="525" customFormat="1" ht="13.15" customHeight="1" x14ac:dyDescent="0.2">
      <c r="A125" s="654"/>
    </row>
    <row r="126" spans="1:13" s="523" customFormat="1" ht="13.15" customHeight="1" x14ac:dyDescent="0.2">
      <c r="A126" s="651"/>
      <c r="F126" s="524"/>
      <c r="G126" s="524"/>
      <c r="H126" s="524"/>
      <c r="I126" s="524"/>
      <c r="J126" s="524"/>
      <c r="K126" s="524"/>
      <c r="L126" s="524"/>
      <c r="M126" s="524"/>
    </row>
    <row r="127" spans="1:13" s="523" customFormat="1" ht="13.15" customHeight="1" x14ac:dyDescent="0.2">
      <c r="A127" s="651"/>
      <c r="F127" s="524"/>
      <c r="G127" s="524"/>
      <c r="H127" s="524"/>
      <c r="I127" s="524"/>
      <c r="J127" s="524"/>
      <c r="K127" s="524"/>
      <c r="L127" s="524"/>
      <c r="M127" s="524"/>
    </row>
    <row r="128" spans="1:13" s="523" customFormat="1" ht="13.15" customHeight="1" x14ac:dyDescent="0.2">
      <c r="A128" s="651"/>
      <c r="F128" s="524"/>
      <c r="G128" s="524"/>
      <c r="H128" s="524"/>
      <c r="I128" s="524"/>
      <c r="J128" s="524"/>
      <c r="K128" s="524"/>
      <c r="L128" s="524"/>
      <c r="M128" s="524"/>
    </row>
    <row r="129" spans="1:13" s="523" customFormat="1" ht="13.15" customHeight="1" x14ac:dyDescent="0.2">
      <c r="A129" s="651"/>
      <c r="F129" s="524"/>
      <c r="G129" s="524"/>
      <c r="H129" s="524"/>
      <c r="I129" s="524"/>
      <c r="J129" s="524"/>
      <c r="K129" s="524"/>
      <c r="L129" s="524"/>
      <c r="M129" s="524"/>
    </row>
    <row r="130" spans="1:13" s="525" customFormat="1" ht="13.15" customHeight="1" x14ac:dyDescent="0.2">
      <c r="A130" s="654"/>
    </row>
    <row r="131" spans="1:13" s="523" customFormat="1" ht="13.15" customHeight="1" x14ac:dyDescent="0.2">
      <c r="A131" s="651"/>
      <c r="F131" s="524"/>
      <c r="G131" s="524"/>
      <c r="H131" s="524"/>
      <c r="I131" s="524"/>
      <c r="J131" s="524"/>
      <c r="K131" s="524"/>
      <c r="L131" s="524"/>
      <c r="M131" s="524"/>
    </row>
    <row r="132" spans="1:13" s="523" customFormat="1" ht="13.15" customHeight="1" x14ac:dyDescent="0.2">
      <c r="A132" s="651"/>
      <c r="F132" s="524"/>
      <c r="G132" s="524"/>
      <c r="H132" s="524"/>
      <c r="I132" s="524"/>
      <c r="J132" s="524"/>
      <c r="K132" s="524"/>
      <c r="L132" s="524"/>
      <c r="M132" s="524"/>
    </row>
    <row r="133" spans="1:13" s="523" customFormat="1" ht="13.15" customHeight="1" x14ac:dyDescent="0.2">
      <c r="A133" s="651"/>
      <c r="F133" s="524"/>
      <c r="G133" s="524"/>
      <c r="H133" s="524"/>
      <c r="I133" s="524"/>
      <c r="J133" s="524"/>
      <c r="K133" s="524"/>
      <c r="L133" s="524"/>
      <c r="M133" s="524"/>
    </row>
    <row r="134" spans="1:13" s="523" customFormat="1" ht="13.15" customHeight="1" x14ac:dyDescent="0.2">
      <c r="A134" s="651"/>
      <c r="F134" s="524"/>
      <c r="G134" s="524"/>
      <c r="H134" s="524"/>
      <c r="I134" s="524"/>
      <c r="J134" s="524"/>
      <c r="K134" s="524"/>
      <c r="L134" s="524"/>
      <c r="M134" s="524"/>
    </row>
    <row r="135" spans="1:13" s="525" customFormat="1" ht="13.15" customHeight="1" x14ac:dyDescent="0.2">
      <c r="A135" s="654"/>
    </row>
    <row r="136" spans="1:13" s="523" customFormat="1" ht="13.15" customHeight="1" x14ac:dyDescent="0.2">
      <c r="A136" s="651"/>
      <c r="F136" s="524"/>
      <c r="G136" s="524"/>
      <c r="H136" s="524"/>
      <c r="I136" s="524"/>
      <c r="J136" s="524"/>
      <c r="K136" s="524"/>
      <c r="L136" s="524"/>
      <c r="M136" s="524"/>
    </row>
    <row r="137" spans="1:13" s="523" customFormat="1" ht="13.15" customHeight="1" x14ac:dyDescent="0.2">
      <c r="A137" s="651"/>
      <c r="F137" s="524"/>
      <c r="G137" s="524"/>
      <c r="H137" s="524"/>
      <c r="I137" s="524"/>
      <c r="J137" s="524"/>
      <c r="K137" s="524"/>
      <c r="L137" s="524"/>
      <c r="M137" s="524"/>
    </row>
    <row r="138" spans="1:13" s="523" customFormat="1" ht="13.15" customHeight="1" x14ac:dyDescent="0.2">
      <c r="A138" s="651"/>
      <c r="F138" s="524"/>
      <c r="G138" s="524"/>
      <c r="H138" s="524"/>
      <c r="I138" s="524"/>
      <c r="J138" s="524"/>
      <c r="K138" s="524"/>
      <c r="L138" s="524"/>
      <c r="M138" s="524"/>
    </row>
    <row r="139" spans="1:13" s="523" customFormat="1" ht="13.15" customHeight="1" x14ac:dyDescent="0.2">
      <c r="A139" s="651"/>
      <c r="F139" s="524"/>
      <c r="G139" s="524"/>
      <c r="H139" s="524"/>
      <c r="I139" s="524"/>
      <c r="J139" s="524"/>
      <c r="K139" s="524"/>
      <c r="L139" s="524"/>
      <c r="M139" s="524"/>
    </row>
    <row r="140" spans="1:13" s="525" customFormat="1" ht="13.15" customHeight="1" x14ac:dyDescent="0.2">
      <c r="A140" s="654"/>
    </row>
    <row r="141" spans="1:13" s="523" customFormat="1" ht="13.15" customHeight="1" x14ac:dyDescent="0.2">
      <c r="A141" s="651"/>
      <c r="F141" s="524"/>
      <c r="G141" s="524"/>
      <c r="H141" s="524"/>
      <c r="I141" s="524"/>
      <c r="J141" s="524"/>
      <c r="K141" s="524"/>
      <c r="L141" s="524"/>
      <c r="M141" s="524"/>
    </row>
    <row r="142" spans="1:13" s="523" customFormat="1" ht="13.15" customHeight="1" x14ac:dyDescent="0.2">
      <c r="A142" s="651"/>
      <c r="F142" s="524"/>
      <c r="G142" s="524"/>
      <c r="H142" s="524"/>
      <c r="I142" s="524"/>
      <c r="J142" s="524"/>
      <c r="K142" s="524"/>
      <c r="L142" s="524"/>
      <c r="M142" s="524"/>
    </row>
    <row r="143" spans="1:13" s="523" customFormat="1" ht="13.15" customHeight="1" x14ac:dyDescent="0.2">
      <c r="A143" s="651"/>
      <c r="F143" s="524"/>
      <c r="G143" s="524"/>
      <c r="H143" s="524"/>
      <c r="I143" s="524"/>
      <c r="J143" s="524"/>
      <c r="K143" s="524"/>
      <c r="L143" s="524"/>
      <c r="M143" s="524"/>
    </row>
    <row r="144" spans="1:13" s="523" customFormat="1" ht="13.15" customHeight="1" x14ac:dyDescent="0.2">
      <c r="A144" s="651"/>
      <c r="F144" s="524"/>
      <c r="G144" s="524"/>
      <c r="H144" s="524"/>
      <c r="I144" s="524"/>
      <c r="J144" s="524"/>
      <c r="K144" s="524"/>
      <c r="L144" s="524"/>
      <c r="M144" s="524"/>
    </row>
    <row r="145" spans="1:13" s="525" customFormat="1" ht="13.15" customHeight="1" x14ac:dyDescent="0.2">
      <c r="A145" s="654"/>
    </row>
    <row r="146" spans="1:13" s="523" customFormat="1" ht="13.15" customHeight="1" x14ac:dyDescent="0.2">
      <c r="A146" s="651"/>
      <c r="F146" s="524"/>
      <c r="G146" s="524"/>
      <c r="H146" s="524"/>
      <c r="I146" s="524"/>
      <c r="J146" s="524"/>
      <c r="K146" s="524"/>
      <c r="L146" s="524"/>
      <c r="M146" s="524"/>
    </row>
    <row r="147" spans="1:13" s="523" customFormat="1" ht="13.15" customHeight="1" x14ac:dyDescent="0.2">
      <c r="A147" s="651"/>
      <c r="F147" s="524"/>
      <c r="G147" s="524"/>
      <c r="H147" s="524"/>
      <c r="I147" s="524"/>
      <c r="J147" s="524"/>
      <c r="K147" s="524"/>
      <c r="L147" s="524"/>
      <c r="M147" s="524"/>
    </row>
    <row r="148" spans="1:13" s="523" customFormat="1" ht="13.15" customHeight="1" x14ac:dyDescent="0.2">
      <c r="A148" s="651"/>
      <c r="F148" s="524"/>
      <c r="G148" s="524"/>
      <c r="H148" s="524"/>
      <c r="I148" s="524"/>
      <c r="J148" s="524"/>
      <c r="K148" s="524"/>
      <c r="L148" s="524"/>
      <c r="M148" s="524"/>
    </row>
    <row r="149" spans="1:13" s="523" customFormat="1" ht="13.15" customHeight="1" x14ac:dyDescent="0.2">
      <c r="A149" s="651"/>
      <c r="F149" s="524"/>
      <c r="G149" s="524"/>
      <c r="H149" s="524"/>
      <c r="I149" s="524"/>
      <c r="J149" s="524"/>
      <c r="K149" s="524"/>
      <c r="L149" s="524"/>
      <c r="M149" s="524"/>
    </row>
    <row r="150" spans="1:13" s="523" customFormat="1" ht="13.15" customHeight="1" x14ac:dyDescent="0.2">
      <c r="A150" s="651"/>
      <c r="F150" s="524"/>
      <c r="G150" s="524"/>
      <c r="H150" s="524"/>
      <c r="I150" s="524"/>
      <c r="J150" s="524"/>
      <c r="K150" s="524"/>
      <c r="L150" s="524"/>
      <c r="M150" s="524"/>
    </row>
    <row r="151" spans="1:13" s="523" customFormat="1" ht="13.15" customHeight="1" x14ac:dyDescent="0.2">
      <c r="A151" s="651"/>
      <c r="F151" s="524"/>
      <c r="G151" s="524"/>
      <c r="H151" s="524"/>
      <c r="I151" s="524"/>
      <c r="J151" s="524"/>
      <c r="K151" s="524"/>
      <c r="L151" s="524"/>
      <c r="M151" s="524"/>
    </row>
    <row r="152" spans="1:13" s="523" customFormat="1" ht="13.15" customHeight="1" x14ac:dyDescent="0.2">
      <c r="A152" s="651"/>
      <c r="F152" s="524"/>
      <c r="G152" s="524"/>
      <c r="H152" s="524"/>
      <c r="I152" s="524"/>
      <c r="J152" s="524"/>
      <c r="K152" s="524"/>
      <c r="L152" s="524"/>
      <c r="M152" s="524"/>
    </row>
    <row r="153" spans="1:13" s="523" customFormat="1" ht="13.15" customHeight="1" x14ac:dyDescent="0.2">
      <c r="A153" s="651"/>
      <c r="F153" s="524"/>
      <c r="G153" s="524"/>
      <c r="H153" s="524"/>
      <c r="I153" s="524"/>
      <c r="J153" s="524"/>
      <c r="K153" s="524"/>
      <c r="L153" s="524"/>
      <c r="M153" s="524"/>
    </row>
    <row r="154" spans="1:13" s="523" customFormat="1" ht="13.15" customHeight="1" x14ac:dyDescent="0.2">
      <c r="A154" s="651"/>
      <c r="F154" s="524"/>
      <c r="G154" s="524"/>
      <c r="H154" s="524"/>
      <c r="I154" s="524"/>
      <c r="J154" s="524"/>
      <c r="K154" s="524"/>
      <c r="L154" s="524"/>
      <c r="M154" s="524"/>
    </row>
    <row r="155" spans="1:13" s="523" customFormat="1" ht="13.15" customHeight="1" x14ac:dyDescent="0.2">
      <c r="A155" s="651"/>
      <c r="F155" s="524"/>
      <c r="G155" s="524"/>
      <c r="H155" s="524"/>
      <c r="I155" s="524"/>
      <c r="J155" s="524"/>
      <c r="K155" s="524"/>
      <c r="L155" s="524"/>
      <c r="M155" s="524"/>
    </row>
    <row r="156" spans="1:13" s="523" customFormat="1" ht="13.15" customHeight="1" x14ac:dyDescent="0.2">
      <c r="A156" s="651"/>
      <c r="F156" s="524"/>
      <c r="G156" s="524"/>
      <c r="H156" s="524"/>
      <c r="I156" s="524"/>
      <c r="J156" s="524"/>
      <c r="K156" s="524"/>
      <c r="L156" s="524"/>
      <c r="M156" s="524"/>
    </row>
    <row r="157" spans="1:13" s="523" customFormat="1" ht="13.15" customHeight="1" x14ac:dyDescent="0.2">
      <c r="A157" s="651"/>
      <c r="F157" s="524"/>
      <c r="G157" s="524"/>
      <c r="H157" s="524"/>
      <c r="I157" s="524"/>
      <c r="J157" s="524"/>
      <c r="K157" s="524"/>
      <c r="L157" s="524"/>
      <c r="M157" s="524"/>
    </row>
    <row r="158" spans="1:13" s="525" customFormat="1" ht="13.15" customHeight="1" x14ac:dyDescent="0.2">
      <c r="A158" s="654"/>
    </row>
    <row r="159" spans="1:13" s="523" customFormat="1" ht="13.15" customHeight="1" x14ac:dyDescent="0.2">
      <c r="A159" s="651"/>
      <c r="F159" s="524"/>
      <c r="G159" s="524"/>
      <c r="H159" s="524"/>
      <c r="I159" s="524"/>
      <c r="J159" s="524"/>
      <c r="K159" s="524"/>
      <c r="L159" s="524"/>
      <c r="M159" s="524"/>
    </row>
    <row r="160" spans="1:13" s="523" customFormat="1" ht="13.15" customHeight="1" x14ac:dyDescent="0.2">
      <c r="A160" s="651"/>
      <c r="F160" s="524"/>
      <c r="G160" s="524"/>
      <c r="H160" s="524"/>
      <c r="I160" s="524"/>
      <c r="J160" s="524"/>
      <c r="K160" s="524"/>
      <c r="L160" s="524"/>
      <c r="M160" s="524"/>
    </row>
    <row r="161" spans="1:13" s="523" customFormat="1" ht="13.15" customHeight="1" x14ac:dyDescent="0.2">
      <c r="A161" s="651"/>
      <c r="F161" s="524"/>
      <c r="G161" s="524"/>
      <c r="H161" s="524"/>
      <c r="I161" s="524"/>
      <c r="J161" s="524"/>
      <c r="K161" s="524"/>
      <c r="L161" s="524"/>
      <c r="M161" s="524"/>
    </row>
    <row r="162" spans="1:13" s="523" customFormat="1" ht="13.15" customHeight="1" x14ac:dyDescent="0.2">
      <c r="A162" s="651"/>
      <c r="F162" s="524"/>
      <c r="G162" s="524"/>
      <c r="H162" s="524"/>
      <c r="I162" s="524"/>
      <c r="J162" s="524"/>
      <c r="K162" s="524"/>
      <c r="L162" s="524"/>
      <c r="M162" s="524"/>
    </row>
    <row r="163" spans="1:13" s="523" customFormat="1" ht="13.15" customHeight="1" x14ac:dyDescent="0.2">
      <c r="A163" s="651"/>
      <c r="F163" s="524"/>
      <c r="G163" s="524"/>
      <c r="H163" s="524"/>
      <c r="I163" s="524"/>
      <c r="J163" s="524"/>
      <c r="K163" s="524"/>
      <c r="L163" s="524"/>
      <c r="M163" s="524"/>
    </row>
    <row r="164" spans="1:13" s="525" customFormat="1" ht="13.15" customHeight="1" x14ac:dyDescent="0.2">
      <c r="A164" s="654"/>
    </row>
    <row r="165" spans="1:13" s="523" customFormat="1" ht="13.15" customHeight="1" x14ac:dyDescent="0.2">
      <c r="A165" s="651"/>
      <c r="F165" s="524"/>
      <c r="G165" s="524"/>
      <c r="H165" s="524"/>
      <c r="I165" s="524"/>
      <c r="J165" s="524"/>
      <c r="K165" s="524"/>
      <c r="L165" s="524"/>
      <c r="M165" s="524"/>
    </row>
    <row r="166" spans="1:13" s="523" customFormat="1" ht="13.15" customHeight="1" x14ac:dyDescent="0.2">
      <c r="A166" s="651"/>
      <c r="F166" s="524"/>
      <c r="G166" s="524"/>
      <c r="H166" s="524"/>
      <c r="I166" s="524"/>
      <c r="J166" s="524"/>
      <c r="K166" s="524"/>
      <c r="L166" s="524"/>
      <c r="M166" s="524"/>
    </row>
    <row r="167" spans="1:13" s="523" customFormat="1" ht="13.15" customHeight="1" x14ac:dyDescent="0.2">
      <c r="A167" s="651"/>
      <c r="F167" s="524"/>
      <c r="G167" s="524"/>
      <c r="H167" s="524"/>
      <c r="I167" s="524"/>
      <c r="J167" s="524"/>
      <c r="K167" s="524"/>
      <c r="L167" s="524"/>
      <c r="M167" s="524"/>
    </row>
    <row r="168" spans="1:13" s="523" customFormat="1" ht="13.15" customHeight="1" x14ac:dyDescent="0.2">
      <c r="A168" s="651"/>
      <c r="F168" s="524"/>
      <c r="G168" s="524"/>
      <c r="H168" s="524"/>
      <c r="I168" s="524"/>
      <c r="J168" s="524"/>
      <c r="K168" s="524"/>
      <c r="L168" s="524"/>
      <c r="M168" s="524"/>
    </row>
    <row r="169" spans="1:13" s="523" customFormat="1" ht="13.15" customHeight="1" x14ac:dyDescent="0.2">
      <c r="A169" s="651"/>
      <c r="F169" s="524"/>
      <c r="G169" s="524"/>
      <c r="H169" s="524"/>
      <c r="I169" s="524"/>
      <c r="J169" s="524"/>
      <c r="K169" s="524"/>
      <c r="L169" s="524"/>
      <c r="M169" s="524"/>
    </row>
    <row r="170" spans="1:13" s="525" customFormat="1" ht="13.15" customHeight="1" x14ac:dyDescent="0.2">
      <c r="A170" s="654"/>
    </row>
    <row r="171" spans="1:13" s="523" customFormat="1" ht="13.15" customHeight="1" x14ac:dyDescent="0.2">
      <c r="A171" s="651"/>
      <c r="F171" s="524"/>
      <c r="G171" s="524"/>
      <c r="H171" s="524"/>
      <c r="I171" s="524"/>
      <c r="J171" s="524"/>
      <c r="K171" s="524"/>
      <c r="L171" s="524"/>
      <c r="M171" s="524"/>
    </row>
    <row r="172" spans="1:13" s="523" customFormat="1" ht="13.15" customHeight="1" x14ac:dyDescent="0.2">
      <c r="A172" s="651"/>
      <c r="F172" s="524"/>
      <c r="G172" s="524"/>
      <c r="H172" s="524"/>
      <c r="I172" s="524"/>
      <c r="J172" s="524"/>
      <c r="K172" s="524"/>
      <c r="L172" s="524"/>
      <c r="M172" s="524"/>
    </row>
    <row r="173" spans="1:13" s="523" customFormat="1" ht="13.15" customHeight="1" x14ac:dyDescent="0.2">
      <c r="A173" s="651"/>
      <c r="F173" s="524"/>
      <c r="G173" s="524"/>
      <c r="H173" s="524"/>
      <c r="I173" s="524"/>
      <c r="J173" s="524"/>
      <c r="K173" s="524"/>
      <c r="L173" s="524"/>
      <c r="M173" s="524"/>
    </row>
    <row r="174" spans="1:13" s="523" customFormat="1" ht="13.15" customHeight="1" x14ac:dyDescent="0.2">
      <c r="A174" s="651"/>
      <c r="F174" s="524"/>
      <c r="G174" s="524"/>
      <c r="H174" s="524"/>
      <c r="I174" s="524"/>
      <c r="J174" s="524"/>
      <c r="K174" s="524"/>
      <c r="L174" s="524"/>
      <c r="M174" s="524"/>
    </row>
    <row r="175" spans="1:13" s="523" customFormat="1" ht="13.15" customHeight="1" x14ac:dyDescent="0.2">
      <c r="A175" s="651"/>
      <c r="F175" s="524"/>
      <c r="G175" s="524"/>
      <c r="H175" s="524"/>
      <c r="I175" s="524"/>
      <c r="J175" s="524"/>
      <c r="K175" s="524"/>
      <c r="L175" s="524"/>
      <c r="M175" s="524"/>
    </row>
    <row r="176" spans="1:13" s="525" customFormat="1" ht="13.15" customHeight="1" x14ac:dyDescent="0.2">
      <c r="A176" s="654"/>
    </row>
    <row r="177" spans="1:13" s="523" customFormat="1" ht="13.15" customHeight="1" x14ac:dyDescent="0.2">
      <c r="A177" s="651"/>
      <c r="F177" s="524"/>
      <c r="G177" s="524"/>
      <c r="H177" s="524"/>
      <c r="I177" s="524"/>
      <c r="J177" s="524"/>
      <c r="K177" s="524"/>
      <c r="L177" s="524"/>
      <c r="M177" s="524"/>
    </row>
    <row r="178" spans="1:13" s="523" customFormat="1" ht="13.15" customHeight="1" x14ac:dyDescent="0.2">
      <c r="A178" s="651"/>
      <c r="F178" s="524"/>
      <c r="G178" s="524"/>
      <c r="H178" s="524"/>
      <c r="I178" s="524"/>
      <c r="J178" s="524"/>
      <c r="K178" s="524"/>
      <c r="L178" s="524"/>
      <c r="M178" s="524"/>
    </row>
    <row r="179" spans="1:13" s="523" customFormat="1" ht="13.15" customHeight="1" x14ac:dyDescent="0.2">
      <c r="A179" s="651"/>
      <c r="F179" s="524"/>
      <c r="G179" s="524"/>
      <c r="H179" s="524"/>
      <c r="I179" s="524"/>
      <c r="J179" s="524"/>
      <c r="K179" s="524"/>
      <c r="L179" s="524"/>
      <c r="M179" s="524"/>
    </row>
    <row r="180" spans="1:13" s="523" customFormat="1" ht="13.15" customHeight="1" x14ac:dyDescent="0.2">
      <c r="A180" s="651"/>
      <c r="F180" s="524"/>
      <c r="G180" s="524"/>
      <c r="H180" s="524"/>
      <c r="I180" s="524"/>
      <c r="J180" s="524"/>
      <c r="K180" s="524"/>
      <c r="L180" s="524"/>
      <c r="M180" s="524"/>
    </row>
    <row r="181" spans="1:13" s="523" customFormat="1" ht="13.15" customHeight="1" x14ac:dyDescent="0.2">
      <c r="A181" s="651"/>
      <c r="F181" s="524"/>
      <c r="G181" s="524"/>
      <c r="H181" s="524"/>
      <c r="I181" s="524"/>
      <c r="J181" s="524"/>
      <c r="K181" s="524"/>
      <c r="L181" s="524"/>
      <c r="M181" s="524"/>
    </row>
    <row r="182" spans="1:13" s="525" customFormat="1" ht="13.15" customHeight="1" x14ac:dyDescent="0.2">
      <c r="A182" s="654"/>
    </row>
    <row r="183" spans="1:13" s="523" customFormat="1" ht="13.15" customHeight="1" x14ac:dyDescent="0.2">
      <c r="A183" s="651"/>
      <c r="F183" s="524"/>
      <c r="G183" s="524"/>
      <c r="H183" s="524"/>
      <c r="I183" s="524"/>
      <c r="J183" s="524"/>
      <c r="K183" s="524"/>
      <c r="L183" s="524"/>
      <c r="M183" s="524"/>
    </row>
    <row r="184" spans="1:13" s="523" customFormat="1" ht="13.15" customHeight="1" x14ac:dyDescent="0.2">
      <c r="A184" s="651"/>
      <c r="F184" s="524"/>
      <c r="G184" s="524"/>
      <c r="H184" s="524"/>
      <c r="I184" s="524"/>
      <c r="J184" s="524"/>
      <c r="K184" s="524"/>
      <c r="L184" s="524"/>
      <c r="M184" s="524"/>
    </row>
    <row r="185" spans="1:13" s="523" customFormat="1" ht="13.15" customHeight="1" x14ac:dyDescent="0.2">
      <c r="A185" s="651"/>
      <c r="F185" s="524"/>
      <c r="G185" s="524"/>
      <c r="H185" s="524"/>
      <c r="I185" s="524"/>
      <c r="J185" s="524"/>
      <c r="K185" s="524"/>
      <c r="L185" s="524"/>
      <c r="M185" s="524"/>
    </row>
    <row r="186" spans="1:13" s="523" customFormat="1" ht="13.15" customHeight="1" x14ac:dyDescent="0.2">
      <c r="A186" s="651"/>
      <c r="F186" s="524"/>
      <c r="G186" s="524"/>
      <c r="H186" s="524"/>
      <c r="I186" s="524"/>
      <c r="J186" s="524"/>
      <c r="K186" s="524"/>
      <c r="L186" s="524"/>
      <c r="M186" s="524"/>
    </row>
    <row r="187" spans="1:13" s="523" customFormat="1" ht="13.15" customHeight="1" x14ac:dyDescent="0.2">
      <c r="A187" s="651"/>
      <c r="F187" s="524"/>
      <c r="G187" s="524"/>
      <c r="H187" s="524"/>
      <c r="I187" s="524"/>
      <c r="J187" s="524"/>
      <c r="K187" s="524"/>
      <c r="L187" s="524"/>
      <c r="M187" s="524"/>
    </row>
    <row r="188" spans="1:13" s="525" customFormat="1" ht="13.15" customHeight="1" x14ac:dyDescent="0.2">
      <c r="A188" s="654"/>
    </row>
    <row r="189" spans="1:13" s="523" customFormat="1" ht="13.15" customHeight="1" x14ac:dyDescent="0.2">
      <c r="A189" s="651"/>
      <c r="F189" s="524"/>
      <c r="G189" s="524"/>
      <c r="H189" s="524"/>
      <c r="I189" s="524"/>
      <c r="J189" s="524"/>
      <c r="K189" s="524"/>
      <c r="L189" s="524"/>
      <c r="M189" s="524"/>
    </row>
    <row r="190" spans="1:13" s="523" customFormat="1" ht="13.15" customHeight="1" x14ac:dyDescent="0.2">
      <c r="A190" s="651"/>
      <c r="F190" s="524"/>
      <c r="G190" s="524"/>
      <c r="H190" s="524"/>
      <c r="I190" s="524"/>
      <c r="J190" s="524"/>
      <c r="K190" s="524"/>
      <c r="L190" s="524"/>
      <c r="M190" s="524"/>
    </row>
    <row r="191" spans="1:13" s="523" customFormat="1" ht="13.15" customHeight="1" x14ac:dyDescent="0.2">
      <c r="A191" s="651"/>
      <c r="F191" s="524"/>
      <c r="G191" s="524"/>
      <c r="H191" s="524"/>
      <c r="I191" s="524"/>
      <c r="J191" s="524"/>
      <c r="K191" s="524"/>
      <c r="L191" s="524"/>
      <c r="M191" s="524"/>
    </row>
    <row r="192" spans="1:13" s="523" customFormat="1" ht="13.15" customHeight="1" x14ac:dyDescent="0.2">
      <c r="A192" s="651"/>
      <c r="F192" s="524"/>
      <c r="G192" s="524"/>
      <c r="H192" s="524"/>
      <c r="I192" s="524"/>
      <c r="J192" s="524"/>
      <c r="K192" s="524"/>
      <c r="L192" s="524"/>
      <c r="M192" s="524"/>
    </row>
    <row r="193" spans="1:13" s="523" customFormat="1" ht="13.15" customHeight="1" x14ac:dyDescent="0.2">
      <c r="A193" s="651"/>
      <c r="F193" s="524"/>
      <c r="G193" s="524"/>
      <c r="H193" s="524"/>
      <c r="I193" s="524"/>
      <c r="J193" s="524"/>
      <c r="K193" s="524"/>
      <c r="L193" s="524"/>
      <c r="M193" s="524"/>
    </row>
    <row r="194" spans="1:13" s="523" customFormat="1" ht="13.15" customHeight="1" x14ac:dyDescent="0.2">
      <c r="A194" s="651"/>
      <c r="F194" s="524"/>
      <c r="G194" s="524"/>
      <c r="H194" s="524"/>
      <c r="I194" s="524"/>
      <c r="J194" s="524"/>
      <c r="K194" s="524"/>
      <c r="L194" s="524"/>
      <c r="M194" s="524"/>
    </row>
    <row r="195" spans="1:13" s="523" customFormat="1" ht="13.15" customHeight="1" x14ac:dyDescent="0.2">
      <c r="A195" s="651"/>
      <c r="F195" s="524"/>
      <c r="G195" s="524"/>
      <c r="H195" s="524"/>
      <c r="I195" s="524"/>
      <c r="J195" s="524"/>
      <c r="K195" s="524"/>
      <c r="L195" s="524"/>
      <c r="M195" s="524"/>
    </row>
    <row r="196" spans="1:13" s="523" customFormat="1" ht="13.15" customHeight="1" x14ac:dyDescent="0.2">
      <c r="A196" s="651"/>
      <c r="F196" s="524"/>
      <c r="G196" s="524"/>
      <c r="H196" s="524"/>
      <c r="I196" s="524"/>
      <c r="J196" s="524"/>
      <c r="K196" s="524"/>
      <c r="L196" s="524"/>
      <c r="M196" s="524"/>
    </row>
    <row r="197" spans="1:13" s="523" customFormat="1" ht="13.15" customHeight="1" x14ac:dyDescent="0.2">
      <c r="A197" s="651"/>
      <c r="F197" s="524"/>
      <c r="G197" s="524"/>
      <c r="H197" s="524"/>
      <c r="I197" s="524"/>
      <c r="J197" s="524"/>
      <c r="K197" s="524"/>
      <c r="L197" s="524"/>
      <c r="M197" s="524"/>
    </row>
    <row r="198" spans="1:13" s="523" customFormat="1" ht="13.15" customHeight="1" x14ac:dyDescent="0.2">
      <c r="A198" s="651"/>
      <c r="F198" s="524"/>
      <c r="G198" s="524"/>
      <c r="H198" s="524"/>
      <c r="I198" s="524"/>
      <c r="J198" s="524"/>
      <c r="K198" s="524"/>
      <c r="L198" s="524"/>
      <c r="M198" s="524"/>
    </row>
    <row r="199" spans="1:13" s="523" customFormat="1" ht="13.15" customHeight="1" x14ac:dyDescent="0.2">
      <c r="A199" s="651"/>
      <c r="F199" s="524"/>
      <c r="G199" s="524"/>
      <c r="H199" s="524"/>
      <c r="I199" s="524"/>
      <c r="J199" s="524"/>
      <c r="K199" s="524"/>
      <c r="L199" s="524"/>
      <c r="M199" s="524"/>
    </row>
    <row r="200" spans="1:13" s="523" customFormat="1" ht="13.15" customHeight="1" x14ac:dyDescent="0.2">
      <c r="A200" s="651"/>
      <c r="F200" s="524"/>
      <c r="G200" s="524"/>
      <c r="H200" s="524"/>
      <c r="I200" s="524"/>
      <c r="J200" s="524"/>
      <c r="K200" s="524"/>
      <c r="L200" s="524"/>
      <c r="M200" s="524"/>
    </row>
    <row r="201" spans="1:13" s="525" customFormat="1" ht="13.15" customHeight="1" x14ac:dyDescent="0.2">
      <c r="A201" s="654"/>
    </row>
    <row r="202" spans="1:13" s="523" customFormat="1" ht="13.15" customHeight="1" x14ac:dyDescent="0.2">
      <c r="A202" s="651"/>
      <c r="F202" s="524"/>
      <c r="G202" s="524"/>
      <c r="H202" s="524"/>
      <c r="I202" s="524"/>
      <c r="J202" s="524"/>
      <c r="K202" s="524"/>
      <c r="L202" s="524"/>
      <c r="M202" s="524"/>
    </row>
    <row r="203" spans="1:13" s="523" customFormat="1" ht="13.15" customHeight="1" x14ac:dyDescent="0.2">
      <c r="A203" s="651"/>
      <c r="F203" s="524"/>
      <c r="G203" s="524"/>
      <c r="H203" s="524"/>
      <c r="I203" s="524"/>
      <c r="J203" s="524"/>
      <c r="K203" s="524"/>
      <c r="L203" s="524"/>
      <c r="M203" s="524"/>
    </row>
    <row r="204" spans="1:13" s="523" customFormat="1" ht="13.15" customHeight="1" x14ac:dyDescent="0.2">
      <c r="A204" s="651"/>
      <c r="F204" s="524"/>
      <c r="G204" s="524"/>
      <c r="H204" s="524"/>
      <c r="I204" s="524"/>
      <c r="J204" s="524"/>
      <c r="K204" s="524"/>
      <c r="L204" s="524"/>
      <c r="M204" s="524"/>
    </row>
    <row r="205" spans="1:13" s="523" customFormat="1" ht="13.15" customHeight="1" x14ac:dyDescent="0.2">
      <c r="A205" s="651"/>
      <c r="F205" s="524"/>
      <c r="G205" s="524"/>
      <c r="H205" s="524"/>
      <c r="I205" s="524"/>
      <c r="J205" s="524"/>
      <c r="K205" s="524"/>
      <c r="L205" s="524"/>
      <c r="M205" s="524"/>
    </row>
    <row r="206" spans="1:13" s="523" customFormat="1" ht="13.15" customHeight="1" x14ac:dyDescent="0.2">
      <c r="A206" s="651"/>
      <c r="F206" s="524"/>
      <c r="G206" s="524"/>
      <c r="H206" s="524"/>
      <c r="I206" s="524"/>
      <c r="J206" s="524"/>
      <c r="K206" s="524"/>
      <c r="L206" s="524"/>
      <c r="M206" s="524"/>
    </row>
    <row r="207" spans="1:13" s="525" customFormat="1" ht="13.15" customHeight="1" x14ac:dyDescent="0.2">
      <c r="A207" s="654"/>
    </row>
    <row r="208" spans="1:13" s="523" customFormat="1" ht="13.15" customHeight="1" x14ac:dyDescent="0.2">
      <c r="A208" s="651"/>
      <c r="F208" s="524"/>
      <c r="G208" s="524"/>
      <c r="H208" s="524"/>
      <c r="I208" s="524"/>
      <c r="J208" s="524"/>
      <c r="K208" s="524"/>
      <c r="L208" s="524"/>
      <c r="M208" s="524"/>
    </row>
    <row r="209" spans="1:13" s="523" customFormat="1" ht="13.15" customHeight="1" x14ac:dyDescent="0.2">
      <c r="A209" s="651"/>
      <c r="F209" s="524"/>
      <c r="G209" s="524"/>
      <c r="H209" s="524"/>
      <c r="I209" s="524"/>
      <c r="J209" s="524"/>
      <c r="K209" s="524"/>
      <c r="L209" s="524"/>
      <c r="M209" s="524"/>
    </row>
    <row r="210" spans="1:13" s="523" customFormat="1" ht="13.15" customHeight="1" x14ac:dyDescent="0.2">
      <c r="A210" s="651"/>
      <c r="F210" s="524"/>
      <c r="G210" s="524"/>
      <c r="H210" s="524"/>
      <c r="I210" s="524"/>
      <c r="J210" s="524"/>
      <c r="K210" s="524"/>
      <c r="L210" s="524"/>
      <c r="M210" s="524"/>
    </row>
    <row r="211" spans="1:13" s="523" customFormat="1" ht="13.15" customHeight="1" x14ac:dyDescent="0.2">
      <c r="A211" s="651"/>
      <c r="F211" s="524"/>
      <c r="G211" s="524"/>
      <c r="H211" s="524"/>
      <c r="I211" s="524"/>
      <c r="J211" s="524"/>
      <c r="K211" s="524"/>
      <c r="L211" s="524"/>
      <c r="M211" s="524"/>
    </row>
    <row r="212" spans="1:13" s="523" customFormat="1" ht="13.15" customHeight="1" x14ac:dyDescent="0.2">
      <c r="A212" s="651"/>
      <c r="F212" s="524"/>
      <c r="G212" s="524"/>
      <c r="H212" s="524"/>
      <c r="I212" s="524"/>
      <c r="J212" s="524"/>
      <c r="K212" s="524"/>
      <c r="L212" s="524"/>
      <c r="M212" s="524"/>
    </row>
    <row r="213" spans="1:13" s="525" customFormat="1" ht="13.15" customHeight="1" x14ac:dyDescent="0.2">
      <c r="A213" s="654"/>
    </row>
    <row r="214" spans="1:13" s="523" customFormat="1" ht="13.15" customHeight="1" x14ac:dyDescent="0.2">
      <c r="A214" s="651"/>
      <c r="F214" s="524"/>
      <c r="G214" s="524"/>
      <c r="H214" s="524"/>
      <c r="I214" s="524"/>
      <c r="J214" s="524"/>
      <c r="K214" s="524"/>
      <c r="L214" s="524"/>
      <c r="M214" s="524"/>
    </row>
    <row r="215" spans="1:13" s="523" customFormat="1" ht="13.15" customHeight="1" x14ac:dyDescent="0.2">
      <c r="A215" s="651"/>
      <c r="F215" s="524"/>
      <c r="G215" s="524"/>
      <c r="H215" s="524"/>
      <c r="I215" s="524"/>
      <c r="J215" s="524"/>
      <c r="K215" s="524"/>
      <c r="L215" s="524"/>
      <c r="M215" s="524"/>
    </row>
    <row r="216" spans="1:13" s="523" customFormat="1" ht="13.15" customHeight="1" x14ac:dyDescent="0.2">
      <c r="A216" s="651"/>
      <c r="F216" s="524"/>
      <c r="G216" s="524"/>
      <c r="H216" s="524"/>
      <c r="I216" s="524"/>
      <c r="J216" s="524"/>
      <c r="K216" s="524"/>
      <c r="L216" s="524"/>
      <c r="M216" s="524"/>
    </row>
    <row r="217" spans="1:13" s="523" customFormat="1" ht="13.15" customHeight="1" x14ac:dyDescent="0.2">
      <c r="A217" s="651"/>
      <c r="F217" s="524"/>
      <c r="G217" s="524"/>
      <c r="H217" s="524"/>
      <c r="I217" s="524"/>
      <c r="J217" s="524"/>
      <c r="K217" s="524"/>
      <c r="L217" s="524"/>
      <c r="M217" s="524"/>
    </row>
    <row r="218" spans="1:13" s="523" customFormat="1" ht="13.15" customHeight="1" x14ac:dyDescent="0.2">
      <c r="A218" s="651"/>
      <c r="F218" s="524"/>
      <c r="G218" s="524"/>
      <c r="H218" s="524"/>
      <c r="I218" s="524"/>
      <c r="J218" s="524"/>
      <c r="K218" s="524"/>
      <c r="L218" s="524"/>
      <c r="M218" s="524"/>
    </row>
    <row r="219" spans="1:13" s="525" customFormat="1" ht="13.15" customHeight="1" x14ac:dyDescent="0.2">
      <c r="A219" s="654"/>
    </row>
    <row r="220" spans="1:13" s="523" customFormat="1" ht="13.15" customHeight="1" x14ac:dyDescent="0.2">
      <c r="A220" s="651"/>
      <c r="F220" s="524"/>
      <c r="G220" s="524"/>
      <c r="H220" s="524"/>
      <c r="I220" s="524"/>
      <c r="J220" s="524"/>
      <c r="K220" s="524"/>
      <c r="L220" s="524"/>
      <c r="M220" s="524"/>
    </row>
    <row r="221" spans="1:13" s="523" customFormat="1" ht="13.15" customHeight="1" x14ac:dyDescent="0.2">
      <c r="A221" s="651"/>
      <c r="F221" s="524"/>
      <c r="G221" s="524"/>
      <c r="H221" s="524"/>
      <c r="I221" s="524"/>
      <c r="J221" s="524"/>
      <c r="K221" s="524"/>
      <c r="L221" s="524"/>
      <c r="M221" s="524"/>
    </row>
    <row r="222" spans="1:13" s="523" customFormat="1" ht="13.15" customHeight="1" x14ac:dyDescent="0.2">
      <c r="A222" s="651"/>
      <c r="F222" s="524"/>
      <c r="G222" s="524"/>
      <c r="H222" s="524"/>
      <c r="I222" s="524"/>
      <c r="J222" s="524"/>
      <c r="K222" s="524"/>
      <c r="L222" s="524"/>
      <c r="M222" s="524"/>
    </row>
    <row r="223" spans="1:13" s="523" customFormat="1" ht="13.15" customHeight="1" x14ac:dyDescent="0.2">
      <c r="A223" s="651"/>
      <c r="F223" s="524"/>
      <c r="G223" s="524"/>
      <c r="H223" s="524"/>
      <c r="I223" s="524"/>
      <c r="J223" s="524"/>
      <c r="K223" s="524"/>
      <c r="L223" s="524"/>
      <c r="M223" s="524"/>
    </row>
    <row r="224" spans="1:13" s="523" customFormat="1" ht="13.15" customHeight="1" x14ac:dyDescent="0.2">
      <c r="A224" s="651"/>
      <c r="F224" s="524"/>
      <c r="G224" s="524"/>
      <c r="H224" s="524"/>
      <c r="I224" s="524"/>
      <c r="J224" s="524"/>
      <c r="K224" s="524"/>
      <c r="L224" s="524"/>
      <c r="M224" s="524"/>
    </row>
    <row r="225" spans="1:44" s="525" customFormat="1" ht="13.15" customHeight="1" x14ac:dyDescent="0.2">
      <c r="A225" s="654"/>
    </row>
    <row r="226" spans="1:44" s="523" customFormat="1" ht="13.15" customHeight="1" x14ac:dyDescent="0.2">
      <c r="A226" s="651"/>
      <c r="F226" s="524"/>
      <c r="G226" s="524"/>
      <c r="H226" s="524"/>
      <c r="I226" s="524"/>
      <c r="J226" s="524"/>
      <c r="K226" s="524"/>
      <c r="L226" s="524"/>
      <c r="M226" s="524"/>
    </row>
    <row r="227" spans="1:44" s="523" customFormat="1" ht="13.15" customHeight="1" x14ac:dyDescent="0.2">
      <c r="A227" s="651"/>
      <c r="F227" s="524"/>
      <c r="G227" s="524"/>
      <c r="H227" s="524"/>
      <c r="I227" s="524"/>
      <c r="J227" s="524"/>
      <c r="K227" s="524"/>
      <c r="L227" s="524"/>
      <c r="M227" s="524"/>
    </row>
    <row r="228" spans="1:44" s="523" customFormat="1" ht="13.15" customHeight="1" x14ac:dyDescent="0.2">
      <c r="A228" s="651"/>
      <c r="F228" s="524"/>
      <c r="G228" s="524"/>
      <c r="H228" s="524"/>
      <c r="I228" s="524"/>
      <c r="J228" s="524"/>
      <c r="K228" s="524"/>
      <c r="L228" s="524"/>
      <c r="M228" s="524"/>
    </row>
    <row r="229" spans="1:44" s="523" customFormat="1" ht="13.15" customHeight="1" x14ac:dyDescent="0.2">
      <c r="A229" s="651"/>
      <c r="F229" s="524"/>
      <c r="G229" s="524"/>
      <c r="H229" s="524"/>
      <c r="I229" s="524"/>
      <c r="J229" s="524"/>
      <c r="K229" s="524"/>
      <c r="L229" s="524"/>
      <c r="M229" s="524"/>
    </row>
    <row r="231" spans="1:44" s="200" customFormat="1" ht="13.15" customHeight="1" x14ac:dyDescent="0.2">
      <c r="A231" s="654"/>
      <c r="P231" s="525"/>
      <c r="Q231" s="525"/>
      <c r="R231" s="525"/>
      <c r="S231" s="525"/>
      <c r="T231" s="525"/>
      <c r="U231" s="525"/>
      <c r="V231" s="525"/>
      <c r="W231" s="525"/>
      <c r="X231" s="525"/>
      <c r="Y231" s="525"/>
      <c r="Z231" s="525"/>
      <c r="AA231" s="525"/>
      <c r="AB231" s="525"/>
      <c r="AC231" s="525"/>
      <c r="AD231" s="525"/>
      <c r="AE231" s="525"/>
      <c r="AF231" s="525"/>
      <c r="AG231" s="525"/>
      <c r="AH231" s="525"/>
      <c r="AI231" s="525"/>
      <c r="AJ231" s="525"/>
      <c r="AK231" s="525"/>
      <c r="AL231" s="525"/>
      <c r="AM231" s="525"/>
      <c r="AN231" s="525"/>
      <c r="AO231" s="525"/>
      <c r="AP231" s="525"/>
      <c r="AQ231" s="525"/>
      <c r="AR231" s="525"/>
    </row>
  </sheetData>
  <sheetProtection algorithmName="SHA-512" hashValue="vIb0W9FJ8CMD/AE9ytIXTiC6PiFWkoHY7nDz+lZ+MbJqIP7gwG+LS3CbGrqqohn8aj9abK1327+jGhGrRW+m2A==" saltValue="KyuSiErydp3IHyt2iPYsWg==" spinCount="100000" sheet="1" objects="1" scenarios="1"/>
  <phoneticPr fontId="0" type="noConversion"/>
  <dataValidations count="1">
    <dataValidation type="list" allowBlank="1" showInputMessage="1" showErrorMessage="1" sqref="F96:M96 F78:M78">
      <formula1>"ja,nee"</formula1>
    </dataValidation>
  </dataValidations>
  <pageMargins left="0.75" right="0.75" top="1" bottom="1" header="0.5" footer="0.5"/>
  <pageSetup paperSize="9" scale="49" orientation="portrait" r:id="rId1"/>
  <headerFooter alignWithMargins="0">
    <oddHeader>&amp;L&amp;"Arial,Vet"&amp;9&amp;F&amp;R&amp;"Arial,Vet"&amp;9&amp;A</oddHeader>
    <oddFooter>&amp;L&amp;"Arial,Vet"&amp;9keizer / goedhart&amp;C&amp;"Arial,Vet"&amp;9pagina &amp;P&amp;R&amp;"Arial,Vet"&amp;9&amp;D</oddFooter>
  </headerFooter>
  <rowBreaks count="2" manualBreakCount="2">
    <brk id="112" min="1" max="12" man="1"/>
    <brk id="190" min="1" max="12" man="1"/>
  </rowBreaks>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339"/>
  <sheetViews>
    <sheetView zoomScale="80" zoomScaleNormal="80" workbookViewId="0">
      <selection activeCell="B2" sqref="B2"/>
    </sheetView>
  </sheetViews>
  <sheetFormatPr defaultColWidth="9.140625" defaultRowHeight="12.75" x14ac:dyDescent="0.2"/>
  <cols>
    <col min="1" max="1" width="3.7109375" style="196" customWidth="1"/>
    <col min="2" max="3" width="2.7109375" style="196" customWidth="1"/>
    <col min="4" max="4" width="50.85546875" style="196" customWidth="1"/>
    <col min="5" max="5" width="6.140625" style="196" customWidth="1"/>
    <col min="6" max="6" width="14.85546875" style="201" hidden="1" customWidth="1"/>
    <col min="7" max="12" width="14.85546875" style="201" customWidth="1"/>
    <col min="13" max="14" width="2.7109375" style="196" customWidth="1"/>
    <col min="15" max="16384" width="9.140625" style="196"/>
  </cols>
  <sheetData>
    <row r="2" spans="2:17" x14ac:dyDescent="0.2">
      <c r="B2" s="23"/>
      <c r="C2" s="444"/>
      <c r="D2" s="444"/>
      <c r="E2" s="444"/>
      <c r="F2" s="443"/>
      <c r="G2" s="443"/>
      <c r="H2" s="443"/>
      <c r="I2" s="443"/>
      <c r="J2" s="443"/>
      <c r="K2" s="443"/>
      <c r="L2" s="443"/>
      <c r="M2" s="444"/>
      <c r="N2" s="436"/>
      <c r="Q2" s="399"/>
    </row>
    <row r="3" spans="2:17" x14ac:dyDescent="0.2">
      <c r="B3" s="26"/>
      <c r="C3" s="27"/>
      <c r="D3" s="28"/>
      <c r="E3" s="27"/>
      <c r="F3" s="29"/>
      <c r="G3" s="29"/>
      <c r="H3" s="29"/>
      <c r="I3" s="29"/>
      <c r="J3" s="29"/>
      <c r="K3" s="29"/>
      <c r="L3" s="29"/>
      <c r="M3" s="27"/>
      <c r="N3" s="539"/>
    </row>
    <row r="4" spans="2:17" s="198" customFormat="1" ht="18.75" x14ac:dyDescent="0.3">
      <c r="B4" s="203"/>
      <c r="C4" s="434" t="s">
        <v>780</v>
      </c>
      <c r="D4" s="204"/>
      <c r="E4" s="204"/>
      <c r="F4" s="205"/>
      <c r="G4" s="205"/>
      <c r="H4" s="205"/>
      <c r="I4" s="205"/>
      <c r="J4" s="205"/>
      <c r="K4" s="205"/>
      <c r="L4" s="205"/>
      <c r="M4" s="204"/>
      <c r="N4" s="518"/>
    </row>
    <row r="5" spans="2:17" s="198" customFormat="1" ht="18.75" x14ac:dyDescent="0.3">
      <c r="B5" s="203"/>
      <c r="C5" s="542" t="s">
        <v>777</v>
      </c>
      <c r="D5" s="204"/>
      <c r="E5" s="204"/>
      <c r="F5" s="205"/>
      <c r="G5" s="205"/>
      <c r="H5" s="205"/>
      <c r="I5" s="205"/>
      <c r="J5" s="541" t="s">
        <v>778</v>
      </c>
      <c r="K5" s="205"/>
      <c r="L5" s="205"/>
      <c r="M5" s="204"/>
      <c r="N5" s="518"/>
    </row>
    <row r="6" spans="2:17" x14ac:dyDescent="0.2">
      <c r="B6" s="26"/>
      <c r="C6" s="27"/>
      <c r="D6" s="28"/>
      <c r="E6" s="27"/>
      <c r="F6" s="29"/>
      <c r="G6" s="29"/>
      <c r="H6" s="29"/>
      <c r="I6" s="29"/>
      <c r="J6" s="29"/>
      <c r="K6" s="29"/>
      <c r="L6" s="29"/>
      <c r="M6" s="27"/>
      <c r="N6" s="539"/>
    </row>
    <row r="7" spans="2:17" x14ac:dyDescent="0.2">
      <c r="B7" s="26"/>
      <c r="C7" s="27"/>
      <c r="D7" s="218" t="s">
        <v>255</v>
      </c>
      <c r="E7" s="219"/>
      <c r="F7" s="339" t="e">
        <f>tab!#REF!</f>
        <v>#REF!</v>
      </c>
      <c r="G7" s="339" t="str">
        <f>tab!C2</f>
        <v>2015/16</v>
      </c>
      <c r="H7" s="339" t="str">
        <f>tab!D2</f>
        <v>2016/17</v>
      </c>
      <c r="I7" s="339" t="str">
        <f>tab!E2</f>
        <v>2017/18</v>
      </c>
      <c r="J7" s="339" t="str">
        <f>tab!F2</f>
        <v>2018/19</v>
      </c>
      <c r="K7" s="339" t="str">
        <f>tab!G2</f>
        <v>2019/20</v>
      </c>
      <c r="L7" s="339" t="str">
        <f>tab!H2</f>
        <v>2020/21</v>
      </c>
      <c r="M7" s="27"/>
      <c r="N7" s="539"/>
    </row>
    <row r="8" spans="2:17" x14ac:dyDescent="0.2">
      <c r="B8" s="26"/>
      <c r="C8" s="27"/>
      <c r="D8" s="218" t="s">
        <v>401</v>
      </c>
      <c r="E8" s="219"/>
      <c r="F8" s="343">
        <f>G8-1</f>
        <v>2013</v>
      </c>
      <c r="G8" s="343">
        <v>2014</v>
      </c>
      <c r="H8" s="343">
        <f>G8+1</f>
        <v>2015</v>
      </c>
      <c r="I8" s="343">
        <f>H8+1</f>
        <v>2016</v>
      </c>
      <c r="J8" s="343">
        <f>I8+1</f>
        <v>2017</v>
      </c>
      <c r="K8" s="343">
        <f>J8+1</f>
        <v>2018</v>
      </c>
      <c r="L8" s="343">
        <f>K8+1</f>
        <v>2019</v>
      </c>
      <c r="M8" s="27"/>
      <c r="N8" s="539"/>
    </row>
    <row r="9" spans="2:17" x14ac:dyDescent="0.2">
      <c r="B9" s="26"/>
      <c r="C9" s="27"/>
      <c r="D9" s="28"/>
      <c r="E9" s="27"/>
      <c r="F9" s="29"/>
      <c r="G9" s="29"/>
      <c r="H9" s="29"/>
      <c r="I9" s="29"/>
      <c r="J9" s="29"/>
      <c r="K9" s="29"/>
      <c r="L9" s="29"/>
      <c r="M9" s="27"/>
      <c r="N9" s="539"/>
    </row>
    <row r="10" spans="2:17" x14ac:dyDescent="0.2">
      <c r="B10" s="26"/>
      <c r="C10" s="526"/>
      <c r="D10" s="526"/>
      <c r="E10" s="526"/>
      <c r="F10" s="527"/>
      <c r="G10" s="527"/>
      <c r="H10" s="527"/>
      <c r="I10" s="527"/>
      <c r="J10" s="527"/>
      <c r="K10" s="527"/>
      <c r="L10" s="527"/>
      <c r="M10" s="526"/>
      <c r="N10" s="539"/>
    </row>
    <row r="11" spans="2:17" x14ac:dyDescent="0.2">
      <c r="B11" s="26"/>
      <c r="C11" s="526"/>
      <c r="D11" s="522" t="s">
        <v>221</v>
      </c>
      <c r="E11" s="526"/>
      <c r="F11" s="527"/>
      <c r="G11" s="527"/>
      <c r="H11" s="527"/>
      <c r="I11" s="527"/>
      <c r="J11" s="527"/>
      <c r="K11" s="527"/>
      <c r="L11" s="527"/>
      <c r="M11" s="526"/>
      <c r="N11" s="539"/>
    </row>
    <row r="12" spans="2:17" x14ac:dyDescent="0.2">
      <c r="B12" s="26"/>
      <c r="C12" s="526"/>
      <c r="D12" s="522" t="str">
        <f>+D194</f>
        <v>Totaal SBO</v>
      </c>
      <c r="E12" s="526"/>
      <c r="F12" s="527"/>
      <c r="G12" s="527"/>
      <c r="H12" s="527"/>
      <c r="I12" s="527"/>
      <c r="J12" s="527"/>
      <c r="K12" s="527"/>
      <c r="L12" s="527"/>
      <c r="M12" s="526"/>
      <c r="N12" s="539"/>
    </row>
    <row r="13" spans="2:17" x14ac:dyDescent="0.2">
      <c r="B13" s="26"/>
      <c r="C13" s="526"/>
      <c r="D13" s="476" t="str">
        <f>+D195</f>
        <v>basisbekostiging personeel</v>
      </c>
      <c r="E13" s="540"/>
      <c r="F13" s="543" t="e">
        <f t="shared" ref="F13:L15" si="0">+F195</f>
        <v>#REF!</v>
      </c>
      <c r="G13" s="543">
        <f t="shared" si="0"/>
        <v>0</v>
      </c>
      <c r="H13" s="543">
        <f t="shared" si="0"/>
        <v>0</v>
      </c>
      <c r="I13" s="543">
        <f t="shared" si="0"/>
        <v>0</v>
      </c>
      <c r="J13" s="543">
        <f t="shared" si="0"/>
        <v>0</v>
      </c>
      <c r="K13" s="543">
        <f t="shared" si="0"/>
        <v>0</v>
      </c>
      <c r="L13" s="543">
        <f t="shared" si="0"/>
        <v>0</v>
      </c>
      <c r="M13" s="526"/>
      <c r="N13" s="539"/>
    </row>
    <row r="14" spans="2:17" x14ac:dyDescent="0.2">
      <c r="B14" s="26"/>
      <c r="C14" s="526"/>
      <c r="D14" s="476" t="str">
        <f>+D196</f>
        <v>basisbekostiging materieel</v>
      </c>
      <c r="E14" s="540"/>
      <c r="F14" s="543" t="e">
        <f t="shared" si="0"/>
        <v>#REF!</v>
      </c>
      <c r="G14" s="543">
        <f t="shared" si="0"/>
        <v>0</v>
      </c>
      <c r="H14" s="543">
        <f t="shared" si="0"/>
        <v>0</v>
      </c>
      <c r="I14" s="543">
        <f t="shared" si="0"/>
        <v>0</v>
      </c>
      <c r="J14" s="543">
        <f t="shared" si="0"/>
        <v>0</v>
      </c>
      <c r="K14" s="543">
        <f t="shared" si="0"/>
        <v>0</v>
      </c>
      <c r="L14" s="543">
        <f t="shared" si="0"/>
        <v>0</v>
      </c>
      <c r="M14" s="526"/>
      <c r="N14" s="539"/>
    </row>
    <row r="15" spans="2:17" s="584" customFormat="1" x14ac:dyDescent="0.2">
      <c r="B15" s="585"/>
      <c r="C15" s="586"/>
      <c r="D15" s="586" t="s">
        <v>816</v>
      </c>
      <c r="E15" s="587"/>
      <c r="F15" s="588" t="e">
        <f t="shared" si="0"/>
        <v>#REF!</v>
      </c>
      <c r="G15" s="588">
        <f t="shared" si="0"/>
        <v>0</v>
      </c>
      <c r="H15" s="588">
        <f t="shared" si="0"/>
        <v>0</v>
      </c>
      <c r="I15" s="588">
        <f t="shared" si="0"/>
        <v>0</v>
      </c>
      <c r="J15" s="588">
        <f t="shared" si="0"/>
        <v>0</v>
      </c>
      <c r="K15" s="588">
        <f t="shared" si="0"/>
        <v>0</v>
      </c>
      <c r="L15" s="588">
        <f t="shared" si="0"/>
        <v>0</v>
      </c>
      <c r="M15" s="586"/>
      <c r="N15" s="589"/>
    </row>
    <row r="16" spans="2:17" x14ac:dyDescent="0.2">
      <c r="B16" s="26"/>
      <c r="C16" s="526"/>
      <c r="D16" s="540" t="str">
        <f>+D198</f>
        <v>Totale basisbekostiging</v>
      </c>
      <c r="E16" s="540"/>
      <c r="F16" s="544" t="e">
        <f t="shared" ref="F16:L16" si="1">+F198</f>
        <v>#REF!</v>
      </c>
      <c r="G16" s="544">
        <f t="shared" si="1"/>
        <v>0</v>
      </c>
      <c r="H16" s="544">
        <f t="shared" si="1"/>
        <v>0</v>
      </c>
      <c r="I16" s="544">
        <f t="shared" si="1"/>
        <v>0</v>
      </c>
      <c r="J16" s="544">
        <f t="shared" si="1"/>
        <v>0</v>
      </c>
      <c r="K16" s="544">
        <f t="shared" si="1"/>
        <v>0</v>
      </c>
      <c r="L16" s="544">
        <f t="shared" si="1"/>
        <v>0</v>
      </c>
      <c r="M16" s="526"/>
      <c r="N16" s="539"/>
    </row>
    <row r="17" spans="2:14" x14ac:dyDescent="0.2">
      <c r="B17" s="26"/>
      <c r="C17" s="526"/>
      <c r="D17" s="540"/>
      <c r="E17" s="540"/>
      <c r="F17" s="540"/>
      <c r="G17" s="540"/>
      <c r="H17" s="540"/>
      <c r="I17" s="540"/>
      <c r="J17" s="540"/>
      <c r="K17" s="540"/>
      <c r="L17" s="540"/>
      <c r="M17" s="526"/>
      <c r="N17" s="539"/>
    </row>
    <row r="18" spans="2:14" x14ac:dyDescent="0.2">
      <c r="B18" s="26"/>
      <c r="C18" s="526"/>
      <c r="D18" s="476" t="str">
        <f>+D200</f>
        <v>ondersteuningsbekostiging personeel 2%</v>
      </c>
      <c r="E18" s="540"/>
      <c r="F18" s="543" t="e">
        <f t="shared" ref="F18:L20" si="2">+F200</f>
        <v>#REF!</v>
      </c>
      <c r="G18" s="543">
        <f t="shared" si="2"/>
        <v>0</v>
      </c>
      <c r="H18" s="543">
        <f t="shared" si="2"/>
        <v>0</v>
      </c>
      <c r="I18" s="543">
        <f t="shared" si="2"/>
        <v>0</v>
      </c>
      <c r="J18" s="543">
        <f t="shared" si="2"/>
        <v>0</v>
      </c>
      <c r="K18" s="543">
        <f t="shared" si="2"/>
        <v>0</v>
      </c>
      <c r="L18" s="543">
        <f t="shared" si="2"/>
        <v>0</v>
      </c>
      <c r="M18" s="526"/>
      <c r="N18" s="539"/>
    </row>
    <row r="19" spans="2:14" x14ac:dyDescent="0.2">
      <c r="B19" s="26"/>
      <c r="C19" s="526"/>
      <c r="D19" s="476" t="str">
        <f>+D201</f>
        <v>ondersteuningsbekostiging materieel 2%</v>
      </c>
      <c r="E19" s="540"/>
      <c r="F19" s="543" t="e">
        <f t="shared" si="2"/>
        <v>#REF!</v>
      </c>
      <c r="G19" s="543">
        <f t="shared" si="2"/>
        <v>0</v>
      </c>
      <c r="H19" s="543">
        <f t="shared" si="2"/>
        <v>0</v>
      </c>
      <c r="I19" s="543">
        <f t="shared" si="2"/>
        <v>0</v>
      </c>
      <c r="J19" s="543">
        <f t="shared" si="2"/>
        <v>0</v>
      </c>
      <c r="K19" s="543">
        <f t="shared" si="2"/>
        <v>0</v>
      </c>
      <c r="L19" s="543">
        <f t="shared" si="2"/>
        <v>0</v>
      </c>
      <c r="M19" s="526"/>
      <c r="N19" s="539"/>
    </row>
    <row r="20" spans="2:14" s="584" customFormat="1" x14ac:dyDescent="0.2">
      <c r="B20" s="585"/>
      <c r="C20" s="586"/>
      <c r="D20" s="586" t="s">
        <v>817</v>
      </c>
      <c r="E20" s="587"/>
      <c r="F20" s="588" t="e">
        <f t="shared" si="2"/>
        <v>#REF!</v>
      </c>
      <c r="G20" s="588">
        <f t="shared" si="2"/>
        <v>0</v>
      </c>
      <c r="H20" s="588">
        <f t="shared" si="2"/>
        <v>0</v>
      </c>
      <c r="I20" s="588">
        <f t="shared" si="2"/>
        <v>0</v>
      </c>
      <c r="J20" s="588">
        <f t="shared" si="2"/>
        <v>0</v>
      </c>
      <c r="K20" s="588">
        <f t="shared" si="2"/>
        <v>0</v>
      </c>
      <c r="L20" s="588">
        <f t="shared" si="2"/>
        <v>0</v>
      </c>
      <c r="M20" s="586"/>
      <c r="N20" s="589"/>
    </row>
    <row r="21" spans="2:14" x14ac:dyDescent="0.2">
      <c r="B21" s="26"/>
      <c r="C21" s="526"/>
      <c r="D21" s="540" t="str">
        <f>+D203</f>
        <v>Totale ondersteuningsbekostiging 2%</v>
      </c>
      <c r="E21" s="540"/>
      <c r="F21" s="544" t="e">
        <f t="shared" ref="F21:L21" si="3">+F203</f>
        <v>#REF!</v>
      </c>
      <c r="G21" s="544">
        <f t="shared" si="3"/>
        <v>0</v>
      </c>
      <c r="H21" s="544">
        <f t="shared" si="3"/>
        <v>0</v>
      </c>
      <c r="I21" s="544">
        <f t="shared" si="3"/>
        <v>0</v>
      </c>
      <c r="J21" s="544">
        <f t="shared" si="3"/>
        <v>0</v>
      </c>
      <c r="K21" s="544">
        <f t="shared" si="3"/>
        <v>0</v>
      </c>
      <c r="L21" s="544">
        <f t="shared" si="3"/>
        <v>0</v>
      </c>
      <c r="M21" s="526"/>
      <c r="N21" s="539"/>
    </row>
    <row r="22" spans="2:14" ht="13.5" thickBot="1" x14ac:dyDescent="0.25">
      <c r="B22" s="561"/>
      <c r="C22" s="562"/>
      <c r="D22" s="563"/>
      <c r="E22" s="562"/>
      <c r="F22" s="564"/>
      <c r="G22" s="564"/>
      <c r="H22" s="564"/>
      <c r="I22" s="564"/>
      <c r="J22" s="564"/>
      <c r="K22" s="564"/>
      <c r="L22" s="564"/>
      <c r="M22" s="562"/>
      <c r="N22" s="565"/>
    </row>
    <row r="23" spans="2:14" ht="13.5" thickTop="1" x14ac:dyDescent="0.2">
      <c r="B23" s="566"/>
      <c r="C23" s="567"/>
      <c r="D23" s="568"/>
      <c r="E23" s="567"/>
      <c r="F23" s="569"/>
      <c r="G23" s="569"/>
      <c r="H23" s="569"/>
      <c r="I23" s="569"/>
      <c r="J23" s="569"/>
      <c r="K23" s="569"/>
      <c r="L23" s="569"/>
      <c r="M23" s="567"/>
      <c r="N23" s="570"/>
    </row>
    <row r="24" spans="2:14" x14ac:dyDescent="0.2">
      <c r="B24" s="26"/>
      <c r="C24" s="526"/>
      <c r="D24" s="522" t="s">
        <v>782</v>
      </c>
      <c r="E24" s="526"/>
      <c r="F24" s="527"/>
      <c r="G24" s="527"/>
      <c r="H24" s="527"/>
      <c r="I24" s="527"/>
      <c r="J24" s="527"/>
      <c r="K24" s="527"/>
      <c r="L24" s="527"/>
      <c r="M24" s="526"/>
      <c r="N24" s="539"/>
    </row>
    <row r="25" spans="2:14" x14ac:dyDescent="0.2">
      <c r="B25" s="26"/>
      <c r="C25" s="526"/>
      <c r="D25" s="522" t="str">
        <f>+'geg LO'!D21</f>
        <v>Naam SBO 1</v>
      </c>
      <c r="E25" s="526"/>
      <c r="F25" s="527"/>
      <c r="G25" s="527"/>
      <c r="H25" s="527"/>
      <c r="I25" s="527"/>
      <c r="J25" s="527"/>
      <c r="K25" s="527"/>
      <c r="L25" s="527"/>
      <c r="M25" s="526"/>
      <c r="N25" s="539"/>
    </row>
    <row r="26" spans="2:14" x14ac:dyDescent="0.2">
      <c r="B26" s="26"/>
      <c r="C26" s="526"/>
      <c r="D26" s="476" t="s">
        <v>457</v>
      </c>
      <c r="E26" s="526"/>
      <c r="F26" s="533" t="e">
        <f>ROUND('geg LO'!F21*IF('geg LO'!F78="ja",tab!#REF!,tab!#REF!+'geg LO'!F80*tab!#REF!),0)</f>
        <v>#REF!</v>
      </c>
      <c r="G26" s="533">
        <f>ROUND('geg LO'!G21*IF('geg LO'!G78="ja",tab!$C49,tab!$C41+'geg LO'!G80*tab!$C42),0)</f>
        <v>0</v>
      </c>
      <c r="H26" s="533">
        <f>ROUND('geg LO'!H21*IF('geg LO'!H78="ja",tab!$C49,tab!$C41+'geg LO'!H80*tab!$C42),0)</f>
        <v>0</v>
      </c>
      <c r="I26" s="533">
        <f>ROUND('geg LO'!I21*IF('geg LO'!I78="ja",tab!$C49,tab!$C41+'geg LO'!I80*tab!$C42),0)</f>
        <v>0</v>
      </c>
      <c r="J26" s="533">
        <f>ROUND('geg LO'!J21*IF('geg LO'!J78="ja",tab!$C49,tab!$C41+'geg LO'!J80*tab!$C42),0)</f>
        <v>0</v>
      </c>
      <c r="K26" s="533">
        <f>ROUND('geg LO'!K21*IF('geg LO'!K78="ja",tab!$C49,tab!$C41+'geg LO'!K80*tab!$C42),0)</f>
        <v>0</v>
      </c>
      <c r="L26" s="533">
        <f>ROUND('geg LO'!L21*IF('geg LO'!L78="ja",tab!$C49,tab!$C41+'geg LO'!L80*tab!$C42),0)</f>
        <v>0</v>
      </c>
      <c r="M26" s="526"/>
      <c r="N26" s="539"/>
    </row>
    <row r="27" spans="2:14" x14ac:dyDescent="0.2">
      <c r="B27" s="26"/>
      <c r="C27" s="526"/>
      <c r="D27" s="476" t="s">
        <v>774</v>
      </c>
      <c r="E27" s="526"/>
      <c r="F27" s="533" t="e">
        <f>ROUND('geg LO'!F21*tab!#REF!,0)*5/12+ROUND('geg LO'!F21*tab!$C$55,0)*7/12</f>
        <v>#REF!</v>
      </c>
      <c r="G27" s="533">
        <f>ROUND('geg LO'!G21*tab!$C$55,0)*5/12+ROUND('geg LO'!G21*tab!$D$55,0)*7/12</f>
        <v>0</v>
      </c>
      <c r="H27" s="533">
        <f>ROUND('geg LO'!H21*tab!$C$55,0)*5/12+ROUND('geg LO'!H21*tab!$D$55,0)*7/12</f>
        <v>0</v>
      </c>
      <c r="I27" s="533">
        <f>ROUND('geg LO'!I21*tab!$C$55,0)*5/12+ROUND('geg LO'!I21*tab!$D$55,0)*7/12</f>
        <v>0</v>
      </c>
      <c r="J27" s="533">
        <f>ROUND('geg LO'!J21*tab!$C$55,0)*5/12+ROUND('geg LO'!J21*tab!$D$55,0)*7/12</f>
        <v>0</v>
      </c>
      <c r="K27" s="533">
        <f>ROUND('geg LO'!K21*tab!$C$55,0)*5/12+ROUND('geg LO'!K21*tab!$D$55,0)*7/12</f>
        <v>0</v>
      </c>
      <c r="L27" s="533">
        <f>ROUND('geg LO'!L21*tab!$C$55,0)*5/12+ROUND('geg LO'!L21*tab!$D$55,0)*7/12</f>
        <v>0</v>
      </c>
      <c r="M27" s="526"/>
      <c r="N27" s="539"/>
    </row>
    <row r="28" spans="2:14" s="584" customFormat="1" x14ac:dyDescent="0.2">
      <c r="B28" s="585"/>
      <c r="C28" s="586"/>
      <c r="D28" s="586" t="s">
        <v>816</v>
      </c>
      <c r="E28" s="586"/>
      <c r="F28" s="590" t="e">
        <f>ROUND('geg LO'!F21*tab!#REF!,2)</f>
        <v>#REF!</v>
      </c>
      <c r="G28" s="590">
        <f>ROUND('geg LO'!G21*tab!C$55,2)</f>
        <v>0</v>
      </c>
      <c r="H28" s="590">
        <f>ROUND('geg LO'!H21*tab!$D$55,2)</f>
        <v>0</v>
      </c>
      <c r="I28" s="590">
        <f>ROUND('geg LO'!I21*tab!$D$55,2)</f>
        <v>0</v>
      </c>
      <c r="J28" s="590">
        <f>ROUND('geg LO'!J21*tab!$D$55,2)</f>
        <v>0</v>
      </c>
      <c r="K28" s="590">
        <f>ROUND('geg LO'!K21*tab!$D$55,2)</f>
        <v>0</v>
      </c>
      <c r="L28" s="590">
        <f>ROUND('geg LO'!L21*tab!$D$55,2)</f>
        <v>0</v>
      </c>
      <c r="M28" s="586"/>
      <c r="N28" s="589"/>
    </row>
    <row r="29" spans="2:14" x14ac:dyDescent="0.2">
      <c r="B29" s="26"/>
      <c r="C29" s="526"/>
      <c r="D29" s="540" t="s">
        <v>775</v>
      </c>
      <c r="E29" s="526"/>
      <c r="F29" s="534" t="e">
        <f>SUM(F26:F27)</f>
        <v>#REF!</v>
      </c>
      <c r="G29" s="534">
        <f t="shared" ref="G29:L29" si="4">SUM(G26:G27)</f>
        <v>0</v>
      </c>
      <c r="H29" s="534">
        <f t="shared" si="4"/>
        <v>0</v>
      </c>
      <c r="I29" s="534">
        <f t="shared" si="4"/>
        <v>0</v>
      </c>
      <c r="J29" s="534">
        <f t="shared" si="4"/>
        <v>0</v>
      </c>
      <c r="K29" s="534">
        <f t="shared" si="4"/>
        <v>0</v>
      </c>
      <c r="L29" s="534">
        <f t="shared" si="4"/>
        <v>0</v>
      </c>
      <c r="M29" s="526"/>
      <c r="N29" s="539"/>
    </row>
    <row r="30" spans="2:14" x14ac:dyDescent="0.2">
      <c r="B30" s="26"/>
      <c r="C30" s="526"/>
      <c r="D30" s="522"/>
      <c r="E30" s="526"/>
      <c r="F30" s="527"/>
      <c r="G30" s="527"/>
      <c r="H30" s="527"/>
      <c r="I30" s="527"/>
      <c r="J30" s="527"/>
      <c r="K30" s="527"/>
      <c r="L30" s="527"/>
      <c r="M30" s="526"/>
      <c r="N30" s="539"/>
    </row>
    <row r="31" spans="2:14" x14ac:dyDescent="0.2">
      <c r="B31" s="26"/>
      <c r="C31" s="526"/>
      <c r="D31" s="520" t="s">
        <v>772</v>
      </c>
      <c r="E31" s="526"/>
      <c r="F31" s="533" t="e">
        <f>ROUND('geg LO'!F42*IF('geg LO'!F78="ja",tab!#REF!,tab!#REF!+'geg LO'!F80*tab!#REF!),0)</f>
        <v>#REF!</v>
      </c>
      <c r="G31" s="533">
        <f>ROUND('geg LO'!G42*IF('geg LO'!G78="ja",tab!$C50,tab!$C43+'geg LO'!G80*tab!$C44),0)</f>
        <v>0</v>
      </c>
      <c r="H31" s="533">
        <f>ROUND('geg LO'!H42*IF('geg LO'!H78="ja",tab!$C50,tab!$C43+'geg LO'!H80*tab!$C44),0)</f>
        <v>0</v>
      </c>
      <c r="I31" s="533">
        <f>ROUND('geg LO'!I42*IF('geg LO'!I78="ja",tab!$C50,tab!$C43+'geg LO'!I80*tab!$C44),0)</f>
        <v>0</v>
      </c>
      <c r="J31" s="533">
        <f>ROUND('geg LO'!J42*IF('geg LO'!J78="ja",tab!$C50,tab!$C43+'geg LO'!J80*tab!$C44),0)</f>
        <v>0</v>
      </c>
      <c r="K31" s="533">
        <f>ROUND('geg LO'!K42*IF('geg LO'!K78="ja",tab!$C50,tab!$C43+'geg LO'!K80*tab!$C44),0)</f>
        <v>0</v>
      </c>
      <c r="L31" s="533">
        <f>ROUND('geg LO'!L42*IF('geg LO'!L78="ja",tab!$C50,tab!$C43+'geg LO'!L80*tab!$C44),0)</f>
        <v>0</v>
      </c>
      <c r="M31" s="526"/>
      <c r="N31" s="30"/>
    </row>
    <row r="32" spans="2:14" x14ac:dyDescent="0.2">
      <c r="B32" s="528"/>
      <c r="C32" s="523"/>
      <c r="D32" s="519" t="s">
        <v>779</v>
      </c>
      <c r="E32" s="523"/>
      <c r="F32" s="533" t="e">
        <f>ROUND('geg LO'!F42*tab!#REF!*5/12+'geg LO'!G42*tab!$C$56*7/12,0)</f>
        <v>#REF!</v>
      </c>
      <c r="G32" s="533">
        <f>ROUND('geg LO'!G42*tab!$C$56*5/12+'geg LO'!H42*tab!$D$56*7/12,0)</f>
        <v>0</v>
      </c>
      <c r="H32" s="533">
        <f>ROUND('geg LO'!H42*tab!$D$56*5/12+'geg LO'!I42*tab!$D$56*7/12,0)</f>
        <v>0</v>
      </c>
      <c r="I32" s="533">
        <f>ROUND('geg LO'!I42*tab!$D$56*5/12+'geg LO'!J42*tab!$D$56*7/12,0)</f>
        <v>0</v>
      </c>
      <c r="J32" s="533">
        <f>ROUND('geg LO'!J42*tab!$D$56*5/12+'geg LO'!K42*tab!$D$56*7/12,0)</f>
        <v>0</v>
      </c>
      <c r="K32" s="533">
        <f>ROUND('geg LO'!K42*tab!$D$56*5/12+'geg LO'!L42*tab!$D$56*7/12,0)</f>
        <v>0</v>
      </c>
      <c r="L32" s="533">
        <f>ROUND('geg LO'!L42*tab!$D$56,0)</f>
        <v>0</v>
      </c>
      <c r="M32" s="523"/>
      <c r="N32" s="530"/>
    </row>
    <row r="33" spans="2:14" s="584" customFormat="1" x14ac:dyDescent="0.2">
      <c r="B33" s="591"/>
      <c r="C33" s="592"/>
      <c r="D33" s="586" t="s">
        <v>817</v>
      </c>
      <c r="E33" s="592"/>
      <c r="F33" s="590" t="e">
        <f>ROUND('geg LO'!F42*tab!#REF!,2)</f>
        <v>#REF!</v>
      </c>
      <c r="G33" s="590">
        <f>ROUND('geg LO'!G42*tab!C$56,2)</f>
        <v>0</v>
      </c>
      <c r="H33" s="590">
        <f>ROUND('geg LO'!H42*tab!$D$56,2)</f>
        <v>0</v>
      </c>
      <c r="I33" s="590">
        <f>ROUND('geg LO'!I42*tab!$D$56,2)</f>
        <v>0</v>
      </c>
      <c r="J33" s="590">
        <f>ROUND('geg LO'!J42*tab!$D$56,2)</f>
        <v>0</v>
      </c>
      <c r="K33" s="590">
        <f>ROUND('geg LO'!K42*tab!$D$56,2)</f>
        <v>0</v>
      </c>
      <c r="L33" s="590">
        <f>ROUND('geg LO'!L42*tab!$D$56,2)</f>
        <v>0</v>
      </c>
      <c r="M33" s="592"/>
      <c r="N33" s="593"/>
    </row>
    <row r="34" spans="2:14" s="200" customFormat="1" x14ac:dyDescent="0.2">
      <c r="B34" s="529"/>
      <c r="C34" s="525"/>
      <c r="D34" s="532" t="s">
        <v>773</v>
      </c>
      <c r="E34" s="525"/>
      <c r="F34" s="534" t="e">
        <f>SUM(F31:F32)</f>
        <v>#REF!</v>
      </c>
      <c r="G34" s="534">
        <f t="shared" ref="G34:L34" si="5">SUM(G31:G32)</f>
        <v>0</v>
      </c>
      <c r="H34" s="534">
        <f t="shared" si="5"/>
        <v>0</v>
      </c>
      <c r="I34" s="534">
        <f t="shared" si="5"/>
        <v>0</v>
      </c>
      <c r="J34" s="534">
        <f t="shared" si="5"/>
        <v>0</v>
      </c>
      <c r="K34" s="534">
        <f t="shared" si="5"/>
        <v>0</v>
      </c>
      <c r="L34" s="534">
        <f t="shared" si="5"/>
        <v>0</v>
      </c>
      <c r="M34" s="525"/>
      <c r="N34" s="531"/>
    </row>
    <row r="35" spans="2:14" x14ac:dyDescent="0.2">
      <c r="B35" s="528"/>
      <c r="C35" s="523"/>
      <c r="D35" s="521"/>
      <c r="E35" s="523"/>
      <c r="F35" s="524"/>
      <c r="G35" s="524"/>
      <c r="H35" s="524"/>
      <c r="I35" s="524"/>
      <c r="J35" s="524"/>
      <c r="K35" s="524"/>
      <c r="L35" s="524"/>
      <c r="M35" s="523"/>
      <c r="N35" s="530"/>
    </row>
    <row r="36" spans="2:14" x14ac:dyDescent="0.2">
      <c r="B36" s="528"/>
      <c r="C36" s="523"/>
      <c r="D36" s="522" t="str">
        <f>+'geg LO'!D22</f>
        <v>Naam SBO 2</v>
      </c>
      <c r="E36" s="526"/>
      <c r="F36" s="527"/>
      <c r="G36" s="527"/>
      <c r="H36" s="527"/>
      <c r="I36" s="527"/>
      <c r="J36" s="527"/>
      <c r="K36" s="527"/>
      <c r="L36" s="527"/>
      <c r="M36" s="523"/>
      <c r="N36" s="530"/>
    </row>
    <row r="37" spans="2:14" x14ac:dyDescent="0.2">
      <c r="B37" s="528"/>
      <c r="C37" s="523"/>
      <c r="D37" s="476" t="s">
        <v>457</v>
      </c>
      <c r="E37" s="526"/>
      <c r="F37" s="533" t="e">
        <f>ROUND('geg LO'!F22*IF('geg LO'!F78="ja",tab!#REF!,tab!#REF!+'geg LO'!F81*tab!#REF!),0)</f>
        <v>#REF!</v>
      </c>
      <c r="G37" s="533">
        <f>ROUND('geg LO'!G22*IF('geg LO'!G78="ja",tab!$C$49,tab!$C$41+'geg LO'!G81*tab!$C$42),0)</f>
        <v>0</v>
      </c>
      <c r="H37" s="533">
        <f>ROUND('geg LO'!H22*IF('geg LO'!H78="ja",tab!$C$49,tab!$C$41+'geg LO'!H81*tab!$C$42),0)</f>
        <v>0</v>
      </c>
      <c r="I37" s="533">
        <f>ROUND('geg LO'!I22*IF('geg LO'!I78="ja",tab!$C$49,tab!$C$41+'geg LO'!I81*tab!$C$42),0)</f>
        <v>0</v>
      </c>
      <c r="J37" s="533">
        <f>ROUND('geg LO'!J22*IF('geg LO'!J78="ja",tab!$C$49,tab!$C$41+'geg LO'!J81*tab!$C$42),0)</f>
        <v>0</v>
      </c>
      <c r="K37" s="533">
        <f>ROUND('geg LO'!K22*IF('geg LO'!K78="ja",tab!$C$49,tab!$C$41+'geg LO'!K81*tab!$C$42),0)</f>
        <v>0</v>
      </c>
      <c r="L37" s="533">
        <f>ROUND('geg LO'!L22*IF('geg LO'!L78="ja",tab!$C$49,tab!$C$41+'geg LO'!L81*tab!$C$42),0)</f>
        <v>0</v>
      </c>
      <c r="M37" s="523"/>
      <c r="N37" s="530"/>
    </row>
    <row r="38" spans="2:14" x14ac:dyDescent="0.2">
      <c r="B38" s="528"/>
      <c r="C38" s="523"/>
      <c r="D38" s="476" t="s">
        <v>774</v>
      </c>
      <c r="E38" s="526"/>
      <c r="F38" s="533" t="e">
        <f>ROUND('geg LO'!F22*tab!#REF!,0)*5/12+ROUND('geg LO'!F22*tab!$C$55,0)*7/12</f>
        <v>#REF!</v>
      </c>
      <c r="G38" s="533">
        <f>ROUND('geg LO'!G22*tab!$C$55,0)*5/12+ROUND('geg LO'!G22*tab!$D$55,0)*7/12</f>
        <v>0</v>
      </c>
      <c r="H38" s="533">
        <f>ROUND('geg LO'!H22*tab!$C$55,0)*5/12+ROUND('geg LO'!H22*tab!$D$55,0)*7/12</f>
        <v>0</v>
      </c>
      <c r="I38" s="533">
        <f>ROUND('geg LO'!I22*tab!$C$55,0)*5/12+ROUND('geg LO'!I22*tab!$D$55,0)*7/12</f>
        <v>0</v>
      </c>
      <c r="J38" s="533">
        <f>ROUND('geg LO'!J22*tab!$C$55,0)*5/12+ROUND('geg LO'!J22*tab!$D$55,0)*7/12</f>
        <v>0</v>
      </c>
      <c r="K38" s="533">
        <f>ROUND('geg LO'!K22*tab!$C$55,0)*5/12+ROUND('geg LO'!K22*tab!$D$55,0)*7/12</f>
        <v>0</v>
      </c>
      <c r="L38" s="533">
        <f>ROUND('geg LO'!L22*tab!$C$55,0)*5/12+ROUND('geg LO'!L22*tab!$D$55,0)*7/12</f>
        <v>0</v>
      </c>
      <c r="M38" s="523"/>
      <c r="N38" s="530"/>
    </row>
    <row r="39" spans="2:14" s="584" customFormat="1" x14ac:dyDescent="0.2">
      <c r="B39" s="591"/>
      <c r="C39" s="592"/>
      <c r="D39" s="586" t="s">
        <v>816</v>
      </c>
      <c r="E39" s="586"/>
      <c r="F39" s="590" t="e">
        <f>ROUND('geg LO'!F22*tab!#REF!,2)</f>
        <v>#REF!</v>
      </c>
      <c r="G39" s="590">
        <f>ROUND('geg LO'!G22*tab!C$55,2)</f>
        <v>0</v>
      </c>
      <c r="H39" s="590">
        <f>ROUND('geg LO'!H22*tab!$D$55,2)</f>
        <v>0</v>
      </c>
      <c r="I39" s="590">
        <f>ROUND('geg LO'!I22*tab!$D$55,2)</f>
        <v>0</v>
      </c>
      <c r="J39" s="590">
        <f>ROUND('geg LO'!J22*tab!$D$55,2)</f>
        <v>0</v>
      </c>
      <c r="K39" s="590">
        <f>ROUND('geg LO'!K22*tab!$D$55,2)</f>
        <v>0</v>
      </c>
      <c r="L39" s="590">
        <f>ROUND('geg LO'!L22*tab!$D$55,2)</f>
        <v>0</v>
      </c>
      <c r="M39" s="592"/>
      <c r="N39" s="593"/>
    </row>
    <row r="40" spans="2:14" s="200" customFormat="1" x14ac:dyDescent="0.2">
      <c r="B40" s="529"/>
      <c r="C40" s="525"/>
      <c r="D40" s="540" t="s">
        <v>775</v>
      </c>
      <c r="E40" s="526"/>
      <c r="F40" s="534" t="e">
        <f>SUM(F37:F38)</f>
        <v>#REF!</v>
      </c>
      <c r="G40" s="534">
        <f t="shared" ref="G40:L40" si="6">SUM(G37:G38)</f>
        <v>0</v>
      </c>
      <c r="H40" s="534">
        <f t="shared" si="6"/>
        <v>0</v>
      </c>
      <c r="I40" s="534">
        <f t="shared" si="6"/>
        <v>0</v>
      </c>
      <c r="J40" s="534">
        <f t="shared" si="6"/>
        <v>0</v>
      </c>
      <c r="K40" s="534">
        <f t="shared" si="6"/>
        <v>0</v>
      </c>
      <c r="L40" s="534">
        <f t="shared" si="6"/>
        <v>0</v>
      </c>
      <c r="M40" s="525"/>
      <c r="N40" s="531"/>
    </row>
    <row r="41" spans="2:14" x14ac:dyDescent="0.2">
      <c r="B41" s="528"/>
      <c r="C41" s="523"/>
      <c r="D41" s="522"/>
      <c r="E41" s="526"/>
      <c r="F41" s="527"/>
      <c r="G41" s="527"/>
      <c r="H41" s="527"/>
      <c r="I41" s="527"/>
      <c r="J41" s="527"/>
      <c r="K41" s="527"/>
      <c r="L41" s="527"/>
      <c r="M41" s="523"/>
      <c r="N41" s="530"/>
    </row>
    <row r="42" spans="2:14" x14ac:dyDescent="0.2">
      <c r="B42" s="528"/>
      <c r="C42" s="523"/>
      <c r="D42" s="520" t="s">
        <v>772</v>
      </c>
      <c r="E42" s="526"/>
      <c r="F42" s="533" t="e">
        <f>ROUND('geg LO'!F43*IF('geg LO'!F78="ja",tab!#REF!,tab!#REF!+'geg LO'!F81*tab!#REF!),0)</f>
        <v>#REF!</v>
      </c>
      <c r="G42" s="533">
        <f>ROUND('geg LO'!G43*IF('geg LO'!G78="ja",tab!$C$50,tab!$C$43+'geg LO'!G81*tab!$C$53),0)</f>
        <v>0</v>
      </c>
      <c r="H42" s="533">
        <f>ROUND('geg LO'!H43*IF('geg LO'!H78="ja",tab!$C$50,tab!$C$43+'geg LO'!H81*tab!$C$53),0)</f>
        <v>0</v>
      </c>
      <c r="I42" s="533">
        <f>ROUND('geg LO'!I43*IF('geg LO'!I78="ja",tab!$C$50,tab!$C$43+'geg LO'!I81*tab!$C$53),0)</f>
        <v>0</v>
      </c>
      <c r="J42" s="533">
        <f>ROUND('geg LO'!J43*IF('geg LO'!J78="ja",tab!$C$50,tab!$C$43+'geg LO'!J81*tab!$C$53),0)</f>
        <v>0</v>
      </c>
      <c r="K42" s="533">
        <f>ROUND('geg LO'!K43*IF('geg LO'!K78="ja",tab!$C$50,tab!$C$43+'geg LO'!K81*tab!$C$53),0)</f>
        <v>0</v>
      </c>
      <c r="L42" s="533">
        <f>ROUND('geg LO'!L43*IF('geg LO'!L78="ja",tab!$C$50,tab!$C$43+'geg LO'!L81*tab!$C$53),0)</f>
        <v>0</v>
      </c>
      <c r="M42" s="523"/>
      <c r="N42" s="530"/>
    </row>
    <row r="43" spans="2:14" x14ac:dyDescent="0.2">
      <c r="B43" s="528"/>
      <c r="C43" s="523"/>
      <c r="D43" s="519" t="s">
        <v>779</v>
      </c>
      <c r="E43" s="523"/>
      <c r="F43" s="533" t="e">
        <f>ROUND('geg LO'!F43*tab!#REF!*5/12+'geg LO'!G43*tab!$C$56*7/12,0)</f>
        <v>#REF!</v>
      </c>
      <c r="G43" s="533">
        <f>ROUND('geg LO'!G43*tab!$C$56*5/12+'geg LO'!H43*tab!$D$56*7/12,0)</f>
        <v>0</v>
      </c>
      <c r="H43" s="533">
        <f>ROUND('geg LO'!H43*5/12*tab!$D$56+'geg LO'!I43*7/12*tab!$D$56,0)</f>
        <v>0</v>
      </c>
      <c r="I43" s="533">
        <f>ROUND('geg LO'!I43*5/12*tab!$D$56+'geg LO'!J43*7/12*tab!$D$56,0)</f>
        <v>0</v>
      </c>
      <c r="J43" s="533">
        <f>ROUND('geg LO'!J43*5/12*tab!$D$56+'geg LO'!K43*7/12*tab!$D$56,0)</f>
        <v>0</v>
      </c>
      <c r="K43" s="533">
        <f>ROUND('geg LO'!K43*5/12*tab!$D$56+'geg LO'!L43*7/12*tab!$D$56,0)</f>
        <v>0</v>
      </c>
      <c r="L43" s="533">
        <f>ROUND('geg LO'!L43*tab!$D$56,0)</f>
        <v>0</v>
      </c>
      <c r="M43" s="523"/>
      <c r="N43" s="530"/>
    </row>
    <row r="44" spans="2:14" s="584" customFormat="1" x14ac:dyDescent="0.2">
      <c r="B44" s="591"/>
      <c r="C44" s="592"/>
      <c r="D44" s="586" t="s">
        <v>817</v>
      </c>
      <c r="E44" s="592"/>
      <c r="F44" s="590" t="e">
        <f>ROUND('geg LO'!F43*tab!#REF!,0)</f>
        <v>#REF!</v>
      </c>
      <c r="G44" s="590">
        <f>ROUND('geg LO'!G43*tab!C$56,0)</f>
        <v>0</v>
      </c>
      <c r="H44" s="590">
        <f>ROUND('geg LO'!H43*tab!$D$56,0)</f>
        <v>0</v>
      </c>
      <c r="I44" s="590">
        <f>ROUND('geg LO'!I43*tab!$D$56,0)</f>
        <v>0</v>
      </c>
      <c r="J44" s="590">
        <f>ROUND('geg LO'!J43*tab!$D$56,0)</f>
        <v>0</v>
      </c>
      <c r="K44" s="590">
        <f>ROUND('geg LO'!K43*tab!$D$56,0)</f>
        <v>0</v>
      </c>
      <c r="L44" s="590">
        <f>ROUND('geg LO'!L43*tab!$D$56,0)</f>
        <v>0</v>
      </c>
      <c r="M44" s="592"/>
      <c r="N44" s="593"/>
    </row>
    <row r="45" spans="2:14" x14ac:dyDescent="0.2">
      <c r="B45" s="528"/>
      <c r="C45" s="523"/>
      <c r="D45" s="532" t="s">
        <v>773</v>
      </c>
      <c r="E45" s="525"/>
      <c r="F45" s="534" t="e">
        <f>SUM(F42:F43)</f>
        <v>#REF!</v>
      </c>
      <c r="G45" s="534">
        <f t="shared" ref="G45:L45" si="7">SUM(G42:G43)</f>
        <v>0</v>
      </c>
      <c r="H45" s="534">
        <f t="shared" si="7"/>
        <v>0</v>
      </c>
      <c r="I45" s="534">
        <f t="shared" si="7"/>
        <v>0</v>
      </c>
      <c r="J45" s="534">
        <f t="shared" si="7"/>
        <v>0</v>
      </c>
      <c r="K45" s="534">
        <f t="shared" si="7"/>
        <v>0</v>
      </c>
      <c r="L45" s="534">
        <f t="shared" si="7"/>
        <v>0</v>
      </c>
      <c r="M45" s="523"/>
      <c r="N45" s="530"/>
    </row>
    <row r="46" spans="2:14" s="200" customFormat="1" x14ac:dyDescent="0.2">
      <c r="B46" s="529"/>
      <c r="C46" s="525"/>
      <c r="D46" s="525"/>
      <c r="E46" s="525"/>
      <c r="F46" s="525"/>
      <c r="G46" s="525"/>
      <c r="H46" s="525"/>
      <c r="I46" s="525"/>
      <c r="J46" s="525"/>
      <c r="K46" s="525"/>
      <c r="L46" s="525"/>
      <c r="M46" s="525"/>
      <c r="N46" s="531"/>
    </row>
    <row r="47" spans="2:14" x14ac:dyDescent="0.2">
      <c r="B47" s="528"/>
      <c r="C47" s="523"/>
      <c r="D47" s="522" t="str">
        <f>+'geg LO'!D23</f>
        <v>Naam SBO 3</v>
      </c>
      <c r="E47" s="526"/>
      <c r="F47" s="527"/>
      <c r="G47" s="527"/>
      <c r="H47" s="527"/>
      <c r="I47" s="527"/>
      <c r="J47" s="527"/>
      <c r="K47" s="527"/>
      <c r="L47" s="527"/>
      <c r="M47" s="523"/>
      <c r="N47" s="530"/>
    </row>
    <row r="48" spans="2:14" x14ac:dyDescent="0.2">
      <c r="B48" s="528"/>
      <c r="C48" s="523"/>
      <c r="D48" s="476" t="s">
        <v>457</v>
      </c>
      <c r="E48" s="526"/>
      <c r="F48" s="533" t="e">
        <f>ROUND('geg LO'!F23*IF('geg LO'!F78="ja",tab!#REF!,tab!#REF!+'geg LO'!F82*tab!#REF!),0)</f>
        <v>#REF!</v>
      </c>
      <c r="G48" s="533">
        <f>ROUND('geg LO'!G23*IF('geg LO'!G78="ja",tab!$C$49,tab!$C$41+'geg LO'!G82*tab!$C$42),0)</f>
        <v>0</v>
      </c>
      <c r="H48" s="533">
        <f>ROUND('geg LO'!H23*IF('geg LO'!H78="ja",tab!$C$49,tab!$C$41+'geg LO'!H82*tab!$C$42),0)</f>
        <v>0</v>
      </c>
      <c r="I48" s="533">
        <f>ROUND('geg LO'!I23*IF('geg LO'!I78="ja",tab!$C$49,tab!$C$41+'geg LO'!I82*tab!$C$42),0)</f>
        <v>0</v>
      </c>
      <c r="J48" s="533">
        <f>ROUND('geg LO'!J23*IF('geg LO'!J78="ja",tab!$C$49,tab!$C$41+'geg LO'!J82*tab!$C$42),0)</f>
        <v>0</v>
      </c>
      <c r="K48" s="533">
        <f>ROUND('geg LO'!K23*IF('geg LO'!K78="ja",tab!$C$49,tab!$C$41+'geg LO'!K82*tab!$C$42),0)</f>
        <v>0</v>
      </c>
      <c r="L48" s="533">
        <f>ROUND('geg LO'!L23*IF('geg LO'!L78="ja",tab!$C$49,tab!$C$41+'geg LO'!L82*tab!$C$42),0)</f>
        <v>0</v>
      </c>
      <c r="M48" s="523"/>
      <c r="N48" s="530"/>
    </row>
    <row r="49" spans="2:14" x14ac:dyDescent="0.2">
      <c r="B49" s="528"/>
      <c r="C49" s="523"/>
      <c r="D49" s="476" t="s">
        <v>774</v>
      </c>
      <c r="E49" s="526"/>
      <c r="F49" s="533" t="e">
        <f>ROUND('geg LO'!F23*tab!#REF!,0)*5/12+ROUND('geg LO'!F23*tab!$C$55,0)*7/12</f>
        <v>#REF!</v>
      </c>
      <c r="G49" s="533">
        <f>ROUND('geg LO'!G23*tab!$C$55,0)*5/12+ROUND('geg LO'!G23*tab!$D$55,0)*7/12</f>
        <v>0</v>
      </c>
      <c r="H49" s="533">
        <f>ROUND('geg LO'!H23*tab!$C$55,0)*5/12+ROUND('geg LO'!H23*tab!$D$55,0)*7/12</f>
        <v>0</v>
      </c>
      <c r="I49" s="533">
        <f>ROUND('geg LO'!I23*tab!$C$55,0)*5/12+ROUND('geg LO'!I23*tab!$D$55,0)*7/12</f>
        <v>0</v>
      </c>
      <c r="J49" s="533">
        <f>ROUND('geg LO'!J23*tab!$C$55,0)*5/12+ROUND('geg LO'!J23*tab!$D$55,0)*7/12</f>
        <v>0</v>
      </c>
      <c r="K49" s="533">
        <f>ROUND('geg LO'!K23*tab!$C$55,0)*5/12+ROUND('geg LO'!K23*tab!$D$55,0)*7/12</f>
        <v>0</v>
      </c>
      <c r="L49" s="533">
        <f>ROUND('geg LO'!L23*tab!$C$55,0)*5/12+ROUND('geg LO'!L23*tab!$D$55,0)*7/12</f>
        <v>0</v>
      </c>
      <c r="M49" s="523"/>
      <c r="N49" s="530"/>
    </row>
    <row r="50" spans="2:14" s="584" customFormat="1" x14ac:dyDescent="0.2">
      <c r="B50" s="591"/>
      <c r="C50" s="592"/>
      <c r="D50" s="586" t="s">
        <v>816</v>
      </c>
      <c r="E50" s="586"/>
      <c r="F50" s="590" t="e">
        <f>ROUND('geg LO'!F23*tab!#REF!,2)</f>
        <v>#REF!</v>
      </c>
      <c r="G50" s="590">
        <f>ROUND('geg LO'!G23*tab!C$55,2)</f>
        <v>0</v>
      </c>
      <c r="H50" s="590">
        <f>ROUND('geg LO'!H23*tab!$D$55,2)</f>
        <v>0</v>
      </c>
      <c r="I50" s="590">
        <f>ROUND('geg LO'!I23*tab!$D$55,2)</f>
        <v>0</v>
      </c>
      <c r="J50" s="590">
        <f>ROUND('geg LO'!J23*tab!$D$55,2)</f>
        <v>0</v>
      </c>
      <c r="K50" s="590">
        <f>ROUND('geg LO'!K23*tab!$D$55,2)</f>
        <v>0</v>
      </c>
      <c r="L50" s="590">
        <f>ROUND('geg LO'!L23*tab!$D$55,2)</f>
        <v>0</v>
      </c>
      <c r="M50" s="592"/>
      <c r="N50" s="593"/>
    </row>
    <row r="51" spans="2:14" x14ac:dyDescent="0.2">
      <c r="B51" s="528"/>
      <c r="C51" s="523"/>
      <c r="D51" s="540" t="s">
        <v>775</v>
      </c>
      <c r="E51" s="526"/>
      <c r="F51" s="534" t="e">
        <f>SUM(F48:F49)</f>
        <v>#REF!</v>
      </c>
      <c r="G51" s="534">
        <f t="shared" ref="G51:L51" si="8">SUM(G48:G49)</f>
        <v>0</v>
      </c>
      <c r="H51" s="534">
        <f t="shared" si="8"/>
        <v>0</v>
      </c>
      <c r="I51" s="534">
        <f t="shared" si="8"/>
        <v>0</v>
      </c>
      <c r="J51" s="534">
        <f t="shared" si="8"/>
        <v>0</v>
      </c>
      <c r="K51" s="534">
        <f t="shared" si="8"/>
        <v>0</v>
      </c>
      <c r="L51" s="534">
        <f t="shared" si="8"/>
        <v>0</v>
      </c>
      <c r="M51" s="523"/>
      <c r="N51" s="530"/>
    </row>
    <row r="52" spans="2:14" x14ac:dyDescent="0.2">
      <c r="B52" s="528"/>
      <c r="C52" s="523"/>
      <c r="D52" s="522"/>
      <c r="E52" s="526"/>
      <c r="F52" s="527"/>
      <c r="G52" s="527"/>
      <c r="H52" s="527"/>
      <c r="I52" s="527"/>
      <c r="J52" s="527"/>
      <c r="K52" s="527"/>
      <c r="L52" s="527"/>
      <c r="M52" s="523"/>
      <c r="N52" s="530"/>
    </row>
    <row r="53" spans="2:14" x14ac:dyDescent="0.2">
      <c r="B53" s="528"/>
      <c r="C53" s="523"/>
      <c r="D53" s="520" t="s">
        <v>772</v>
      </c>
      <c r="E53" s="526"/>
      <c r="F53" s="533" t="e">
        <f>ROUND('geg LO'!F44*IF('geg LO'!F$78="ja",tab!#REF!,tab!#REF!+'geg LO'!F82*tab!#REF!),0)</f>
        <v>#REF!</v>
      </c>
      <c r="G53" s="533">
        <f>ROUND('geg LO'!G44*IF('geg LO'!G$78="ja",tab!$C$50,tab!$C$43+'geg LO'!G82*tab!$C$53),0)</f>
        <v>0</v>
      </c>
      <c r="H53" s="533">
        <f>ROUND('geg LO'!H44*IF('geg LO'!H78="ja",tab!$C$50,tab!$C$43+'geg LO'!H82*tab!$C$53),0)</f>
        <v>0</v>
      </c>
      <c r="I53" s="533">
        <f>ROUND('geg LO'!I44*IF('geg LO'!I78="ja",tab!$C$50,tab!$C$43+'geg LO'!I82*tab!$C$53),0)</f>
        <v>0</v>
      </c>
      <c r="J53" s="533">
        <f>ROUND('geg LO'!J44*IF('geg LO'!J78="ja",tab!$C$50,tab!$C$43+'geg LO'!J82*tab!$C$53),0)</f>
        <v>0</v>
      </c>
      <c r="K53" s="533">
        <f>ROUND('geg LO'!K44*IF('geg LO'!K78="ja",tab!$C$50,tab!$C$43+'geg LO'!K82*tab!$C$53),0)</f>
        <v>0</v>
      </c>
      <c r="L53" s="533">
        <f>ROUND('geg LO'!L44*IF('geg LO'!L78="ja",tab!$C$50,tab!$C$43+'geg LO'!L82*tab!$C$53),0)</f>
        <v>0</v>
      </c>
      <c r="M53" s="523"/>
      <c r="N53" s="530"/>
    </row>
    <row r="54" spans="2:14" x14ac:dyDescent="0.2">
      <c r="B54" s="528"/>
      <c r="C54" s="523"/>
      <c r="D54" s="519" t="s">
        <v>779</v>
      </c>
      <c r="E54" s="523"/>
      <c r="F54" s="533" t="e">
        <f>ROUND('geg LO'!F44*tab!#REF!*5/12+'geg LO'!G44*tab!$C$56*7/12,0)</f>
        <v>#REF!</v>
      </c>
      <c r="G54" s="533">
        <f>ROUND('geg LO'!G44*tab!$C$56*5/12+'geg LO'!H44*tab!$D$56*7/12,0)</f>
        <v>0</v>
      </c>
      <c r="H54" s="533">
        <f>ROUND('geg LO'!H44*5/12*tab!$D$56+'geg LO'!I44*7/12*tab!$D$56,0)</f>
        <v>0</v>
      </c>
      <c r="I54" s="533">
        <f>ROUND('geg LO'!I44*5/12*tab!$D$56+'geg LO'!J44*7/12*tab!$D$56,0)</f>
        <v>0</v>
      </c>
      <c r="J54" s="533">
        <f>ROUND('geg LO'!J44*5/12*tab!$D$56+'geg LO'!K44*7/12*tab!$D$56,0)</f>
        <v>0</v>
      </c>
      <c r="K54" s="533">
        <f>ROUND('geg LO'!K44*5/12*tab!$D$56+'geg LO'!L44*7/12*tab!$D$56,0)</f>
        <v>0</v>
      </c>
      <c r="L54" s="533">
        <f>ROUND('geg LO'!L44*tab!$D$56,0)</f>
        <v>0</v>
      </c>
      <c r="M54" s="523"/>
      <c r="N54" s="530"/>
    </row>
    <row r="55" spans="2:14" s="584" customFormat="1" x14ac:dyDescent="0.2">
      <c r="B55" s="591"/>
      <c r="C55" s="592"/>
      <c r="D55" s="586" t="s">
        <v>817</v>
      </c>
      <c r="E55" s="592"/>
      <c r="F55" s="590" t="e">
        <f>ROUND('geg LO'!F44*tab!#REF!,0)</f>
        <v>#REF!</v>
      </c>
      <c r="G55" s="590">
        <f>ROUND('geg LO'!G44*tab!C$56,0)</f>
        <v>0</v>
      </c>
      <c r="H55" s="590">
        <f>ROUND('geg LO'!H44*tab!$D$56,0)</f>
        <v>0</v>
      </c>
      <c r="I55" s="590">
        <f>ROUND('geg LO'!I44*tab!$D$56,0)</f>
        <v>0</v>
      </c>
      <c r="J55" s="590">
        <f>ROUND('geg LO'!J44*tab!$D$56,0)</f>
        <v>0</v>
      </c>
      <c r="K55" s="590">
        <f>ROUND('geg LO'!K44*tab!$D$56,0)</f>
        <v>0</v>
      </c>
      <c r="L55" s="590">
        <f>ROUND('geg LO'!L44*tab!$D$56,0)</f>
        <v>0</v>
      </c>
      <c r="M55" s="592"/>
      <c r="N55" s="593"/>
    </row>
    <row r="56" spans="2:14" x14ac:dyDescent="0.2">
      <c r="B56" s="528"/>
      <c r="C56" s="523"/>
      <c r="D56" s="532" t="s">
        <v>773</v>
      </c>
      <c r="E56" s="525"/>
      <c r="F56" s="534" t="e">
        <f>SUM(F53:F54)</f>
        <v>#REF!</v>
      </c>
      <c r="G56" s="534">
        <f t="shared" ref="G56:L56" si="9">SUM(G53:G54)</f>
        <v>0</v>
      </c>
      <c r="H56" s="534">
        <f t="shared" si="9"/>
        <v>0</v>
      </c>
      <c r="I56" s="534">
        <f t="shared" si="9"/>
        <v>0</v>
      </c>
      <c r="J56" s="534">
        <f t="shared" si="9"/>
        <v>0</v>
      </c>
      <c r="K56" s="534">
        <f t="shared" si="9"/>
        <v>0</v>
      </c>
      <c r="L56" s="534">
        <f t="shared" si="9"/>
        <v>0</v>
      </c>
      <c r="M56" s="523"/>
      <c r="N56" s="530"/>
    </row>
    <row r="57" spans="2:14" x14ac:dyDescent="0.2">
      <c r="B57" s="528"/>
      <c r="C57" s="523"/>
      <c r="D57" s="523"/>
      <c r="E57" s="523"/>
      <c r="F57" s="524"/>
      <c r="G57" s="524"/>
      <c r="H57" s="524"/>
      <c r="I57" s="524"/>
      <c r="J57" s="524"/>
      <c r="K57" s="524"/>
      <c r="L57" s="524"/>
      <c r="M57" s="523"/>
      <c r="N57" s="530"/>
    </row>
    <row r="58" spans="2:14" x14ac:dyDescent="0.2">
      <c r="B58" s="528"/>
      <c r="C58" s="523"/>
      <c r="D58" s="522" t="str">
        <f>+'geg LO'!D24</f>
        <v>Naam SBO 4</v>
      </c>
      <c r="E58" s="526"/>
      <c r="F58" s="527"/>
      <c r="G58" s="527"/>
      <c r="H58" s="527"/>
      <c r="I58" s="527"/>
      <c r="J58" s="527"/>
      <c r="K58" s="527"/>
      <c r="L58" s="527"/>
      <c r="M58" s="523"/>
      <c r="N58" s="530"/>
    </row>
    <row r="59" spans="2:14" x14ac:dyDescent="0.2">
      <c r="B59" s="528"/>
      <c r="C59" s="523"/>
      <c r="D59" s="476" t="s">
        <v>457</v>
      </c>
      <c r="E59" s="526"/>
      <c r="F59" s="533" t="e">
        <f>ROUND('geg LO'!F24*IF('geg LO'!F78="ja",tab!#REF!,tab!#REF!+'geg LO'!F83*tab!#REF!),0)</f>
        <v>#REF!</v>
      </c>
      <c r="G59" s="533">
        <f>ROUND('geg LO'!G24*IF('geg LO'!G78="ja",tab!$C$49,tab!$C$41+'geg LO'!G83*tab!$C$42),0)</f>
        <v>0</v>
      </c>
      <c r="H59" s="533">
        <f>ROUND('geg LO'!H24*IF('geg LO'!H78="ja",tab!$C$49,tab!$C$41+'geg LO'!H83*tab!$C$42),0)</f>
        <v>0</v>
      </c>
      <c r="I59" s="533">
        <f>ROUND('geg LO'!I24*IF('geg LO'!I78="ja",tab!$C$49,tab!$C$41+'geg LO'!I83*tab!$C$42),0)</f>
        <v>0</v>
      </c>
      <c r="J59" s="533">
        <f>ROUND('geg LO'!J24*IF('geg LO'!J78="ja",tab!$C$49,tab!$C$41+'geg LO'!J83*tab!$C$42),0)</f>
        <v>0</v>
      </c>
      <c r="K59" s="533">
        <f>ROUND('geg LO'!K24*IF('geg LO'!K78="ja",tab!$C$49,tab!$C$41+'geg LO'!K83*tab!$C$42),0)</f>
        <v>0</v>
      </c>
      <c r="L59" s="533">
        <f>ROUND('geg LO'!L24*IF('geg LO'!L78="ja",tab!$C$49,tab!$C$41+'geg LO'!L83*tab!$C$42),0)</f>
        <v>0</v>
      </c>
      <c r="M59" s="523"/>
      <c r="N59" s="530"/>
    </row>
    <row r="60" spans="2:14" x14ac:dyDescent="0.2">
      <c r="B60" s="528"/>
      <c r="C60" s="523"/>
      <c r="D60" s="476" t="s">
        <v>774</v>
      </c>
      <c r="E60" s="526"/>
      <c r="F60" s="533" t="e">
        <f>ROUND('geg LO'!F24*tab!#REF!,0)*5/12+ROUND('geg LO'!F24*tab!$C$55,0)*7/12</f>
        <v>#REF!</v>
      </c>
      <c r="G60" s="533">
        <f>ROUND('geg LO'!G24*tab!$C$55,0)*5/12+ROUND('geg LO'!G24*tab!$D$55,0)*7/12</f>
        <v>0</v>
      </c>
      <c r="H60" s="533">
        <f>ROUND('geg LO'!H24*tab!$C$55,0)*5/12+ROUND('geg LO'!H24*tab!$D$55,0)*7/12</f>
        <v>0</v>
      </c>
      <c r="I60" s="533">
        <f>ROUND('geg LO'!I24*tab!$C$55,0)*5/12+ROUND('geg LO'!I24*tab!$D$55,0)*7/12</f>
        <v>0</v>
      </c>
      <c r="J60" s="533">
        <f>ROUND('geg LO'!J24*tab!$C$55,0)*5/12+ROUND('geg LO'!J24*tab!$D$55,0)*7/12</f>
        <v>0</v>
      </c>
      <c r="K60" s="533">
        <f>ROUND('geg LO'!K24*tab!$C$55,0)*5/12+ROUND('geg LO'!K24*tab!$D$55,0)*7/12</f>
        <v>0</v>
      </c>
      <c r="L60" s="533">
        <f>ROUND('geg LO'!L24*tab!$C$55,0)*5/12+ROUND('geg LO'!L24*tab!$D$55,0)*7/12</f>
        <v>0</v>
      </c>
      <c r="M60" s="523"/>
      <c r="N60" s="530"/>
    </row>
    <row r="61" spans="2:14" s="584" customFormat="1" x14ac:dyDescent="0.2">
      <c r="B61" s="591"/>
      <c r="C61" s="592"/>
      <c r="D61" s="586" t="s">
        <v>816</v>
      </c>
      <c r="E61" s="586"/>
      <c r="F61" s="590" t="e">
        <f>ROUND('geg LO'!F24*tab!#REF!,2)</f>
        <v>#REF!</v>
      </c>
      <c r="G61" s="590">
        <f>ROUND('geg LO'!G24*tab!C$55,2)</f>
        <v>0</v>
      </c>
      <c r="H61" s="590">
        <f>ROUND('geg LO'!H24*tab!$D$55,2)</f>
        <v>0</v>
      </c>
      <c r="I61" s="590">
        <f>ROUND('geg LO'!I24*tab!$D$55,2)</f>
        <v>0</v>
      </c>
      <c r="J61" s="590">
        <f>ROUND('geg LO'!J24*tab!$D$55,2)</f>
        <v>0</v>
      </c>
      <c r="K61" s="590">
        <f>ROUND('geg LO'!K24*tab!$D$55,2)</f>
        <v>0</v>
      </c>
      <c r="L61" s="590">
        <f>ROUND('geg LO'!L24*tab!$D$55,2)</f>
        <v>0</v>
      </c>
      <c r="M61" s="592"/>
      <c r="N61" s="593"/>
    </row>
    <row r="62" spans="2:14" x14ac:dyDescent="0.2">
      <c r="B62" s="528"/>
      <c r="C62" s="523"/>
      <c r="D62" s="540" t="s">
        <v>775</v>
      </c>
      <c r="E62" s="526"/>
      <c r="F62" s="534" t="e">
        <f>SUM(F59:F60)</f>
        <v>#REF!</v>
      </c>
      <c r="G62" s="534">
        <f t="shared" ref="G62:L62" si="10">SUM(G59:G60)</f>
        <v>0</v>
      </c>
      <c r="H62" s="534">
        <f t="shared" si="10"/>
        <v>0</v>
      </c>
      <c r="I62" s="534">
        <f t="shared" si="10"/>
        <v>0</v>
      </c>
      <c r="J62" s="534">
        <f t="shared" si="10"/>
        <v>0</v>
      </c>
      <c r="K62" s="534">
        <f t="shared" si="10"/>
        <v>0</v>
      </c>
      <c r="L62" s="534">
        <f t="shared" si="10"/>
        <v>0</v>
      </c>
      <c r="M62" s="523"/>
      <c r="N62" s="530"/>
    </row>
    <row r="63" spans="2:14" x14ac:dyDescent="0.2">
      <c r="B63" s="528"/>
      <c r="C63" s="523"/>
      <c r="D63" s="522"/>
      <c r="E63" s="526"/>
      <c r="F63" s="527"/>
      <c r="G63" s="527"/>
      <c r="H63" s="527"/>
      <c r="I63" s="527"/>
      <c r="J63" s="527"/>
      <c r="K63" s="527"/>
      <c r="L63" s="527"/>
      <c r="M63" s="523"/>
      <c r="N63" s="530"/>
    </row>
    <row r="64" spans="2:14" x14ac:dyDescent="0.2">
      <c r="B64" s="528"/>
      <c r="C64" s="523"/>
      <c r="D64" s="520" t="s">
        <v>772</v>
      </c>
      <c r="E64" s="526"/>
      <c r="F64" s="533" t="e">
        <f>ROUND('geg LO'!F45*IF('geg LO'!F$78="ja",tab!#REF!,tab!#REF!+'geg LO'!F83*tab!#REF!),0)</f>
        <v>#REF!</v>
      </c>
      <c r="G64" s="533">
        <f>ROUND('geg LO'!G45*IF('geg LO'!G$78="ja",tab!$C$50,tab!$C$43+'geg LO'!G83*tab!$C$53),0)</f>
        <v>0</v>
      </c>
      <c r="H64" s="533">
        <f>ROUND('geg LO'!H45*IF('geg LO'!H$78="ja",tab!$C$50,tab!$C$43+'geg LO'!H83*tab!$C$53),0)</f>
        <v>0</v>
      </c>
      <c r="I64" s="533">
        <f>ROUND('geg LO'!I45*IF('geg LO'!I$78="ja",tab!$C$50,tab!$C$43+'geg LO'!I83*tab!$C$53),0)</f>
        <v>0</v>
      </c>
      <c r="J64" s="533">
        <f>ROUND('geg LO'!J45*IF('geg LO'!J$78="ja",tab!$C$50,tab!$C$43+'geg LO'!J83*tab!$C$53),0)</f>
        <v>0</v>
      </c>
      <c r="K64" s="533">
        <f>ROUND('geg LO'!K45*IF('geg LO'!K$78="ja",tab!$C$50,tab!$C$43+'geg LO'!K83*tab!$C$53),0)</f>
        <v>0</v>
      </c>
      <c r="L64" s="533">
        <f>ROUND('geg LO'!L45*IF('geg LO'!L$78="ja",tab!$C$50,tab!$C$43+'geg LO'!L83*tab!$C$53),0)</f>
        <v>0</v>
      </c>
      <c r="M64" s="523"/>
      <c r="N64" s="530"/>
    </row>
    <row r="65" spans="2:14" x14ac:dyDescent="0.2">
      <c r="B65" s="528"/>
      <c r="C65" s="523"/>
      <c r="D65" s="519" t="s">
        <v>779</v>
      </c>
      <c r="E65" s="523"/>
      <c r="F65" s="533" t="e">
        <f>ROUND('geg LO'!F45*tab!#REF!*5/12+'geg LO'!G45*tab!$C$56*7/12,0)</f>
        <v>#REF!</v>
      </c>
      <c r="G65" s="533">
        <f>ROUND('geg LO'!G45*tab!$C$56*5/12+'geg LO'!H45*tab!$D$56*7/12,0)</f>
        <v>0</v>
      </c>
      <c r="H65" s="533">
        <f>ROUND(('geg LO'!H45*5/12+'geg LO'!I45*7/12)*tab!$D$56,0)</f>
        <v>0</v>
      </c>
      <c r="I65" s="533">
        <f>ROUND(('geg LO'!I45*5/12+'geg LO'!J45*7/12)*tab!$D$56,0)</f>
        <v>0</v>
      </c>
      <c r="J65" s="533">
        <f>ROUND(('geg LO'!J45*5/12+'geg LO'!K45*7/12)*tab!$D$56,0)</f>
        <v>0</v>
      </c>
      <c r="K65" s="533">
        <f>ROUND(('geg LO'!K45*5/12+'geg LO'!L45*7/12)*tab!$D$56,0)</f>
        <v>0</v>
      </c>
      <c r="L65" s="533">
        <f>ROUND('geg LO'!L45*tab!$D$56,0)</f>
        <v>0</v>
      </c>
      <c r="M65" s="523"/>
      <c r="N65" s="530"/>
    </row>
    <row r="66" spans="2:14" s="584" customFormat="1" x14ac:dyDescent="0.2">
      <c r="B66" s="591"/>
      <c r="C66" s="592"/>
      <c r="D66" s="586" t="s">
        <v>817</v>
      </c>
      <c r="E66" s="592"/>
      <c r="F66" s="590" t="e">
        <f>ROUND('geg LO'!F45*tab!#REF!,0)</f>
        <v>#REF!</v>
      </c>
      <c r="G66" s="590">
        <f>ROUND('geg LO'!G45*tab!C$56,0)</f>
        <v>0</v>
      </c>
      <c r="H66" s="590">
        <f>ROUND('geg LO'!H45*tab!$D$56,0)</f>
        <v>0</v>
      </c>
      <c r="I66" s="590">
        <f>ROUND('geg LO'!I45*tab!$D$56,0)</f>
        <v>0</v>
      </c>
      <c r="J66" s="590">
        <f>ROUND('geg LO'!J45*tab!$D$56,0)</f>
        <v>0</v>
      </c>
      <c r="K66" s="590">
        <f>ROUND('geg LO'!K45*tab!$D$56,0)</f>
        <v>0</v>
      </c>
      <c r="L66" s="590">
        <f>ROUND('geg LO'!L45*tab!$D$56,0)</f>
        <v>0</v>
      </c>
      <c r="M66" s="592"/>
      <c r="N66" s="593"/>
    </row>
    <row r="67" spans="2:14" x14ac:dyDescent="0.2">
      <c r="B67" s="528"/>
      <c r="C67" s="523"/>
      <c r="D67" s="532" t="s">
        <v>773</v>
      </c>
      <c r="E67" s="525"/>
      <c r="F67" s="534" t="e">
        <f>SUM(F64:F65)</f>
        <v>#REF!</v>
      </c>
      <c r="G67" s="534">
        <f t="shared" ref="G67:L67" si="11">SUM(G64:G65)</f>
        <v>0</v>
      </c>
      <c r="H67" s="534">
        <f t="shared" si="11"/>
        <v>0</v>
      </c>
      <c r="I67" s="534">
        <f t="shared" si="11"/>
        <v>0</v>
      </c>
      <c r="J67" s="534">
        <f t="shared" si="11"/>
        <v>0</v>
      </c>
      <c r="K67" s="534">
        <f t="shared" si="11"/>
        <v>0</v>
      </c>
      <c r="L67" s="534">
        <f t="shared" si="11"/>
        <v>0</v>
      </c>
      <c r="M67" s="523"/>
      <c r="N67" s="530"/>
    </row>
    <row r="68" spans="2:14" x14ac:dyDescent="0.2">
      <c r="B68" s="528"/>
      <c r="C68" s="523"/>
      <c r="D68" s="523"/>
      <c r="E68" s="523"/>
      <c r="F68" s="524"/>
      <c r="G68" s="524"/>
      <c r="H68" s="524"/>
      <c r="I68" s="524"/>
      <c r="J68" s="524"/>
      <c r="K68" s="524"/>
      <c r="L68" s="524"/>
      <c r="M68" s="523"/>
      <c r="N68" s="530"/>
    </row>
    <row r="69" spans="2:14" x14ac:dyDescent="0.2">
      <c r="B69" s="528"/>
      <c r="C69" s="523"/>
      <c r="D69" s="522" t="str">
        <f>+'geg LO'!D25</f>
        <v>Naam SBO 5</v>
      </c>
      <c r="E69" s="526"/>
      <c r="F69" s="527"/>
      <c r="G69" s="527"/>
      <c r="H69" s="527"/>
      <c r="I69" s="527"/>
      <c r="J69" s="527"/>
      <c r="K69" s="527"/>
      <c r="L69" s="527"/>
      <c r="M69" s="523"/>
      <c r="N69" s="530"/>
    </row>
    <row r="70" spans="2:14" x14ac:dyDescent="0.2">
      <c r="B70" s="528"/>
      <c r="C70" s="523"/>
      <c r="D70" s="476" t="s">
        <v>457</v>
      </c>
      <c r="E70" s="526"/>
      <c r="F70" s="533" t="e">
        <f>ROUND('geg LO'!F25*IF('geg LO'!F78="ja",tab!#REF!,tab!#REF!+'geg LO'!F84*tab!#REF!),0)</f>
        <v>#REF!</v>
      </c>
      <c r="G70" s="533">
        <f>ROUND('geg LO'!G25*IF('geg LO'!G78="ja",tab!$C$49,tab!$C$41+'geg LO'!G84*tab!$C$42),0)</f>
        <v>0</v>
      </c>
      <c r="H70" s="533">
        <f>ROUND('geg LO'!H25*IF('geg LO'!H78="ja",tab!$C$49,tab!$C$41+'geg LO'!H84*tab!$C$42),0)</f>
        <v>0</v>
      </c>
      <c r="I70" s="533">
        <f>ROUND('geg LO'!I25*IF('geg LO'!I78="ja",tab!$C$49,tab!$C$41+'geg LO'!I84*tab!$C$42),0)</f>
        <v>0</v>
      </c>
      <c r="J70" s="533">
        <f>ROUND('geg LO'!J25*IF('geg LO'!J78="ja",tab!$C$49,tab!$C$41+'geg LO'!J84*tab!$C$42),0)</f>
        <v>0</v>
      </c>
      <c r="K70" s="533">
        <f>ROUND('geg LO'!K25*IF('geg LO'!K78="ja",tab!$C$49,tab!$C$41+'geg LO'!K84*tab!$C$42),0)</f>
        <v>0</v>
      </c>
      <c r="L70" s="533">
        <f>ROUND('geg LO'!L25*IF('geg LO'!L78="ja",tab!$C$49,tab!$C$41+'geg LO'!L84*tab!$C$42),0)</f>
        <v>0</v>
      </c>
      <c r="M70" s="523"/>
      <c r="N70" s="530"/>
    </row>
    <row r="71" spans="2:14" x14ac:dyDescent="0.2">
      <c r="B71" s="528"/>
      <c r="C71" s="523"/>
      <c r="D71" s="476" t="s">
        <v>774</v>
      </c>
      <c r="E71" s="526"/>
      <c r="F71" s="533" t="e">
        <f>ROUND('geg LO'!F25*tab!#REF!,0)*5/12+ROUND('geg LO'!F25*tab!$C$55,0)*7/12</f>
        <v>#REF!</v>
      </c>
      <c r="G71" s="533">
        <f>ROUND('geg LO'!G25*tab!$C$55,0)*5/12+ROUND('geg LO'!G25*tab!$D$55,0)*7/12</f>
        <v>0</v>
      </c>
      <c r="H71" s="533">
        <f>ROUND('geg LO'!H25*tab!$C$55,0)*5/12+ROUND('geg LO'!H25*tab!$D$55,0)*7/12</f>
        <v>0</v>
      </c>
      <c r="I71" s="533">
        <f>ROUND('geg LO'!I25*tab!$C$55,0)*5/12+ROUND('geg LO'!I25*tab!$D$55,0)*7/12</f>
        <v>0</v>
      </c>
      <c r="J71" s="533">
        <f>ROUND('geg LO'!J25*tab!$C$55,0)*5/12+ROUND('geg LO'!J25*tab!$D$55,0)*7/12</f>
        <v>0</v>
      </c>
      <c r="K71" s="533">
        <f>ROUND('geg LO'!K25*tab!$C$55,0)*5/12+ROUND('geg LO'!K25*tab!$D$55,0)*7/12</f>
        <v>0</v>
      </c>
      <c r="L71" s="533">
        <f>ROUND('geg LO'!L25*tab!$C$55,0)*5/12+ROUND('geg LO'!L25*tab!$D$55,0)*7/12</f>
        <v>0</v>
      </c>
      <c r="M71" s="523"/>
      <c r="N71" s="530"/>
    </row>
    <row r="72" spans="2:14" s="584" customFormat="1" x14ac:dyDescent="0.2">
      <c r="B72" s="591"/>
      <c r="C72" s="592"/>
      <c r="D72" s="586" t="s">
        <v>816</v>
      </c>
      <c r="E72" s="586"/>
      <c r="F72" s="590" t="e">
        <f>ROUND('geg LO'!F25*tab!#REF!,2)</f>
        <v>#REF!</v>
      </c>
      <c r="G72" s="590">
        <f>ROUND('geg LO'!G25*tab!C$55,2)</f>
        <v>0</v>
      </c>
      <c r="H72" s="590">
        <f>ROUND('geg LO'!H25*tab!$D$55,2)</f>
        <v>0</v>
      </c>
      <c r="I72" s="590">
        <f>ROUND('geg LO'!I25*tab!$D$55,2)</f>
        <v>0</v>
      </c>
      <c r="J72" s="590">
        <f>ROUND('geg LO'!J25*tab!$D$55,2)</f>
        <v>0</v>
      </c>
      <c r="K72" s="590">
        <f>ROUND('geg LO'!K25*tab!$D$55,2)</f>
        <v>0</v>
      </c>
      <c r="L72" s="590">
        <f>ROUND('geg LO'!L25*tab!$D$55,2)</f>
        <v>0</v>
      </c>
      <c r="M72" s="592"/>
      <c r="N72" s="593"/>
    </row>
    <row r="73" spans="2:14" x14ac:dyDescent="0.2">
      <c r="B73" s="528"/>
      <c r="C73" s="523"/>
      <c r="D73" s="540" t="s">
        <v>775</v>
      </c>
      <c r="E73" s="526"/>
      <c r="F73" s="534" t="e">
        <f>SUM(F70:F71)</f>
        <v>#REF!</v>
      </c>
      <c r="G73" s="534">
        <f t="shared" ref="G73:L73" si="12">SUM(G70:G71)</f>
        <v>0</v>
      </c>
      <c r="H73" s="534">
        <f t="shared" si="12"/>
        <v>0</v>
      </c>
      <c r="I73" s="534">
        <f t="shared" si="12"/>
        <v>0</v>
      </c>
      <c r="J73" s="534">
        <f t="shared" si="12"/>
        <v>0</v>
      </c>
      <c r="K73" s="534">
        <f t="shared" si="12"/>
        <v>0</v>
      </c>
      <c r="L73" s="534">
        <f t="shared" si="12"/>
        <v>0</v>
      </c>
      <c r="M73" s="523"/>
      <c r="N73" s="530"/>
    </row>
    <row r="74" spans="2:14" x14ac:dyDescent="0.2">
      <c r="B74" s="528"/>
      <c r="C74" s="523"/>
      <c r="D74" s="522"/>
      <c r="E74" s="526"/>
      <c r="F74" s="527"/>
      <c r="G74" s="527"/>
      <c r="H74" s="527"/>
      <c r="I74" s="527"/>
      <c r="J74" s="527"/>
      <c r="K74" s="527"/>
      <c r="L74" s="527"/>
      <c r="M74" s="523"/>
      <c r="N74" s="530"/>
    </row>
    <row r="75" spans="2:14" x14ac:dyDescent="0.2">
      <c r="B75" s="528"/>
      <c r="C75" s="523"/>
      <c r="D75" s="520" t="s">
        <v>772</v>
      </c>
      <c r="E75" s="526"/>
      <c r="F75" s="533" t="e">
        <f>ROUND('geg LO'!F46*IF('geg LO'!F$78="ja",tab!#REF!,tab!#REF!+'geg LO'!F84*tab!#REF!),0)</f>
        <v>#REF!</v>
      </c>
      <c r="G75" s="533">
        <f>ROUND('geg LO'!G46*IF('geg LO'!G$78="ja",tab!$C$50,tab!$C$43+'geg LO'!G84*tab!$C$53),0)</f>
        <v>0</v>
      </c>
      <c r="H75" s="533">
        <f>ROUND('geg LO'!H46*IF('geg LO'!H$78="ja",tab!$C$50,tab!$C$43+'geg LO'!H84*tab!$C$53),0)</f>
        <v>0</v>
      </c>
      <c r="I75" s="533">
        <f>ROUND('geg LO'!I46*IF('geg LO'!I$78="ja",tab!$C$50,tab!$C$43+'geg LO'!I84*tab!$C$53),0)</f>
        <v>0</v>
      </c>
      <c r="J75" s="533">
        <f>ROUND('geg LO'!J46*IF('geg LO'!J$78="ja",tab!$C$50,tab!$C$43+'geg LO'!J84*tab!$C$53),0)</f>
        <v>0</v>
      </c>
      <c r="K75" s="533">
        <f>ROUND('geg LO'!K46*IF('geg LO'!K$78="ja",tab!$C$50,tab!$C$43+'geg LO'!K84*tab!$C$53),0)</f>
        <v>0</v>
      </c>
      <c r="L75" s="533">
        <f>ROUND('geg LO'!L46*IF('geg LO'!L$78="ja",tab!$C$50,tab!$C$43+'geg LO'!L84*tab!$C$53),0)</f>
        <v>0</v>
      </c>
      <c r="M75" s="523"/>
      <c r="N75" s="530"/>
    </row>
    <row r="76" spans="2:14" x14ac:dyDescent="0.2">
      <c r="B76" s="528"/>
      <c r="C76" s="523"/>
      <c r="D76" s="519" t="s">
        <v>779</v>
      </c>
      <c r="E76" s="523"/>
      <c r="F76" s="533" t="e">
        <f>ROUND('geg LO'!F46*tab!#REF!*5/12+'geg LO'!G46*tab!$C$56*7/12,0)</f>
        <v>#REF!</v>
      </c>
      <c r="G76" s="533">
        <f>ROUND('geg LO'!G46*tab!$C$56*5/12+'geg LO'!H46*tab!$D$56*7/12,0)</f>
        <v>0</v>
      </c>
      <c r="H76" s="533">
        <f>ROUND(('geg LO'!H46*5/12+'geg LO'!I46*7/12)*tab!$D$56,0)</f>
        <v>0</v>
      </c>
      <c r="I76" s="533">
        <f>ROUND(('geg LO'!I46*5/12+'geg LO'!J46*7/12)*tab!$D$56,0)</f>
        <v>0</v>
      </c>
      <c r="J76" s="533">
        <f>ROUND(('geg LO'!J46*5/12+'geg LO'!K46*7/12)*tab!$D$56,0)</f>
        <v>0</v>
      </c>
      <c r="K76" s="533">
        <f>ROUND(('geg LO'!K46*5/12+'geg LO'!L46*7/12)*tab!$D$56,0)</f>
        <v>0</v>
      </c>
      <c r="L76" s="533">
        <f>ROUND('geg LO'!L46*tab!$D$56,0)</f>
        <v>0</v>
      </c>
      <c r="M76" s="523"/>
      <c r="N76" s="530"/>
    </row>
    <row r="77" spans="2:14" s="584" customFormat="1" x14ac:dyDescent="0.2">
      <c r="B77" s="591"/>
      <c r="C77" s="592"/>
      <c r="D77" s="586" t="s">
        <v>817</v>
      </c>
      <c r="E77" s="592"/>
      <c r="F77" s="590" t="e">
        <f>ROUND('geg LO'!F46*tab!#REF!,0)</f>
        <v>#REF!</v>
      </c>
      <c r="G77" s="590">
        <f>ROUND('geg LO'!G46*tab!C$56,0)</f>
        <v>0</v>
      </c>
      <c r="H77" s="590">
        <f>ROUND('geg LO'!H46*tab!$D$56,0)</f>
        <v>0</v>
      </c>
      <c r="I77" s="590">
        <f>ROUND('geg LO'!I46*tab!$D$56,0)</f>
        <v>0</v>
      </c>
      <c r="J77" s="590">
        <f>ROUND('geg LO'!J46*tab!$D$56,0)</f>
        <v>0</v>
      </c>
      <c r="K77" s="590">
        <f>ROUND('geg LO'!K46*tab!$D$56,0)</f>
        <v>0</v>
      </c>
      <c r="L77" s="590">
        <f>ROUND('geg LO'!L46*tab!$D$56,0)</f>
        <v>0</v>
      </c>
      <c r="M77" s="592"/>
      <c r="N77" s="593"/>
    </row>
    <row r="78" spans="2:14" x14ac:dyDescent="0.2">
      <c r="B78" s="528"/>
      <c r="C78" s="523"/>
      <c r="D78" s="532" t="s">
        <v>773</v>
      </c>
      <c r="E78" s="525"/>
      <c r="F78" s="534" t="e">
        <f>SUM(F75:F76)</f>
        <v>#REF!</v>
      </c>
      <c r="G78" s="534">
        <f t="shared" ref="G78:L78" si="13">SUM(G75:G76)</f>
        <v>0</v>
      </c>
      <c r="H78" s="534">
        <f t="shared" si="13"/>
        <v>0</v>
      </c>
      <c r="I78" s="534">
        <f t="shared" si="13"/>
        <v>0</v>
      </c>
      <c r="J78" s="534">
        <f t="shared" si="13"/>
        <v>0</v>
      </c>
      <c r="K78" s="534">
        <f t="shared" si="13"/>
        <v>0</v>
      </c>
      <c r="L78" s="534">
        <f t="shared" si="13"/>
        <v>0</v>
      </c>
      <c r="M78" s="523"/>
      <c r="N78" s="530"/>
    </row>
    <row r="79" spans="2:14" x14ac:dyDescent="0.2">
      <c r="B79" s="528"/>
      <c r="C79" s="523"/>
      <c r="D79" s="523"/>
      <c r="E79" s="523"/>
      <c r="F79" s="524"/>
      <c r="G79" s="524"/>
      <c r="H79" s="524"/>
      <c r="I79" s="524"/>
      <c r="J79" s="524"/>
      <c r="K79" s="524"/>
      <c r="L79" s="524"/>
      <c r="M79" s="523"/>
      <c r="N79" s="530"/>
    </row>
    <row r="80" spans="2:14" x14ac:dyDescent="0.2">
      <c r="B80" s="528"/>
      <c r="C80" s="523"/>
      <c r="D80" s="522" t="str">
        <f>+'geg LO'!D26</f>
        <v>Naam SBO 6</v>
      </c>
      <c r="E80" s="526"/>
      <c r="F80" s="527"/>
      <c r="G80" s="527"/>
      <c r="H80" s="527"/>
      <c r="I80" s="527"/>
      <c r="J80" s="527"/>
      <c r="K80" s="527"/>
      <c r="L80" s="527"/>
      <c r="M80" s="523"/>
      <c r="N80" s="530"/>
    </row>
    <row r="81" spans="2:14" x14ac:dyDescent="0.2">
      <c r="B81" s="528"/>
      <c r="C81" s="523"/>
      <c r="D81" s="476" t="s">
        <v>457</v>
      </c>
      <c r="E81" s="526"/>
      <c r="F81" s="533" t="e">
        <f>ROUND('geg LO'!F26*IF('geg LO'!F78="ja",tab!#REF!,tab!#REF!+'geg LO'!F85*tab!#REF!),0)</f>
        <v>#REF!</v>
      </c>
      <c r="G81" s="533">
        <f>ROUND('geg LO'!G26*IF('geg LO'!G78="ja",tab!$C$49,tab!$C$41+'geg LO'!G85*tab!$C$42),0)</f>
        <v>0</v>
      </c>
      <c r="H81" s="533">
        <f>ROUND('geg LO'!H26*IF('geg LO'!H78="ja",tab!$C$49,tab!$C$41+'geg LO'!H85*tab!$C$42),0)</f>
        <v>0</v>
      </c>
      <c r="I81" s="533">
        <f>ROUND('geg LO'!I26*IF('geg LO'!I78="ja",tab!$C$49,tab!$C$41+'geg LO'!I85*tab!$C$42),0)</f>
        <v>0</v>
      </c>
      <c r="J81" s="533">
        <f>ROUND('geg LO'!J26*IF('geg LO'!J78="ja",tab!$C$49,tab!$C$41+'geg LO'!J85*tab!$C$42),0)</f>
        <v>0</v>
      </c>
      <c r="K81" s="533">
        <f>ROUND('geg LO'!K26*IF('geg LO'!K78="ja",tab!$C$49,tab!$C$41+'geg LO'!K85*tab!$C$42),0)</f>
        <v>0</v>
      </c>
      <c r="L81" s="533">
        <f>ROUND('geg LO'!L26*IF('geg LO'!L78="ja",tab!$C$49,tab!$C$41+'geg LO'!L85*tab!$C$42),0)</f>
        <v>0</v>
      </c>
      <c r="M81" s="523"/>
      <c r="N81" s="530"/>
    </row>
    <row r="82" spans="2:14" x14ac:dyDescent="0.2">
      <c r="B82" s="528"/>
      <c r="C82" s="523"/>
      <c r="D82" s="476" t="s">
        <v>774</v>
      </c>
      <c r="E82" s="526"/>
      <c r="F82" s="533" t="e">
        <f>ROUND('geg LO'!F26*tab!#REF!,0)*5/12+ROUND('geg LO'!F26*tab!$C$55,0)*7/12</f>
        <v>#REF!</v>
      </c>
      <c r="G82" s="533">
        <f>ROUND('geg LO'!G26*tab!$C$55,0)*5/12+ROUND('geg LO'!G26*tab!$D$55,0)*7/12</f>
        <v>0</v>
      </c>
      <c r="H82" s="533">
        <f>ROUND('geg LO'!H26*tab!$C$55,0)*5/12+ROUND('geg LO'!H26*tab!$D$55,0)*7/12</f>
        <v>0</v>
      </c>
      <c r="I82" s="533">
        <f>ROUND('geg LO'!I26*tab!$C$55,0)*5/12+ROUND('geg LO'!I26*tab!$D$55,0)*7/12</f>
        <v>0</v>
      </c>
      <c r="J82" s="533">
        <f>ROUND('geg LO'!J26*tab!$C$55,0)*5/12+ROUND('geg LO'!J26*tab!$D$55,0)*7/12</f>
        <v>0</v>
      </c>
      <c r="K82" s="533">
        <f>ROUND('geg LO'!K26*tab!$C$55,0)*5/12+ROUND('geg LO'!K26*tab!$D$55,0)*7/12</f>
        <v>0</v>
      </c>
      <c r="L82" s="533">
        <f>ROUND('geg LO'!L26*tab!$C$55,0)*5/12+ROUND('geg LO'!L26*tab!$D$55,0)*7/12</f>
        <v>0</v>
      </c>
      <c r="M82" s="523"/>
      <c r="N82" s="530"/>
    </row>
    <row r="83" spans="2:14" s="584" customFormat="1" x14ac:dyDescent="0.2">
      <c r="B83" s="591"/>
      <c r="C83" s="592"/>
      <c r="D83" s="586" t="s">
        <v>816</v>
      </c>
      <c r="E83" s="586"/>
      <c r="F83" s="590" t="e">
        <f>ROUND('geg LO'!F26*tab!#REF!,2)</f>
        <v>#REF!</v>
      </c>
      <c r="G83" s="590">
        <f>ROUND('geg LO'!G26*tab!C$55,2)</f>
        <v>0</v>
      </c>
      <c r="H83" s="590">
        <f>ROUND('geg LO'!H26*tab!$D$55,2)</f>
        <v>0</v>
      </c>
      <c r="I83" s="590">
        <f>ROUND('geg LO'!I26*tab!$D$55,2)</f>
        <v>0</v>
      </c>
      <c r="J83" s="590">
        <f>ROUND('geg LO'!J26*tab!$D$55,2)</f>
        <v>0</v>
      </c>
      <c r="K83" s="590">
        <f>ROUND('geg LO'!K26*tab!$D$55,2)</f>
        <v>0</v>
      </c>
      <c r="L83" s="590">
        <f>ROUND('geg LO'!L26*tab!$D$55,2)</f>
        <v>0</v>
      </c>
      <c r="M83" s="592"/>
      <c r="N83" s="593"/>
    </row>
    <row r="84" spans="2:14" x14ac:dyDescent="0.2">
      <c r="B84" s="528"/>
      <c r="C84" s="523"/>
      <c r="D84" s="540" t="s">
        <v>775</v>
      </c>
      <c r="E84" s="526"/>
      <c r="F84" s="534" t="e">
        <f>SUM(F81:F82)</f>
        <v>#REF!</v>
      </c>
      <c r="G84" s="534">
        <f t="shared" ref="G84:L84" si="14">SUM(G81:G82)</f>
        <v>0</v>
      </c>
      <c r="H84" s="534">
        <f t="shared" si="14"/>
        <v>0</v>
      </c>
      <c r="I84" s="534">
        <f t="shared" si="14"/>
        <v>0</v>
      </c>
      <c r="J84" s="534">
        <f t="shared" si="14"/>
        <v>0</v>
      </c>
      <c r="K84" s="534">
        <f t="shared" si="14"/>
        <v>0</v>
      </c>
      <c r="L84" s="534">
        <f t="shared" si="14"/>
        <v>0</v>
      </c>
      <c r="M84" s="523"/>
      <c r="N84" s="530"/>
    </row>
    <row r="85" spans="2:14" x14ac:dyDescent="0.2">
      <c r="B85" s="528"/>
      <c r="C85" s="523"/>
      <c r="D85" s="522"/>
      <c r="E85" s="526"/>
      <c r="F85" s="527"/>
      <c r="G85" s="527"/>
      <c r="H85" s="527"/>
      <c r="I85" s="527"/>
      <c r="J85" s="527"/>
      <c r="K85" s="527"/>
      <c r="L85" s="527"/>
      <c r="M85" s="523"/>
      <c r="N85" s="530"/>
    </row>
    <row r="86" spans="2:14" x14ac:dyDescent="0.2">
      <c r="B86" s="528"/>
      <c r="C86" s="523"/>
      <c r="D86" s="520" t="s">
        <v>772</v>
      </c>
      <c r="E86" s="526"/>
      <c r="F86" s="533" t="e">
        <f>ROUND('geg LO'!F47*IF('geg LO'!F$78="ja",tab!#REF!,tab!#REF!+'geg LO'!F85*tab!#REF!),0)</f>
        <v>#REF!</v>
      </c>
      <c r="G86" s="533">
        <f>ROUND('geg LO'!G47*IF('geg LO'!G$78="ja",tab!$C$50,tab!$C$43+'geg LO'!G85*tab!$C$53),0)</f>
        <v>0</v>
      </c>
      <c r="H86" s="533">
        <f>ROUND('geg LO'!H47*IF('geg LO'!H$78="ja",tab!$C$50,tab!$C$43+'geg LO'!H85*tab!$C$53),0)</f>
        <v>0</v>
      </c>
      <c r="I86" s="533">
        <f>ROUND('geg LO'!I47*IF('geg LO'!I$78="ja",tab!$C$50,tab!$C$43+'geg LO'!I85*tab!$C$53),0)</f>
        <v>0</v>
      </c>
      <c r="J86" s="533">
        <f>ROUND('geg LO'!J47*IF('geg LO'!J$78="ja",tab!$C$50,tab!$C$43+'geg LO'!J85*tab!$C$53),0)</f>
        <v>0</v>
      </c>
      <c r="K86" s="533">
        <f>ROUND('geg LO'!K47*IF('geg LO'!K$78="ja",tab!$C$50,tab!$C$43+'geg LO'!K85*tab!$C$53),0)</f>
        <v>0</v>
      </c>
      <c r="L86" s="533">
        <f>ROUND('geg LO'!L47*IF('geg LO'!L$78="ja",tab!$C$50,tab!$C$43+'geg LO'!L85*tab!$C$53),0)</f>
        <v>0</v>
      </c>
      <c r="M86" s="523"/>
      <c r="N86" s="530"/>
    </row>
    <row r="87" spans="2:14" x14ac:dyDescent="0.2">
      <c r="B87" s="528"/>
      <c r="C87" s="523"/>
      <c r="D87" s="519" t="s">
        <v>779</v>
      </c>
      <c r="E87" s="523"/>
      <c r="F87" s="533" t="e">
        <f>ROUND('geg LO'!F47*tab!#REF!*5/12+'geg LO'!G47*tab!$C$56*7/12,0)</f>
        <v>#REF!</v>
      </c>
      <c r="G87" s="533">
        <f>ROUND('geg LO'!G47*tab!$C$56*5/12+'geg LO'!H47*tab!$D$56*7/12,0)</f>
        <v>0</v>
      </c>
      <c r="H87" s="533">
        <f>ROUND(('geg LO'!H47*5/12+'geg LO'!I47*7/12)*tab!$D$56,0)</f>
        <v>0</v>
      </c>
      <c r="I87" s="533">
        <f>ROUND(('geg LO'!I47*5/12+'geg LO'!J47*7/12)*tab!$D$56,0)</f>
        <v>0</v>
      </c>
      <c r="J87" s="533">
        <f>ROUND(('geg LO'!J47*5/12+'geg LO'!K47*7/12)*tab!$D$56,0)</f>
        <v>0</v>
      </c>
      <c r="K87" s="533">
        <f>ROUND(('geg LO'!K47*5/12+'geg LO'!L47*7/12)*tab!$D$56,0)</f>
        <v>0</v>
      </c>
      <c r="L87" s="533">
        <f>ROUND(('geg LO'!L47)*tab!$D$56,0)</f>
        <v>0</v>
      </c>
      <c r="M87" s="523"/>
      <c r="N87" s="530"/>
    </row>
    <row r="88" spans="2:14" s="584" customFormat="1" x14ac:dyDescent="0.2">
      <c r="B88" s="591"/>
      <c r="C88" s="592"/>
      <c r="D88" s="586" t="s">
        <v>817</v>
      </c>
      <c r="E88" s="592"/>
      <c r="F88" s="590" t="e">
        <f>ROUND('geg LO'!F47*tab!#REF!,0)</f>
        <v>#REF!</v>
      </c>
      <c r="G88" s="590">
        <f>ROUND('geg LO'!G47*tab!C$56,0)</f>
        <v>0</v>
      </c>
      <c r="H88" s="590">
        <f>ROUND('geg LO'!H47*tab!$D$56,0)</f>
        <v>0</v>
      </c>
      <c r="I88" s="590">
        <f>ROUND('geg LO'!I47*tab!$D$56,0)</f>
        <v>0</v>
      </c>
      <c r="J88" s="590">
        <f>ROUND('geg LO'!J47*tab!$D$56,0)</f>
        <v>0</v>
      </c>
      <c r="K88" s="590">
        <f>ROUND('geg LO'!K47*tab!$D$56,0)</f>
        <v>0</v>
      </c>
      <c r="L88" s="590">
        <f>ROUND('geg LO'!L47*tab!$D$56,0)</f>
        <v>0</v>
      </c>
      <c r="M88" s="592"/>
      <c r="N88" s="593"/>
    </row>
    <row r="89" spans="2:14" x14ac:dyDescent="0.2">
      <c r="B89" s="528"/>
      <c r="C89" s="523"/>
      <c r="D89" s="532" t="s">
        <v>773</v>
      </c>
      <c r="E89" s="525"/>
      <c r="F89" s="534" t="e">
        <f>SUM(F86:F87)</f>
        <v>#REF!</v>
      </c>
      <c r="G89" s="534">
        <f t="shared" ref="G89:L89" si="15">SUM(G86:G87)</f>
        <v>0</v>
      </c>
      <c r="H89" s="534">
        <f t="shared" si="15"/>
        <v>0</v>
      </c>
      <c r="I89" s="534">
        <f t="shared" si="15"/>
        <v>0</v>
      </c>
      <c r="J89" s="534">
        <f t="shared" si="15"/>
        <v>0</v>
      </c>
      <c r="K89" s="534">
        <f t="shared" si="15"/>
        <v>0</v>
      </c>
      <c r="L89" s="534">
        <f t="shared" si="15"/>
        <v>0</v>
      </c>
      <c r="M89" s="523"/>
      <c r="N89" s="530"/>
    </row>
    <row r="90" spans="2:14" x14ac:dyDescent="0.2">
      <c r="B90" s="528"/>
      <c r="C90" s="523"/>
      <c r="D90" s="523"/>
      <c r="E90" s="523"/>
      <c r="F90" s="524"/>
      <c r="G90" s="524"/>
      <c r="H90" s="524"/>
      <c r="I90" s="524"/>
      <c r="J90" s="524"/>
      <c r="K90" s="524"/>
      <c r="L90" s="524"/>
      <c r="M90" s="523"/>
      <c r="N90" s="530"/>
    </row>
    <row r="91" spans="2:14" x14ac:dyDescent="0.2">
      <c r="B91" s="528"/>
      <c r="C91" s="523"/>
      <c r="D91" s="522" t="str">
        <f>+'geg LO'!D27</f>
        <v>Naam SBO 7</v>
      </c>
      <c r="E91" s="526"/>
      <c r="F91" s="527"/>
      <c r="G91" s="527"/>
      <c r="H91" s="527"/>
      <c r="I91" s="527"/>
      <c r="J91" s="527"/>
      <c r="K91" s="527"/>
      <c r="L91" s="527"/>
      <c r="M91" s="523"/>
      <c r="N91" s="530"/>
    </row>
    <row r="92" spans="2:14" x14ac:dyDescent="0.2">
      <c r="B92" s="528"/>
      <c r="C92" s="523"/>
      <c r="D92" s="476" t="s">
        <v>457</v>
      </c>
      <c r="E92" s="526"/>
      <c r="F92" s="533" t="e">
        <f>ROUND('geg LO'!F27*IF('geg LO'!F78="ja",tab!#REF!,tab!#REF!+'geg LO'!F86*tab!#REF!),0)</f>
        <v>#REF!</v>
      </c>
      <c r="G92" s="533">
        <f>ROUND('geg LO'!G27*IF('geg LO'!G78="ja",tab!$C$49,tab!$C$41+'geg LO'!G86*tab!$C$42),0)</f>
        <v>0</v>
      </c>
      <c r="H92" s="533">
        <f>ROUND('geg LO'!H27*IF('geg LO'!H78="ja",tab!$C$49,tab!$C$41+'geg LO'!H86*tab!$C$42),0)</f>
        <v>0</v>
      </c>
      <c r="I92" s="533">
        <f>ROUND('geg LO'!I27*IF('geg LO'!I78="ja",tab!$C$49,tab!$C$41+'geg LO'!I86*tab!$C$42),0)</f>
        <v>0</v>
      </c>
      <c r="J92" s="533">
        <f>ROUND('geg LO'!J27*IF('geg LO'!J78="ja",tab!$C$49,tab!$C$41+'geg LO'!J86*tab!$C$42),0)</f>
        <v>0</v>
      </c>
      <c r="K92" s="533">
        <f>ROUND('geg LO'!K27*IF('geg LO'!K78="ja",tab!$C$49,tab!$C$41+'geg LO'!K86*tab!$C$42),0)</f>
        <v>0</v>
      </c>
      <c r="L92" s="533">
        <f>ROUND('geg LO'!L27*IF('geg LO'!L78="ja",tab!$C$49,tab!$C$41+'geg LO'!L86*tab!$C$42),0)</f>
        <v>0</v>
      </c>
      <c r="M92" s="523"/>
      <c r="N92" s="530"/>
    </row>
    <row r="93" spans="2:14" x14ac:dyDescent="0.2">
      <c r="B93" s="528"/>
      <c r="C93" s="523"/>
      <c r="D93" s="476" t="s">
        <v>774</v>
      </c>
      <c r="E93" s="526"/>
      <c r="F93" s="533" t="e">
        <f>ROUND('geg LO'!F27*tab!#REF!,0)*5/12+ROUND('geg LO'!F27*tab!$C$55,0)*7/12</f>
        <v>#REF!</v>
      </c>
      <c r="G93" s="533">
        <f>ROUND('geg LO'!G27*tab!$C$55,0)*5/12+ROUND('geg LO'!G27*tab!$D$55,0)*7/12</f>
        <v>0</v>
      </c>
      <c r="H93" s="533">
        <f>ROUND('geg LO'!H27*tab!$C$55,0)*5/12+ROUND('geg LO'!H27*tab!$D$55,0)*7/12</f>
        <v>0</v>
      </c>
      <c r="I93" s="533">
        <f>ROUND('geg LO'!I27*tab!$C$55,0)*5/12+ROUND('geg LO'!I27*tab!$D$55,0)*7/12</f>
        <v>0</v>
      </c>
      <c r="J93" s="533">
        <f>ROUND('geg LO'!J27*tab!$C$55,0)*5/12+ROUND('geg LO'!J27*tab!$D$55,0)*7/12</f>
        <v>0</v>
      </c>
      <c r="K93" s="533">
        <f>ROUND('geg LO'!K27*tab!$C$55,0)*5/12+ROUND('geg LO'!K27*tab!$D$55,0)*7/12</f>
        <v>0</v>
      </c>
      <c r="L93" s="533">
        <f>ROUND('geg LO'!L27*tab!$C$55,0)*5/12+ROUND('geg LO'!L27*tab!$D$55,0)*7/12</f>
        <v>0</v>
      </c>
      <c r="M93" s="523"/>
      <c r="N93" s="530"/>
    </row>
    <row r="94" spans="2:14" s="584" customFormat="1" x14ac:dyDescent="0.2">
      <c r="B94" s="591"/>
      <c r="C94" s="592"/>
      <c r="D94" s="586" t="s">
        <v>816</v>
      </c>
      <c r="E94" s="586"/>
      <c r="F94" s="590" t="e">
        <f>ROUND('geg LO'!F27*tab!#REF!,2)</f>
        <v>#REF!</v>
      </c>
      <c r="G94" s="590">
        <f>ROUND('geg LO'!G27*tab!C$55,2)</f>
        <v>0</v>
      </c>
      <c r="H94" s="590">
        <f>ROUND('geg LO'!H27*tab!$D$55,2)</f>
        <v>0</v>
      </c>
      <c r="I94" s="590">
        <f>ROUND('geg LO'!I27*tab!$D$55,2)</f>
        <v>0</v>
      </c>
      <c r="J94" s="590">
        <f>ROUND('geg LO'!J27*tab!$D$55,2)</f>
        <v>0</v>
      </c>
      <c r="K94" s="590">
        <f>ROUND('geg LO'!K27*tab!$D$55,2)</f>
        <v>0</v>
      </c>
      <c r="L94" s="590">
        <f>ROUND('geg LO'!L27*tab!$D$55,2)</f>
        <v>0</v>
      </c>
      <c r="M94" s="592"/>
      <c r="N94" s="593"/>
    </row>
    <row r="95" spans="2:14" x14ac:dyDescent="0.2">
      <c r="B95" s="528"/>
      <c r="C95" s="523"/>
      <c r="D95" s="540" t="s">
        <v>775</v>
      </c>
      <c r="E95" s="526"/>
      <c r="F95" s="534" t="e">
        <f>SUM(F92:F93)</f>
        <v>#REF!</v>
      </c>
      <c r="G95" s="534">
        <f t="shared" ref="G95:L95" si="16">SUM(G92:G93)</f>
        <v>0</v>
      </c>
      <c r="H95" s="534">
        <f t="shared" si="16"/>
        <v>0</v>
      </c>
      <c r="I95" s="534">
        <f t="shared" si="16"/>
        <v>0</v>
      </c>
      <c r="J95" s="534">
        <f t="shared" si="16"/>
        <v>0</v>
      </c>
      <c r="K95" s="534">
        <f t="shared" si="16"/>
        <v>0</v>
      </c>
      <c r="L95" s="534">
        <f t="shared" si="16"/>
        <v>0</v>
      </c>
      <c r="M95" s="523"/>
      <c r="N95" s="530"/>
    </row>
    <row r="96" spans="2:14" x14ac:dyDescent="0.2">
      <c r="B96" s="528"/>
      <c r="C96" s="523"/>
      <c r="D96" s="522"/>
      <c r="E96" s="526"/>
      <c r="F96" s="527"/>
      <c r="G96" s="527"/>
      <c r="H96" s="527"/>
      <c r="I96" s="527"/>
      <c r="J96" s="527"/>
      <c r="K96" s="527"/>
      <c r="L96" s="527"/>
      <c r="M96" s="523"/>
      <c r="N96" s="530"/>
    </row>
    <row r="97" spans="2:14" x14ac:dyDescent="0.2">
      <c r="B97" s="528"/>
      <c r="C97" s="523"/>
      <c r="D97" s="520" t="s">
        <v>772</v>
      </c>
      <c r="E97" s="526"/>
      <c r="F97" s="533" t="e">
        <f>ROUND('geg LO'!F48*IF('geg LO'!F$78="ja",tab!#REF!,tab!#REF!+'geg LO'!F86*tab!#REF!),0)</f>
        <v>#REF!</v>
      </c>
      <c r="G97" s="533">
        <f>ROUND('geg LO'!G48*IF('geg LO'!G$78="ja",tab!$C$50,tab!$C$43+'geg LO'!G86*tab!$C$53),0)</f>
        <v>0</v>
      </c>
      <c r="H97" s="533">
        <f>ROUND('geg LO'!H48*IF('geg LO'!H$78="ja",tab!$C$50,tab!$C$43+'geg LO'!H86*tab!$C$53),0)</f>
        <v>0</v>
      </c>
      <c r="I97" s="533">
        <f>ROUND('geg LO'!I48*IF('geg LO'!I$78="ja",tab!$C$50,tab!$C$43+'geg LO'!I86*tab!$C$53),0)</f>
        <v>0</v>
      </c>
      <c r="J97" s="533">
        <f>ROUND('geg LO'!J48*IF('geg LO'!J$78="ja",tab!$C$50,tab!$C$43+'geg LO'!J86*tab!$C$53),0)</f>
        <v>0</v>
      </c>
      <c r="K97" s="533">
        <f>ROUND('geg LO'!K48*IF('geg LO'!K$78="ja",tab!$C$50,tab!$C$43+'geg LO'!K86*tab!$C$53),0)</f>
        <v>0</v>
      </c>
      <c r="L97" s="533">
        <f>ROUND('geg LO'!L48*IF('geg LO'!L$78="ja",tab!$C$50,tab!$C$43+'geg LO'!L86*tab!$C$53),0)</f>
        <v>0</v>
      </c>
      <c r="M97" s="523"/>
      <c r="N97" s="530"/>
    </row>
    <row r="98" spans="2:14" x14ac:dyDescent="0.2">
      <c r="B98" s="528"/>
      <c r="C98" s="523"/>
      <c r="D98" s="519" t="s">
        <v>779</v>
      </c>
      <c r="E98" s="523"/>
      <c r="F98" s="533" t="e">
        <f>ROUND('geg LO'!F48*tab!#REF!*5/12+'geg LO'!G48*tab!$C$56*7/12,0)</f>
        <v>#REF!</v>
      </c>
      <c r="G98" s="533">
        <f>ROUND('geg LO'!G48*tab!$C$56*5/12+'geg LO'!H48*tab!$D$56*7/12,0)</f>
        <v>0</v>
      </c>
      <c r="H98" s="533">
        <f>ROUND(('geg LO'!H48*5/12+'geg LO'!I48*7/12)*tab!$D$56,0)</f>
        <v>0</v>
      </c>
      <c r="I98" s="533">
        <f>ROUND(('geg LO'!I48*5/12+'geg LO'!J48*7/12)*tab!$D$56,0)</f>
        <v>0</v>
      </c>
      <c r="J98" s="533">
        <f>ROUND(('geg LO'!J48*5/12+'geg LO'!K48*7/12)*tab!$D$56,0)</f>
        <v>0</v>
      </c>
      <c r="K98" s="533">
        <f>ROUND(('geg LO'!K48*5/12+'geg LO'!L48*7/12)*tab!$D$56,0)</f>
        <v>0</v>
      </c>
      <c r="L98" s="533">
        <f>ROUND(('geg LO'!L48)*tab!$D$56,0)</f>
        <v>0</v>
      </c>
      <c r="M98" s="523"/>
      <c r="N98" s="530"/>
    </row>
    <row r="99" spans="2:14" s="584" customFormat="1" x14ac:dyDescent="0.2">
      <c r="B99" s="591"/>
      <c r="C99" s="592"/>
      <c r="D99" s="586" t="s">
        <v>817</v>
      </c>
      <c r="E99" s="592"/>
      <c r="F99" s="590" t="e">
        <f>ROUND('geg LO'!F48*tab!#REF!,0)</f>
        <v>#REF!</v>
      </c>
      <c r="G99" s="590">
        <f>ROUND('geg LO'!G48*tab!C$56,0)</f>
        <v>0</v>
      </c>
      <c r="H99" s="590">
        <f>ROUND('geg LO'!H48*tab!$D$56,0)</f>
        <v>0</v>
      </c>
      <c r="I99" s="590">
        <f>ROUND('geg LO'!I48*tab!$D$56,0)</f>
        <v>0</v>
      </c>
      <c r="J99" s="590">
        <f>ROUND('geg LO'!J48*tab!$D$56,0)</f>
        <v>0</v>
      </c>
      <c r="K99" s="590">
        <f>ROUND('geg LO'!K48*tab!$D$56,0)</f>
        <v>0</v>
      </c>
      <c r="L99" s="590">
        <f>ROUND('geg LO'!L48*tab!$D$56,0)</f>
        <v>0</v>
      </c>
      <c r="M99" s="592"/>
      <c r="N99" s="593"/>
    </row>
    <row r="100" spans="2:14" x14ac:dyDescent="0.2">
      <c r="B100" s="528"/>
      <c r="C100" s="523"/>
      <c r="D100" s="532" t="s">
        <v>773</v>
      </c>
      <c r="E100" s="525"/>
      <c r="F100" s="534" t="e">
        <f>SUM(F97:F98)</f>
        <v>#REF!</v>
      </c>
      <c r="G100" s="534">
        <f t="shared" ref="G100:L100" si="17">SUM(G97:G98)</f>
        <v>0</v>
      </c>
      <c r="H100" s="534">
        <f t="shared" si="17"/>
        <v>0</v>
      </c>
      <c r="I100" s="534">
        <f t="shared" si="17"/>
        <v>0</v>
      </c>
      <c r="J100" s="534">
        <f t="shared" si="17"/>
        <v>0</v>
      </c>
      <c r="K100" s="534">
        <f t="shared" si="17"/>
        <v>0</v>
      </c>
      <c r="L100" s="534">
        <f t="shared" si="17"/>
        <v>0</v>
      </c>
      <c r="M100" s="523"/>
      <c r="N100" s="530"/>
    </row>
    <row r="101" spans="2:14" x14ac:dyDescent="0.2">
      <c r="B101" s="528"/>
      <c r="C101" s="523"/>
      <c r="D101" s="523"/>
      <c r="E101" s="523"/>
      <c r="F101" s="524"/>
      <c r="G101" s="524"/>
      <c r="H101" s="524"/>
      <c r="I101" s="524"/>
      <c r="J101" s="524"/>
      <c r="K101" s="524"/>
      <c r="L101" s="524"/>
      <c r="M101" s="523"/>
      <c r="N101" s="530"/>
    </row>
    <row r="102" spans="2:14" x14ac:dyDescent="0.2">
      <c r="B102" s="528"/>
      <c r="C102" s="523"/>
      <c r="D102" s="522" t="str">
        <f>+'geg LO'!D28</f>
        <v>Naam SBO 8</v>
      </c>
      <c r="E102" s="526"/>
      <c r="F102" s="527"/>
      <c r="G102" s="527"/>
      <c r="H102" s="527"/>
      <c r="I102" s="527"/>
      <c r="J102" s="527"/>
      <c r="K102" s="527"/>
      <c r="L102" s="527"/>
      <c r="M102" s="523"/>
      <c r="N102" s="530"/>
    </row>
    <row r="103" spans="2:14" x14ac:dyDescent="0.2">
      <c r="B103" s="528"/>
      <c r="C103" s="523"/>
      <c r="D103" s="476" t="s">
        <v>457</v>
      </c>
      <c r="E103" s="526"/>
      <c r="F103" s="533" t="e">
        <f>ROUND('geg LO'!F28*IF('geg LO'!F78="ja",tab!#REF!,tab!#REF!+'geg LO'!F87*tab!#REF!),0)</f>
        <v>#REF!</v>
      </c>
      <c r="G103" s="533">
        <f>ROUND('geg LO'!G28*IF('geg LO'!G78="ja",tab!$C$49,tab!$C$41+'geg LO'!G87*tab!$C$42),0)</f>
        <v>0</v>
      </c>
      <c r="H103" s="533">
        <f>ROUND('geg LO'!H28*IF('geg LO'!H78="ja",tab!$C$49,tab!$C$41+'geg LO'!H87*tab!$C$42),0)</f>
        <v>0</v>
      </c>
      <c r="I103" s="533">
        <f>ROUND('geg LO'!I28*IF('geg LO'!I78="ja",tab!$C$49,tab!$C$41+'geg LO'!I87*tab!$C$42),0)</f>
        <v>0</v>
      </c>
      <c r="J103" s="533">
        <f>ROUND('geg LO'!J28*IF('geg LO'!J78="ja",tab!$C$49,tab!$C$41+'geg LO'!J87*tab!$C$42),0)</f>
        <v>0</v>
      </c>
      <c r="K103" s="533">
        <f>ROUND('geg LO'!K28*IF('geg LO'!K78="ja",tab!$C$49,tab!$C$41+'geg LO'!K87*tab!$C$42),0)</f>
        <v>0</v>
      </c>
      <c r="L103" s="533">
        <f>ROUND('geg LO'!L28*IF('geg LO'!L78="ja",tab!$C$49,tab!$C$41+'geg LO'!L87*tab!$C$42),0)</f>
        <v>0</v>
      </c>
      <c r="M103" s="523"/>
      <c r="N103" s="530"/>
    </row>
    <row r="104" spans="2:14" x14ac:dyDescent="0.2">
      <c r="B104" s="528"/>
      <c r="C104" s="523"/>
      <c r="D104" s="476" t="s">
        <v>774</v>
      </c>
      <c r="E104" s="526"/>
      <c r="F104" s="533" t="e">
        <f>ROUND('geg LO'!F28*tab!#REF!,0)*5/12+ROUND('geg LO'!F28*tab!$C$55,0)*7/12</f>
        <v>#REF!</v>
      </c>
      <c r="G104" s="533">
        <f>ROUND('geg LO'!G28*tab!$C$55,0)*5/12+ROUND('geg LO'!G28*tab!$D$55,0)*7/12</f>
        <v>0</v>
      </c>
      <c r="H104" s="533">
        <f>ROUND('geg LO'!H28*tab!$C$55,0)*5/12+ROUND('geg LO'!H28*tab!$D$55,0)*7/12</f>
        <v>0</v>
      </c>
      <c r="I104" s="533">
        <f>ROUND('geg LO'!I28*tab!$C$55,0)*5/12+ROUND('geg LO'!I28*tab!$D$55,0)*7/12</f>
        <v>0</v>
      </c>
      <c r="J104" s="533">
        <f>ROUND('geg LO'!J28*tab!$C$55,0)*5/12+ROUND('geg LO'!J28*tab!$D$55,0)*7/12</f>
        <v>0</v>
      </c>
      <c r="K104" s="533">
        <f>ROUND('geg LO'!K28*tab!$C$55,0)*5/12+ROUND('geg LO'!K28*tab!$D$55,0)*7/12</f>
        <v>0</v>
      </c>
      <c r="L104" s="533">
        <f>ROUND('geg LO'!L28*tab!$C$55,0)*5/12+ROUND('geg LO'!L28*tab!$D$55,0)*7/12</f>
        <v>0</v>
      </c>
      <c r="M104" s="523"/>
      <c r="N104" s="530"/>
    </row>
    <row r="105" spans="2:14" s="584" customFormat="1" x14ac:dyDescent="0.2">
      <c r="B105" s="591"/>
      <c r="C105" s="592"/>
      <c r="D105" s="586" t="s">
        <v>816</v>
      </c>
      <c r="E105" s="586"/>
      <c r="F105" s="590" t="e">
        <f>ROUND('geg LO'!F28*tab!#REF!,2)</f>
        <v>#REF!</v>
      </c>
      <c r="G105" s="590">
        <f>ROUND('geg LO'!G28*tab!C$55,2)</f>
        <v>0</v>
      </c>
      <c r="H105" s="590">
        <f>ROUND('geg LO'!H28*tab!$D$55,2)</f>
        <v>0</v>
      </c>
      <c r="I105" s="590">
        <f>ROUND('geg LO'!I28*tab!$D$55,2)</f>
        <v>0</v>
      </c>
      <c r="J105" s="590">
        <f>ROUND('geg LO'!J28*tab!$D$55,2)</f>
        <v>0</v>
      </c>
      <c r="K105" s="590">
        <f>ROUND('geg LO'!K28*tab!$D$55,2)</f>
        <v>0</v>
      </c>
      <c r="L105" s="590">
        <f>ROUND('geg LO'!L28*tab!$D$55,2)</f>
        <v>0</v>
      </c>
      <c r="M105" s="592"/>
      <c r="N105" s="593"/>
    </row>
    <row r="106" spans="2:14" x14ac:dyDescent="0.2">
      <c r="B106" s="528"/>
      <c r="C106" s="523"/>
      <c r="D106" s="540" t="s">
        <v>775</v>
      </c>
      <c r="E106" s="526"/>
      <c r="F106" s="534" t="e">
        <f>SUM(F103:F104)</f>
        <v>#REF!</v>
      </c>
      <c r="G106" s="534">
        <f t="shared" ref="G106:L106" si="18">SUM(G103:G104)</f>
        <v>0</v>
      </c>
      <c r="H106" s="534">
        <f t="shared" si="18"/>
        <v>0</v>
      </c>
      <c r="I106" s="534">
        <f t="shared" si="18"/>
        <v>0</v>
      </c>
      <c r="J106" s="534">
        <f t="shared" si="18"/>
        <v>0</v>
      </c>
      <c r="K106" s="534">
        <f t="shared" si="18"/>
        <v>0</v>
      </c>
      <c r="L106" s="534">
        <f t="shared" si="18"/>
        <v>0</v>
      </c>
      <c r="M106" s="523"/>
      <c r="N106" s="530"/>
    </row>
    <row r="107" spans="2:14" x14ac:dyDescent="0.2">
      <c r="B107" s="528"/>
      <c r="C107" s="523"/>
      <c r="D107" s="522"/>
      <c r="E107" s="526"/>
      <c r="F107" s="527"/>
      <c r="G107" s="527"/>
      <c r="H107" s="527"/>
      <c r="I107" s="527"/>
      <c r="J107" s="527"/>
      <c r="K107" s="527"/>
      <c r="L107" s="527"/>
      <c r="M107" s="523"/>
      <c r="N107" s="530"/>
    </row>
    <row r="108" spans="2:14" x14ac:dyDescent="0.2">
      <c r="B108" s="528"/>
      <c r="C108" s="523"/>
      <c r="D108" s="520" t="s">
        <v>772</v>
      </c>
      <c r="E108" s="526"/>
      <c r="F108" s="533" t="e">
        <f>ROUND('geg LO'!F49*IF('geg LO'!F$78="ja",tab!#REF!,tab!#REF!+'geg LO'!F87*tab!#REF!),0)</f>
        <v>#REF!</v>
      </c>
      <c r="G108" s="533">
        <f>ROUND('geg LO'!G49*IF('geg LO'!G$78="ja",tab!$C$50,tab!$C$43+'geg LO'!G87*tab!$C$53),0)</f>
        <v>0</v>
      </c>
      <c r="H108" s="533">
        <f>ROUND('geg LO'!H49*IF('geg LO'!H$78="ja",tab!$C$50,tab!$C$43+'geg LO'!H87*tab!$C$53),0)</f>
        <v>0</v>
      </c>
      <c r="I108" s="533">
        <f>ROUND('geg LO'!I49*IF('geg LO'!I$78="ja",tab!$C$50,tab!$C$43+'geg LO'!I87*tab!$C$53),0)</f>
        <v>0</v>
      </c>
      <c r="J108" s="533">
        <f>ROUND('geg LO'!J49*IF('geg LO'!J$78="ja",tab!$C$50,tab!$C$43+'geg LO'!J87*tab!$C$53),0)</f>
        <v>0</v>
      </c>
      <c r="K108" s="533">
        <f>ROUND('geg LO'!K49*IF('geg LO'!K$78="ja",tab!$C$50,tab!$C$43+'geg LO'!K87*tab!$C$53),0)</f>
        <v>0</v>
      </c>
      <c r="L108" s="533">
        <f>ROUND('geg LO'!L49*IF('geg LO'!L$78="ja",tab!$C$50,tab!$C$43+'geg LO'!L87*tab!$C$53),0)</f>
        <v>0</v>
      </c>
      <c r="M108" s="523"/>
      <c r="N108" s="530"/>
    </row>
    <row r="109" spans="2:14" x14ac:dyDescent="0.2">
      <c r="B109" s="528"/>
      <c r="C109" s="523"/>
      <c r="D109" s="519" t="s">
        <v>779</v>
      </c>
      <c r="E109" s="523"/>
      <c r="F109" s="533" t="e">
        <f>ROUND('geg LO'!F49*tab!#REF!*5/12+'geg LO'!G49*tab!$C$56*7/12,0)</f>
        <v>#REF!</v>
      </c>
      <c r="G109" s="533">
        <f>ROUND('geg LO'!G49*tab!$C$56*5/12+'geg LO'!H49*tab!$D$56*7/12,0)</f>
        <v>0</v>
      </c>
      <c r="H109" s="533">
        <f>ROUND(('geg LO'!H49*5/12+'geg LO'!I49*7/12)*tab!$D$56,0)</f>
        <v>0</v>
      </c>
      <c r="I109" s="533">
        <f>ROUND(('geg LO'!I49*5/12+'geg LO'!J49*7/12)*tab!$D$56,0)</f>
        <v>0</v>
      </c>
      <c r="J109" s="533">
        <f>ROUND(('geg LO'!J49*5/12+'geg LO'!K49*7/12)*tab!$D$56,0)</f>
        <v>0</v>
      </c>
      <c r="K109" s="533">
        <f>ROUND(('geg LO'!K49*5/12+'geg LO'!L49*7/12)*tab!$D$56,0)</f>
        <v>0</v>
      </c>
      <c r="L109" s="533">
        <f>ROUND(('geg LO'!L49)*tab!$D$56,0)</f>
        <v>0</v>
      </c>
      <c r="M109" s="523"/>
      <c r="N109" s="530"/>
    </row>
    <row r="110" spans="2:14" s="584" customFormat="1" x14ac:dyDescent="0.2">
      <c r="B110" s="591"/>
      <c r="C110" s="592"/>
      <c r="D110" s="586" t="s">
        <v>817</v>
      </c>
      <c r="E110" s="592"/>
      <c r="F110" s="590" t="e">
        <f>ROUND('geg LO'!F49*tab!#REF!,0)</f>
        <v>#REF!</v>
      </c>
      <c r="G110" s="590">
        <f>ROUND('geg LO'!G49*tab!C$56,0)</f>
        <v>0</v>
      </c>
      <c r="H110" s="590">
        <f>ROUND('geg LO'!H49*tab!$D$56,0)</f>
        <v>0</v>
      </c>
      <c r="I110" s="590">
        <f>ROUND('geg LO'!I49*tab!$D$56,0)</f>
        <v>0</v>
      </c>
      <c r="J110" s="590">
        <f>ROUND('geg LO'!J49*tab!$D$56,0)</f>
        <v>0</v>
      </c>
      <c r="K110" s="590">
        <f>ROUND('geg LO'!K49*tab!$D$56,0)</f>
        <v>0</v>
      </c>
      <c r="L110" s="590">
        <f>ROUND('geg LO'!L49*tab!$D$56,0)</f>
        <v>0</v>
      </c>
      <c r="M110" s="592"/>
      <c r="N110" s="593"/>
    </row>
    <row r="111" spans="2:14" x14ac:dyDescent="0.2">
      <c r="B111" s="528"/>
      <c r="C111" s="523"/>
      <c r="D111" s="532" t="s">
        <v>773</v>
      </c>
      <c r="E111" s="525"/>
      <c r="F111" s="534" t="e">
        <f>SUM(F108:F109)</f>
        <v>#REF!</v>
      </c>
      <c r="G111" s="534">
        <f t="shared" ref="G111:L111" si="19">SUM(G108:G109)</f>
        <v>0</v>
      </c>
      <c r="H111" s="534">
        <f t="shared" si="19"/>
        <v>0</v>
      </c>
      <c r="I111" s="534">
        <f t="shared" si="19"/>
        <v>0</v>
      </c>
      <c r="J111" s="534">
        <f t="shared" si="19"/>
        <v>0</v>
      </c>
      <c r="K111" s="534">
        <f t="shared" si="19"/>
        <v>0</v>
      </c>
      <c r="L111" s="534">
        <f t="shared" si="19"/>
        <v>0</v>
      </c>
      <c r="M111" s="523"/>
      <c r="N111" s="530"/>
    </row>
    <row r="112" spans="2:14" x14ac:dyDescent="0.2">
      <c r="B112" s="528"/>
      <c r="C112" s="523"/>
      <c r="D112" s="523"/>
      <c r="E112" s="523"/>
      <c r="F112" s="524"/>
      <c r="G112" s="524"/>
      <c r="H112" s="524"/>
      <c r="I112" s="524"/>
      <c r="J112" s="524"/>
      <c r="K112" s="524"/>
      <c r="L112" s="524"/>
      <c r="M112" s="523"/>
      <c r="N112" s="530"/>
    </row>
    <row r="113" spans="2:14" x14ac:dyDescent="0.2">
      <c r="B113" s="528"/>
      <c r="C113" s="523"/>
      <c r="D113" s="522" t="str">
        <f>+'geg LO'!D29</f>
        <v>Naam SBO 9</v>
      </c>
      <c r="E113" s="526"/>
      <c r="F113" s="527"/>
      <c r="G113" s="527"/>
      <c r="H113" s="527"/>
      <c r="I113" s="527"/>
      <c r="J113" s="527"/>
      <c r="K113" s="527"/>
      <c r="L113" s="527"/>
      <c r="M113" s="523"/>
      <c r="N113" s="530"/>
    </row>
    <row r="114" spans="2:14" x14ac:dyDescent="0.2">
      <c r="B114" s="528"/>
      <c r="C114" s="523"/>
      <c r="D114" s="476" t="s">
        <v>457</v>
      </c>
      <c r="E114" s="526"/>
      <c r="F114" s="533" t="e">
        <f>ROUND('geg LO'!F29*IF('geg LO'!F78="ja",tab!#REF!,tab!#REF!+'geg LO'!F88*tab!#REF!),0)</f>
        <v>#REF!</v>
      </c>
      <c r="G114" s="533">
        <f>ROUND('geg LO'!G29*IF('geg LO'!G78="ja",tab!$C$49,tab!$C$41+'geg LO'!G88*tab!$C$42),0)</f>
        <v>0</v>
      </c>
      <c r="H114" s="533">
        <f>ROUND('geg LO'!H29*IF('geg LO'!H78="ja",tab!$C$49,tab!$C$41+'geg LO'!H88*tab!$C$42),0)</f>
        <v>0</v>
      </c>
      <c r="I114" s="533">
        <f>ROUND('geg LO'!I29*IF('geg LO'!I78="ja",tab!$C$49,tab!$C$41+'geg LO'!I88*tab!$C$42),0)</f>
        <v>0</v>
      </c>
      <c r="J114" s="533">
        <f>ROUND('geg LO'!J29*IF('geg LO'!J78="ja",tab!$C$49,tab!$C$41+'geg LO'!J88*tab!$C$42),0)</f>
        <v>0</v>
      </c>
      <c r="K114" s="533">
        <f>ROUND('geg LO'!K29*IF('geg LO'!K78="ja",tab!$C$49,tab!$C$41+'geg LO'!K88*tab!$C$42),0)</f>
        <v>0</v>
      </c>
      <c r="L114" s="533">
        <f>ROUND('geg LO'!L29*IF('geg LO'!L78="ja",tab!$C$49,tab!$C$41+'geg LO'!L88*tab!$C$42),0)</f>
        <v>0</v>
      </c>
      <c r="M114" s="523"/>
      <c r="N114" s="530"/>
    </row>
    <row r="115" spans="2:14" x14ac:dyDescent="0.2">
      <c r="B115" s="528"/>
      <c r="C115" s="523"/>
      <c r="D115" s="476" t="s">
        <v>774</v>
      </c>
      <c r="E115" s="526"/>
      <c r="F115" s="533" t="e">
        <f>ROUND('geg LO'!F29*tab!#REF!,0)*5/12+ROUND('geg LO'!F29*tab!$C$55,0)*7/12</f>
        <v>#REF!</v>
      </c>
      <c r="G115" s="533">
        <f>ROUND('geg LO'!G29*tab!$C$55,0)*5/12+ROUND('geg LO'!G29*tab!$D$55,0)*7/12</f>
        <v>0</v>
      </c>
      <c r="H115" s="533">
        <f>ROUND('geg LO'!H29*tab!$C$55,0)*5/12+ROUND('geg LO'!H29*tab!$D$55,0)*7/12</f>
        <v>0</v>
      </c>
      <c r="I115" s="533">
        <f>ROUND('geg LO'!I29*tab!$C$55,0)*5/12+ROUND('geg LO'!I29*tab!$D$55,0)*7/12</f>
        <v>0</v>
      </c>
      <c r="J115" s="533">
        <f>ROUND('geg LO'!J29*tab!$C$55,0)*5/12+ROUND('geg LO'!J29*tab!$D$55,0)*7/12</f>
        <v>0</v>
      </c>
      <c r="K115" s="533">
        <f>ROUND('geg LO'!K29*tab!$C$55,0)*5/12+ROUND('geg LO'!K29*tab!$D$55,0)*7/12</f>
        <v>0</v>
      </c>
      <c r="L115" s="533">
        <f>ROUND('geg LO'!L29*tab!$C$55,0)*5/12+ROUND('geg LO'!L29*tab!$D$55,0)*7/12</f>
        <v>0</v>
      </c>
      <c r="M115" s="523"/>
      <c r="N115" s="530"/>
    </row>
    <row r="116" spans="2:14" s="584" customFormat="1" x14ac:dyDescent="0.2">
      <c r="B116" s="591"/>
      <c r="C116" s="592"/>
      <c r="D116" s="586" t="s">
        <v>816</v>
      </c>
      <c r="E116" s="586"/>
      <c r="F116" s="590" t="e">
        <f>ROUND('geg LO'!F29*tab!#REF!,2)</f>
        <v>#REF!</v>
      </c>
      <c r="G116" s="590">
        <f>ROUND('geg LO'!G29*tab!C$55,2)</f>
        <v>0</v>
      </c>
      <c r="H116" s="590">
        <f>ROUND('geg LO'!H29*tab!$D$55,2)</f>
        <v>0</v>
      </c>
      <c r="I116" s="590">
        <f>ROUND('geg LO'!I29*tab!$D$55,2)</f>
        <v>0</v>
      </c>
      <c r="J116" s="590">
        <f>ROUND('geg LO'!J29*tab!$D$55,2)</f>
        <v>0</v>
      </c>
      <c r="K116" s="590">
        <f>ROUND('geg LO'!K29*tab!$D$55,2)</f>
        <v>0</v>
      </c>
      <c r="L116" s="590">
        <f>ROUND('geg LO'!L29*tab!$D$55,2)</f>
        <v>0</v>
      </c>
      <c r="M116" s="592"/>
      <c r="N116" s="593"/>
    </row>
    <row r="117" spans="2:14" x14ac:dyDescent="0.2">
      <c r="B117" s="528"/>
      <c r="C117" s="523"/>
      <c r="D117" s="540" t="s">
        <v>775</v>
      </c>
      <c r="E117" s="526"/>
      <c r="F117" s="534" t="e">
        <f>SUM(F114:F115)</f>
        <v>#REF!</v>
      </c>
      <c r="G117" s="534">
        <f t="shared" ref="G117:L117" si="20">SUM(G114:G115)</f>
        <v>0</v>
      </c>
      <c r="H117" s="534">
        <f t="shared" si="20"/>
        <v>0</v>
      </c>
      <c r="I117" s="534">
        <f t="shared" si="20"/>
        <v>0</v>
      </c>
      <c r="J117" s="534">
        <f t="shared" si="20"/>
        <v>0</v>
      </c>
      <c r="K117" s="534">
        <f t="shared" si="20"/>
        <v>0</v>
      </c>
      <c r="L117" s="534">
        <f t="shared" si="20"/>
        <v>0</v>
      </c>
      <c r="M117" s="523"/>
      <c r="N117" s="530"/>
    </row>
    <row r="118" spans="2:14" x14ac:dyDescent="0.2">
      <c r="B118" s="528"/>
      <c r="C118" s="523"/>
      <c r="D118" s="522"/>
      <c r="E118" s="526"/>
      <c r="F118" s="527"/>
      <c r="G118" s="527"/>
      <c r="H118" s="527"/>
      <c r="I118" s="527"/>
      <c r="J118" s="527"/>
      <c r="K118" s="527"/>
      <c r="L118" s="527"/>
      <c r="M118" s="523"/>
      <c r="N118" s="530"/>
    </row>
    <row r="119" spans="2:14" x14ac:dyDescent="0.2">
      <c r="B119" s="528"/>
      <c r="C119" s="523"/>
      <c r="D119" s="520" t="s">
        <v>772</v>
      </c>
      <c r="E119" s="526"/>
      <c r="F119" s="533" t="e">
        <f>ROUND('geg LO'!F50*IF('geg LO'!F$78="ja",tab!#REF!,tab!#REF!+'geg LO'!F88*tab!#REF!),0)</f>
        <v>#REF!</v>
      </c>
      <c r="G119" s="533">
        <f>ROUND('geg LO'!G50*IF('geg LO'!G$78="ja",tab!$C$50,tab!$C$43+'geg LO'!G88*tab!$C$53),0)</f>
        <v>0</v>
      </c>
      <c r="H119" s="533">
        <f>ROUND('geg LO'!H50*IF('geg LO'!H$78="ja",tab!$C$50,tab!$C$43+'geg LO'!H88*tab!$C$53),0)</f>
        <v>0</v>
      </c>
      <c r="I119" s="533">
        <f>ROUND('geg LO'!I50*IF('geg LO'!I$78="ja",tab!$C$50,tab!$C$43+'geg LO'!I88*tab!$C$53),0)</f>
        <v>0</v>
      </c>
      <c r="J119" s="533">
        <f>ROUND('geg LO'!J50*IF('geg LO'!J$78="ja",tab!$C$50,tab!$C$43+'geg LO'!J88*tab!$C$53),0)</f>
        <v>0</v>
      </c>
      <c r="K119" s="533">
        <f>ROUND('geg LO'!K50*IF('geg LO'!K$78="ja",tab!$C$50,tab!$C$43+'geg LO'!K88*tab!$C$53),0)</f>
        <v>0</v>
      </c>
      <c r="L119" s="533">
        <f>ROUND('geg LO'!L50*IF('geg LO'!L$78="ja",tab!$C$50,tab!$C$43+'geg LO'!L88*tab!$C$53),0)</f>
        <v>0</v>
      </c>
      <c r="M119" s="523"/>
      <c r="N119" s="530"/>
    </row>
    <row r="120" spans="2:14" x14ac:dyDescent="0.2">
      <c r="B120" s="528"/>
      <c r="C120" s="523"/>
      <c r="D120" s="519" t="s">
        <v>779</v>
      </c>
      <c r="E120" s="523"/>
      <c r="F120" s="533" t="e">
        <f>ROUND('geg LO'!F50*tab!#REF!*5/12+'geg LO'!G50*tab!$C$56*7/12,0)</f>
        <v>#REF!</v>
      </c>
      <c r="G120" s="533">
        <f>ROUND('geg LO'!G50*tab!$C$56*5/12+'geg LO'!H50*tab!$D$56*7/12,0)</f>
        <v>0</v>
      </c>
      <c r="H120" s="533">
        <f>ROUND(('geg LO'!H50*5/12+'geg LO'!I50*7/12)*tab!$D$56,0)</f>
        <v>0</v>
      </c>
      <c r="I120" s="533">
        <f>ROUND(('geg LO'!I50*5/12+'geg LO'!J50*7/12)*tab!$D$56,0)</f>
        <v>0</v>
      </c>
      <c r="J120" s="533">
        <f>ROUND(('geg LO'!J50*5/12+'geg LO'!K50*7/12)*tab!$D$56,0)</f>
        <v>0</v>
      </c>
      <c r="K120" s="533">
        <f>ROUND(('geg LO'!K50*5/12+'geg LO'!L50*7/12)*tab!$D$56,0)</f>
        <v>0</v>
      </c>
      <c r="L120" s="533">
        <f>ROUND(('geg LO'!L50)*tab!$D$56,0)</f>
        <v>0</v>
      </c>
      <c r="M120" s="523"/>
      <c r="N120" s="530"/>
    </row>
    <row r="121" spans="2:14" s="584" customFormat="1" x14ac:dyDescent="0.2">
      <c r="B121" s="591"/>
      <c r="C121" s="592"/>
      <c r="D121" s="586" t="s">
        <v>817</v>
      </c>
      <c r="E121" s="592"/>
      <c r="F121" s="590" t="e">
        <f>ROUND('geg LO'!F50*tab!#REF!,0)</f>
        <v>#REF!</v>
      </c>
      <c r="G121" s="590">
        <f>ROUND('geg LO'!G50*tab!C$56,0)</f>
        <v>0</v>
      </c>
      <c r="H121" s="590">
        <f>ROUND('geg LO'!H50*tab!$D$56,0)</f>
        <v>0</v>
      </c>
      <c r="I121" s="590">
        <f>ROUND('geg LO'!I50*tab!$D$56,0)</f>
        <v>0</v>
      </c>
      <c r="J121" s="590">
        <f>ROUND('geg LO'!J50*tab!$D$56,0)</f>
        <v>0</v>
      </c>
      <c r="K121" s="590">
        <f>ROUND('geg LO'!K50*tab!$D$56,0)</f>
        <v>0</v>
      </c>
      <c r="L121" s="590">
        <f>ROUND('geg LO'!L50*tab!$D$56,0)</f>
        <v>0</v>
      </c>
      <c r="M121" s="592"/>
      <c r="N121" s="593"/>
    </row>
    <row r="122" spans="2:14" x14ac:dyDescent="0.2">
      <c r="B122" s="528"/>
      <c r="C122" s="523"/>
      <c r="D122" s="532" t="s">
        <v>773</v>
      </c>
      <c r="E122" s="525"/>
      <c r="F122" s="534" t="e">
        <f>SUM(F119:F120)</f>
        <v>#REF!</v>
      </c>
      <c r="G122" s="534">
        <f t="shared" ref="G122:L122" si="21">SUM(G119:G120)</f>
        <v>0</v>
      </c>
      <c r="H122" s="534">
        <f t="shared" si="21"/>
        <v>0</v>
      </c>
      <c r="I122" s="534">
        <f t="shared" si="21"/>
        <v>0</v>
      </c>
      <c r="J122" s="534">
        <f t="shared" si="21"/>
        <v>0</v>
      </c>
      <c r="K122" s="534">
        <f t="shared" si="21"/>
        <v>0</v>
      </c>
      <c r="L122" s="534">
        <f t="shared" si="21"/>
        <v>0</v>
      </c>
      <c r="M122" s="523"/>
      <c r="N122" s="530"/>
    </row>
    <row r="123" spans="2:14" x14ac:dyDescent="0.2">
      <c r="B123" s="547"/>
      <c r="C123" s="545"/>
      <c r="D123" s="545"/>
      <c r="E123" s="545"/>
      <c r="F123" s="546"/>
      <c r="G123" s="546"/>
      <c r="H123" s="546"/>
      <c r="I123" s="546"/>
      <c r="J123" s="546"/>
      <c r="K123" s="546"/>
      <c r="L123" s="546"/>
      <c r="M123" s="545"/>
      <c r="N123" s="548"/>
    </row>
    <row r="124" spans="2:14" x14ac:dyDescent="0.2">
      <c r="B124" s="26"/>
      <c r="C124" s="27"/>
      <c r="D124" s="28"/>
      <c r="E124" s="27"/>
      <c r="F124" s="29"/>
      <c r="G124" s="29"/>
      <c r="H124" s="29"/>
      <c r="I124" s="29"/>
      <c r="J124" s="29"/>
      <c r="K124" s="29"/>
      <c r="L124" s="29"/>
      <c r="M124" s="27"/>
      <c r="N124" s="539"/>
    </row>
    <row r="125" spans="2:14" x14ac:dyDescent="0.2">
      <c r="B125" s="26"/>
      <c r="C125" s="27"/>
      <c r="D125" s="218" t="s">
        <v>255</v>
      </c>
      <c r="E125" s="219"/>
      <c r="F125" s="571" t="e">
        <f>+F7</f>
        <v>#REF!</v>
      </c>
      <c r="G125" s="572" t="str">
        <f t="shared" ref="G125:L125" si="22">+G7</f>
        <v>2015/16</v>
      </c>
      <c r="H125" s="572" t="str">
        <f t="shared" si="22"/>
        <v>2016/17</v>
      </c>
      <c r="I125" s="572" t="str">
        <f t="shared" si="22"/>
        <v>2017/18</v>
      </c>
      <c r="J125" s="572" t="str">
        <f t="shared" si="22"/>
        <v>2018/19</v>
      </c>
      <c r="K125" s="572" t="str">
        <f t="shared" si="22"/>
        <v>2019/20</v>
      </c>
      <c r="L125" s="573" t="str">
        <f t="shared" si="22"/>
        <v>2020/21</v>
      </c>
      <c r="M125" s="27"/>
      <c r="N125" s="539"/>
    </row>
    <row r="126" spans="2:14" x14ac:dyDescent="0.2">
      <c r="B126" s="26"/>
      <c r="C126" s="27"/>
      <c r="D126" s="218" t="s">
        <v>401</v>
      </c>
      <c r="E126" s="219"/>
      <c r="F126" s="343">
        <f>G126-1</f>
        <v>2014</v>
      </c>
      <c r="G126" s="340">
        <v>2015</v>
      </c>
      <c r="H126" s="343">
        <f>G126+1</f>
        <v>2016</v>
      </c>
      <c r="I126" s="343">
        <f>H126+1</f>
        <v>2017</v>
      </c>
      <c r="J126" s="343">
        <f>I126+1</f>
        <v>2018</v>
      </c>
      <c r="K126" s="343">
        <f>J126+1</f>
        <v>2019</v>
      </c>
      <c r="L126" s="343">
        <f>K126+1</f>
        <v>2020</v>
      </c>
      <c r="M126" s="27"/>
      <c r="N126" s="539"/>
    </row>
    <row r="127" spans="2:14" x14ac:dyDescent="0.2">
      <c r="B127" s="26"/>
      <c r="C127" s="27"/>
      <c r="D127" s="28"/>
      <c r="E127" s="27"/>
      <c r="F127" s="29"/>
      <c r="G127" s="29"/>
      <c r="H127" s="29"/>
      <c r="I127" s="29"/>
      <c r="J127" s="29"/>
      <c r="K127" s="29"/>
      <c r="L127" s="29"/>
      <c r="M127" s="27"/>
      <c r="N127" s="539"/>
    </row>
    <row r="128" spans="2:14" x14ac:dyDescent="0.2">
      <c r="B128" s="528"/>
      <c r="C128" s="526"/>
      <c r="D128" s="522" t="str">
        <f>+'geg LO'!D30</f>
        <v>Naam SBO 10</v>
      </c>
      <c r="E128" s="526"/>
      <c r="F128" s="527"/>
      <c r="G128" s="527"/>
      <c r="H128" s="527"/>
      <c r="I128" s="527"/>
      <c r="J128" s="527"/>
      <c r="K128" s="527"/>
      <c r="L128" s="527"/>
      <c r="M128" s="526"/>
      <c r="N128" s="530"/>
    </row>
    <row r="129" spans="2:14" x14ac:dyDescent="0.2">
      <c r="B129" s="528"/>
      <c r="C129" s="523"/>
      <c r="D129" s="476" t="s">
        <v>457</v>
      </c>
      <c r="E129" s="526"/>
      <c r="F129" s="533" t="e">
        <f>ROUND('geg LO'!F30*IF('geg LO'!F78="ja",tab!#REF!,tab!#REF!+'geg LO'!F89*tab!#REF!),0)</f>
        <v>#REF!</v>
      </c>
      <c r="G129" s="533">
        <f>ROUND('geg LO'!G30*IF('geg LO'!G78="ja",tab!$C$49,tab!$C$41+'geg LO'!G89*tab!$C$42),0)</f>
        <v>0</v>
      </c>
      <c r="H129" s="533">
        <f>ROUND('geg LO'!H30*IF('geg LO'!H78="ja",tab!$C$49,tab!$C$41+'geg LO'!H89*tab!$C$42),0)</f>
        <v>0</v>
      </c>
      <c r="I129" s="533">
        <f>ROUND('geg LO'!I30*IF('geg LO'!I78="ja",tab!$C$49,tab!$C$41+'geg LO'!I89*tab!$C$42),0)</f>
        <v>0</v>
      </c>
      <c r="J129" s="533">
        <f>ROUND('geg LO'!J30*IF('geg LO'!J78="ja",tab!$C$49,tab!$C$41+'geg LO'!J89*tab!$C$42),0)</f>
        <v>0</v>
      </c>
      <c r="K129" s="533">
        <f>ROUND('geg LO'!K30*IF('geg LO'!K78="ja",tab!$C$49,tab!$C$41+'geg LO'!K89*tab!$C$42),0)</f>
        <v>0</v>
      </c>
      <c r="L129" s="533">
        <f>ROUND('geg LO'!L30*IF('geg LO'!L78="ja",tab!$C$49,tab!$C$41+'geg LO'!L89*tab!$C$42),0)</f>
        <v>0</v>
      </c>
      <c r="M129" s="523"/>
      <c r="N129" s="530"/>
    </row>
    <row r="130" spans="2:14" x14ac:dyDescent="0.2">
      <c r="B130" s="528"/>
      <c r="C130" s="523"/>
      <c r="D130" s="476" t="s">
        <v>774</v>
      </c>
      <c r="E130" s="526"/>
      <c r="F130" s="533" t="e">
        <f>ROUND('geg LO'!F30*tab!#REF!,0)*5/12+ROUND('geg LO'!F30*tab!$C$55,0)*7/12</f>
        <v>#REF!</v>
      </c>
      <c r="G130" s="533">
        <f>ROUND('geg LO'!G30*tab!$C$55,0)*5/12+ROUND('geg LO'!G30*tab!$D$55,0)*7/12</f>
        <v>0</v>
      </c>
      <c r="H130" s="533">
        <f>ROUND('geg LO'!H30*tab!$C$55,0)*5/12+ROUND('geg LO'!H30*tab!$D$55,0)*7/12</f>
        <v>0</v>
      </c>
      <c r="I130" s="533">
        <f>ROUND('geg LO'!I30*tab!$C$55,0)*5/12+ROUND('geg LO'!I30*tab!$D$55,0)*7/12</f>
        <v>0</v>
      </c>
      <c r="J130" s="533">
        <f>ROUND('geg LO'!J30*tab!$C$55,0)*5/12+ROUND('geg LO'!J30*tab!$D$55,0)*7/12</f>
        <v>0</v>
      </c>
      <c r="K130" s="533">
        <f>ROUND('geg LO'!K30*tab!$C$55,0)*5/12+ROUND('geg LO'!K30*tab!$D$55,0)*7/12</f>
        <v>0</v>
      </c>
      <c r="L130" s="533">
        <f>ROUND('geg LO'!L30*tab!$C$55,0)*5/12+ROUND('geg LO'!L30*tab!$D$55,0)*7/12</f>
        <v>0</v>
      </c>
      <c r="M130" s="523"/>
      <c r="N130" s="530"/>
    </row>
    <row r="131" spans="2:14" s="584" customFormat="1" x14ac:dyDescent="0.2">
      <c r="B131" s="591"/>
      <c r="C131" s="592"/>
      <c r="D131" s="586" t="s">
        <v>816</v>
      </c>
      <c r="E131" s="586"/>
      <c r="F131" s="590" t="e">
        <f>ROUND('geg LO'!F30*tab!#REF!,2)</f>
        <v>#REF!</v>
      </c>
      <c r="G131" s="590">
        <f>ROUND('geg LO'!G30*tab!C$55,2)</f>
        <v>0</v>
      </c>
      <c r="H131" s="590">
        <f>ROUND('geg LO'!H30*tab!$D$55,2)</f>
        <v>0</v>
      </c>
      <c r="I131" s="590">
        <f>ROUND('geg LO'!I30*tab!$D$55,2)</f>
        <v>0</v>
      </c>
      <c r="J131" s="590">
        <f>ROUND('geg LO'!J30*tab!$D$55,2)</f>
        <v>0</v>
      </c>
      <c r="K131" s="590">
        <f>ROUND('geg LO'!K30*tab!$D$55,2)</f>
        <v>0</v>
      </c>
      <c r="L131" s="590">
        <f>ROUND('geg LO'!L30*tab!$D$55,2)</f>
        <v>0</v>
      </c>
      <c r="M131" s="592"/>
      <c r="N131" s="593"/>
    </row>
    <row r="132" spans="2:14" x14ac:dyDescent="0.2">
      <c r="B132" s="528"/>
      <c r="C132" s="523"/>
      <c r="D132" s="540" t="s">
        <v>775</v>
      </c>
      <c r="E132" s="526"/>
      <c r="F132" s="534" t="e">
        <f>SUM(F129:F130)</f>
        <v>#REF!</v>
      </c>
      <c r="G132" s="534">
        <f t="shared" ref="G132:L132" si="23">SUM(G129:G130)</f>
        <v>0</v>
      </c>
      <c r="H132" s="534">
        <f t="shared" si="23"/>
        <v>0</v>
      </c>
      <c r="I132" s="534">
        <f t="shared" si="23"/>
        <v>0</v>
      </c>
      <c r="J132" s="534">
        <f t="shared" si="23"/>
        <v>0</v>
      </c>
      <c r="K132" s="534">
        <f t="shared" si="23"/>
        <v>0</v>
      </c>
      <c r="L132" s="534">
        <f t="shared" si="23"/>
        <v>0</v>
      </c>
      <c r="M132" s="523"/>
      <c r="N132" s="530"/>
    </row>
    <row r="133" spans="2:14" x14ac:dyDescent="0.2">
      <c r="B133" s="528"/>
      <c r="C133" s="523"/>
      <c r="D133" s="522"/>
      <c r="E133" s="526"/>
      <c r="F133" s="527"/>
      <c r="G133" s="527"/>
      <c r="H133" s="527"/>
      <c r="I133" s="527"/>
      <c r="J133" s="527"/>
      <c r="K133" s="527"/>
      <c r="L133" s="527"/>
      <c r="M133" s="523"/>
      <c r="N133" s="530"/>
    </row>
    <row r="134" spans="2:14" x14ac:dyDescent="0.2">
      <c r="B134" s="528"/>
      <c r="C134" s="523"/>
      <c r="D134" s="520" t="s">
        <v>772</v>
      </c>
      <c r="E134" s="526"/>
      <c r="F134" s="533" t="e">
        <f>ROUND('geg LO'!F51*IF('geg LO'!F$78="ja",tab!#REF!,tab!#REF!+'geg LO'!F89*tab!#REF!),0)</f>
        <v>#REF!</v>
      </c>
      <c r="G134" s="533">
        <f>ROUND('geg LO'!G51*IF('geg LO'!G$78="ja",tab!$C$50,tab!$C$43+'geg LO'!G89*tab!$C$53),0)</f>
        <v>0</v>
      </c>
      <c r="H134" s="533">
        <f>ROUND('geg LO'!H51*IF('geg LO'!H$78="ja",tab!$C$50,tab!$C$43+'geg LO'!H89*tab!$C$53),0)</f>
        <v>0</v>
      </c>
      <c r="I134" s="533">
        <f>ROUND('geg LO'!I51*IF('geg LO'!I$78="ja",tab!$C$50,tab!$C$43+'geg LO'!I89*tab!$C$53),0)</f>
        <v>0</v>
      </c>
      <c r="J134" s="533">
        <f>ROUND('geg LO'!J51*IF('geg LO'!J$78="ja",tab!$C$50,tab!$C$43+'geg LO'!J89*tab!$C$53),0)</f>
        <v>0</v>
      </c>
      <c r="K134" s="533">
        <f>ROUND('geg LO'!K51*IF('geg LO'!K$78="ja",tab!$C$50,tab!$C$43+'geg LO'!K89*tab!$C$53),0)</f>
        <v>0</v>
      </c>
      <c r="L134" s="533">
        <f>ROUND('geg LO'!L51*IF('geg LO'!L$78="ja",tab!$C$50,tab!$C$43+'geg LO'!L89*tab!$C$53),0)</f>
        <v>0</v>
      </c>
      <c r="M134" s="523"/>
      <c r="N134" s="530"/>
    </row>
    <row r="135" spans="2:14" x14ac:dyDescent="0.2">
      <c r="B135" s="528"/>
      <c r="C135" s="523"/>
      <c r="D135" s="519" t="s">
        <v>779</v>
      </c>
      <c r="E135" s="523"/>
      <c r="F135" s="533" t="e">
        <f>ROUND('geg LO'!F51*tab!#REF!*5/12+'geg LO'!G51*tab!$C$56*7/12,0)</f>
        <v>#REF!</v>
      </c>
      <c r="G135" s="533">
        <f>ROUND('geg LO'!G51*tab!$C$56*5/12+'geg LO'!H51*tab!$D$56*7/12,0)</f>
        <v>0</v>
      </c>
      <c r="H135" s="533">
        <f>ROUND(('geg LO'!H51*5/12+'geg LO'!I51*7/12)*tab!$D$56,0)</f>
        <v>0</v>
      </c>
      <c r="I135" s="533">
        <f>ROUND(('geg LO'!I51*5/12+'geg LO'!J51*7/12)*tab!$D$56,0)</f>
        <v>0</v>
      </c>
      <c r="J135" s="533">
        <f>ROUND(('geg LO'!J51*5/12+'geg LO'!K51*7/12)*tab!$D$56,0)</f>
        <v>0</v>
      </c>
      <c r="K135" s="533">
        <f>ROUND(('geg LO'!K51*5/12+'geg LO'!L51*7/12)*tab!$D$56,0)</f>
        <v>0</v>
      </c>
      <c r="L135" s="533">
        <f>ROUND(('geg LO'!L51)*tab!$D$56,0)</f>
        <v>0</v>
      </c>
      <c r="M135" s="523"/>
      <c r="N135" s="530"/>
    </row>
    <row r="136" spans="2:14" s="584" customFormat="1" x14ac:dyDescent="0.2">
      <c r="B136" s="591"/>
      <c r="C136" s="592"/>
      <c r="D136" s="586" t="s">
        <v>817</v>
      </c>
      <c r="E136" s="592"/>
      <c r="F136" s="590" t="e">
        <f>ROUND('geg LO'!F51*tab!#REF!,0)</f>
        <v>#REF!</v>
      </c>
      <c r="G136" s="590">
        <f>ROUND('geg LO'!G51*tab!C$56,0)</f>
        <v>0</v>
      </c>
      <c r="H136" s="590">
        <f>ROUND('geg LO'!H51*tab!$D$56,0)</f>
        <v>0</v>
      </c>
      <c r="I136" s="590">
        <f>ROUND('geg LO'!I51*tab!$D$56,0)</f>
        <v>0</v>
      </c>
      <c r="J136" s="590">
        <f>ROUND('geg LO'!J51*tab!$D$56,0)</f>
        <v>0</v>
      </c>
      <c r="K136" s="590">
        <f>ROUND('geg LO'!K51*tab!$D$56,0)</f>
        <v>0</v>
      </c>
      <c r="L136" s="590">
        <f>ROUND('geg LO'!L51*tab!$D$56,0)</f>
        <v>0</v>
      </c>
      <c r="M136" s="592"/>
      <c r="N136" s="593"/>
    </row>
    <row r="137" spans="2:14" x14ac:dyDescent="0.2">
      <c r="B137" s="528"/>
      <c r="C137" s="523"/>
      <c r="D137" s="532" t="s">
        <v>773</v>
      </c>
      <c r="E137" s="525"/>
      <c r="F137" s="534" t="e">
        <f>SUM(F134:F135)</f>
        <v>#REF!</v>
      </c>
      <c r="G137" s="534">
        <f t="shared" ref="G137:L137" si="24">SUM(G134:G135)</f>
        <v>0</v>
      </c>
      <c r="H137" s="534">
        <f t="shared" si="24"/>
        <v>0</v>
      </c>
      <c r="I137" s="534">
        <f t="shared" si="24"/>
        <v>0</v>
      </c>
      <c r="J137" s="534">
        <f t="shared" si="24"/>
        <v>0</v>
      </c>
      <c r="K137" s="534">
        <f t="shared" si="24"/>
        <v>0</v>
      </c>
      <c r="L137" s="534">
        <f t="shared" si="24"/>
        <v>0</v>
      </c>
      <c r="M137" s="523"/>
      <c r="N137" s="530"/>
    </row>
    <row r="138" spans="2:14" x14ac:dyDescent="0.2">
      <c r="B138" s="528"/>
      <c r="C138" s="523"/>
      <c r="D138" s="523"/>
      <c r="E138" s="523"/>
      <c r="F138" s="524"/>
      <c r="G138" s="524"/>
      <c r="H138" s="524"/>
      <c r="I138" s="524"/>
      <c r="J138" s="524"/>
      <c r="K138" s="524"/>
      <c r="L138" s="524"/>
      <c r="M138" s="523"/>
      <c r="N138" s="530"/>
    </row>
    <row r="139" spans="2:14" x14ac:dyDescent="0.2">
      <c r="B139" s="528"/>
      <c r="C139" s="523"/>
      <c r="D139" s="522" t="str">
        <f>+'geg LO'!D31</f>
        <v>Naam SBO 11</v>
      </c>
      <c r="E139" s="526"/>
      <c r="F139" s="527"/>
      <c r="G139" s="527"/>
      <c r="H139" s="527"/>
      <c r="I139" s="527"/>
      <c r="J139" s="527"/>
      <c r="K139" s="527"/>
      <c r="L139" s="527"/>
      <c r="M139" s="523"/>
      <c r="N139" s="530"/>
    </row>
    <row r="140" spans="2:14" x14ac:dyDescent="0.2">
      <c r="B140" s="528"/>
      <c r="C140" s="523"/>
      <c r="D140" s="476" t="s">
        <v>457</v>
      </c>
      <c r="E140" s="526"/>
      <c r="F140" s="533" t="e">
        <f>ROUND('geg LO'!F31*IF('geg LO'!F78="ja",tab!#REF!,tab!#REF!+'geg LO'!F90*tab!#REF!),0)</f>
        <v>#REF!</v>
      </c>
      <c r="G140" s="533">
        <f>ROUND('geg LO'!G31*IF('geg LO'!G78="ja",tab!$C$49,tab!$C$41+'geg LO'!G90*tab!$C$42),0)</f>
        <v>0</v>
      </c>
      <c r="H140" s="533">
        <f>ROUND('geg LO'!H31*IF('geg LO'!H78="ja",tab!$C$49,tab!$C$41+'geg LO'!H90*tab!$C$42),0)</f>
        <v>0</v>
      </c>
      <c r="I140" s="533">
        <f>ROUND('geg LO'!I31*IF('geg LO'!I78="ja",tab!$C$49,tab!$C$41+'geg LO'!I90*tab!$C$42),0)</f>
        <v>0</v>
      </c>
      <c r="J140" s="533">
        <f>ROUND('geg LO'!J31*IF('geg LO'!J78="ja",tab!$C$49,tab!$C$41+'geg LO'!J90*tab!$C$42),0)</f>
        <v>0</v>
      </c>
      <c r="K140" s="533">
        <f>ROUND('geg LO'!K31*IF('geg LO'!K78="ja",tab!$C$49,tab!$C$41+'geg LO'!K90*tab!$C$42),0)</f>
        <v>0</v>
      </c>
      <c r="L140" s="533">
        <f>ROUND('geg LO'!L31*IF('geg LO'!L78="ja",tab!$C$49,tab!$C$41+'geg LO'!L90*tab!$C$42),0)</f>
        <v>0</v>
      </c>
      <c r="M140" s="523"/>
      <c r="N140" s="530"/>
    </row>
    <row r="141" spans="2:14" x14ac:dyDescent="0.2">
      <c r="B141" s="528"/>
      <c r="C141" s="523"/>
      <c r="D141" s="476" t="s">
        <v>774</v>
      </c>
      <c r="E141" s="526"/>
      <c r="F141" s="533" t="e">
        <f>ROUND('geg LO'!F31*tab!#REF!,0)*5/12+ROUND('geg LO'!F31*tab!$C$55,0)*7/12</f>
        <v>#REF!</v>
      </c>
      <c r="G141" s="533">
        <f>ROUND('geg LO'!G31*tab!$C$55,0)*5/12+ROUND('geg LO'!G31*tab!$D$55,0)*7/12</f>
        <v>0</v>
      </c>
      <c r="H141" s="533">
        <f>ROUND('geg LO'!H31*tab!$C$55,0)*5/12+ROUND('geg LO'!H31*tab!$D$55,0)*7/12</f>
        <v>0</v>
      </c>
      <c r="I141" s="533">
        <f>ROUND('geg LO'!I31*tab!$C$55,0)*5/12+ROUND('geg LO'!I31*tab!$D$55,0)*7/12</f>
        <v>0</v>
      </c>
      <c r="J141" s="533">
        <f>ROUND('geg LO'!J31*tab!$C$55,0)*5/12+ROUND('geg LO'!J31*tab!$D$55,0)*7/12</f>
        <v>0</v>
      </c>
      <c r="K141" s="533">
        <f>ROUND('geg LO'!K31*tab!$C$55,0)*5/12+ROUND('geg LO'!K31*tab!$D$55,0)*7/12</f>
        <v>0</v>
      </c>
      <c r="L141" s="533">
        <f>ROUND('geg LO'!L31*tab!$C$55,0)*5/12+ROUND('geg LO'!L31*tab!$D$55,0)*7/12</f>
        <v>0</v>
      </c>
      <c r="M141" s="523"/>
      <c r="N141" s="530"/>
    </row>
    <row r="142" spans="2:14" s="584" customFormat="1" x14ac:dyDescent="0.2">
      <c r="B142" s="591"/>
      <c r="C142" s="592"/>
      <c r="D142" s="586" t="s">
        <v>816</v>
      </c>
      <c r="E142" s="586"/>
      <c r="F142" s="590" t="e">
        <f>ROUND('geg LO'!F31*tab!#REF!,2)</f>
        <v>#REF!</v>
      </c>
      <c r="G142" s="590">
        <f>ROUND('geg LO'!G31*tab!C$55,2)</f>
        <v>0</v>
      </c>
      <c r="H142" s="590">
        <f>ROUND('geg LO'!H31*tab!$D$55,2)</f>
        <v>0</v>
      </c>
      <c r="I142" s="590">
        <f>ROUND('geg LO'!I31*tab!$D$55,2)</f>
        <v>0</v>
      </c>
      <c r="J142" s="590">
        <f>ROUND('geg LO'!J31*tab!$D$55,2)</f>
        <v>0</v>
      </c>
      <c r="K142" s="590">
        <f>ROUND('geg LO'!K31*tab!$D$55,2)</f>
        <v>0</v>
      </c>
      <c r="L142" s="590">
        <f>ROUND('geg LO'!L31*tab!$D$55,2)</f>
        <v>0</v>
      </c>
      <c r="M142" s="592"/>
      <c r="N142" s="593"/>
    </row>
    <row r="143" spans="2:14" x14ac:dyDescent="0.2">
      <c r="B143" s="528"/>
      <c r="C143" s="523"/>
      <c r="D143" s="540" t="s">
        <v>775</v>
      </c>
      <c r="E143" s="526"/>
      <c r="F143" s="534" t="e">
        <f>SUM(F140:F141)</f>
        <v>#REF!</v>
      </c>
      <c r="G143" s="534">
        <f t="shared" ref="G143:L143" si="25">SUM(G140:G141)</f>
        <v>0</v>
      </c>
      <c r="H143" s="534">
        <f t="shared" si="25"/>
        <v>0</v>
      </c>
      <c r="I143" s="534">
        <f t="shared" si="25"/>
        <v>0</v>
      </c>
      <c r="J143" s="534">
        <f t="shared" si="25"/>
        <v>0</v>
      </c>
      <c r="K143" s="534">
        <f t="shared" si="25"/>
        <v>0</v>
      </c>
      <c r="L143" s="534">
        <f t="shared" si="25"/>
        <v>0</v>
      </c>
      <c r="M143" s="523"/>
      <c r="N143" s="530"/>
    </row>
    <row r="144" spans="2:14" x14ac:dyDescent="0.2">
      <c r="B144" s="528"/>
      <c r="C144" s="523"/>
      <c r="D144" s="522"/>
      <c r="E144" s="526"/>
      <c r="F144" s="527"/>
      <c r="G144" s="527"/>
      <c r="H144" s="527"/>
      <c r="I144" s="527"/>
      <c r="J144" s="527"/>
      <c r="K144" s="527"/>
      <c r="L144" s="527"/>
      <c r="M144" s="523"/>
      <c r="N144" s="530"/>
    </row>
    <row r="145" spans="2:14" x14ac:dyDescent="0.2">
      <c r="B145" s="528"/>
      <c r="C145" s="523"/>
      <c r="D145" s="520" t="s">
        <v>772</v>
      </c>
      <c r="E145" s="526"/>
      <c r="F145" s="533" t="e">
        <f>ROUND('geg LO'!F52*IF('geg LO'!F$78="ja",tab!#REF!,tab!#REF!+'geg LO'!F90*tab!#REF!),0)</f>
        <v>#REF!</v>
      </c>
      <c r="G145" s="533">
        <f>ROUND('geg LO'!G52*IF('geg LO'!G$78="ja",tab!$C$50,tab!$C$43+'geg LO'!G90*tab!$C$53),0)</f>
        <v>0</v>
      </c>
      <c r="H145" s="533">
        <f>ROUND('geg LO'!H52*IF('geg LO'!H$78="ja",tab!$C$50,tab!$C$43+'geg LO'!H90*tab!$C$53),0)</f>
        <v>0</v>
      </c>
      <c r="I145" s="533">
        <f>ROUND('geg LO'!I52*IF('geg LO'!I$78="ja",tab!$C$50,tab!$C$43+'geg LO'!I90*tab!$C$53),0)</f>
        <v>0</v>
      </c>
      <c r="J145" s="533">
        <f>ROUND('geg LO'!J52*IF('geg LO'!J$78="ja",tab!$C$50,tab!$C$43+'geg LO'!J90*tab!$C$53),0)</f>
        <v>0</v>
      </c>
      <c r="K145" s="533">
        <f>ROUND('geg LO'!K52*IF('geg LO'!K$78="ja",tab!$C$50,tab!$C$43+'geg LO'!K90*tab!$C$53),0)</f>
        <v>0</v>
      </c>
      <c r="L145" s="533">
        <f>ROUND('geg LO'!L52*IF('geg LO'!L$78="ja",tab!$C$50,tab!$C$43+'geg LO'!L90*tab!$C$53),0)</f>
        <v>0</v>
      </c>
      <c r="M145" s="523"/>
      <c r="N145" s="530"/>
    </row>
    <row r="146" spans="2:14" x14ac:dyDescent="0.2">
      <c r="B146" s="528"/>
      <c r="C146" s="523"/>
      <c r="D146" s="519" t="s">
        <v>779</v>
      </c>
      <c r="E146" s="523"/>
      <c r="F146" s="533" t="e">
        <f>ROUND('geg LO'!F52*tab!#REF!*5/12+'geg LO'!G52*tab!$C$56*7/12,0)</f>
        <v>#REF!</v>
      </c>
      <c r="G146" s="533">
        <f>ROUND('geg LO'!G52*tab!$C$56*5/12+'geg LO'!H52*tab!$D$56*7/12,0)</f>
        <v>0</v>
      </c>
      <c r="H146" s="533">
        <f>ROUND(('geg LO'!H52*5/12+'geg LO'!I52*7/12)*tab!$D$56,0)</f>
        <v>0</v>
      </c>
      <c r="I146" s="533">
        <f>ROUND(('geg LO'!I52*5/12+'geg LO'!J52*7/12)*tab!$D$56,0)</f>
        <v>0</v>
      </c>
      <c r="J146" s="533">
        <f>ROUND(('geg LO'!J52*5/12+'geg LO'!K52*7/12)*tab!$D$56,0)</f>
        <v>0</v>
      </c>
      <c r="K146" s="533">
        <f>ROUND(('geg LO'!K52*5/12+'geg LO'!L52*7/12)*tab!$D$56,0)</f>
        <v>0</v>
      </c>
      <c r="L146" s="533">
        <f>ROUND(('geg LO'!L52)*tab!$D$56,0)</f>
        <v>0</v>
      </c>
      <c r="M146" s="523"/>
      <c r="N146" s="530"/>
    </row>
    <row r="147" spans="2:14" s="584" customFormat="1" x14ac:dyDescent="0.2">
      <c r="B147" s="591"/>
      <c r="C147" s="592"/>
      <c r="D147" s="586" t="s">
        <v>817</v>
      </c>
      <c r="E147" s="592"/>
      <c r="F147" s="590" t="e">
        <f>ROUND('geg LO'!F52*tab!#REF!,0)</f>
        <v>#REF!</v>
      </c>
      <c r="G147" s="590">
        <f>ROUND('geg LO'!G52*tab!C$56,0)</f>
        <v>0</v>
      </c>
      <c r="H147" s="590">
        <f>ROUND('geg LO'!H52*tab!$D$56,0)</f>
        <v>0</v>
      </c>
      <c r="I147" s="590">
        <f>ROUND('geg LO'!I52*tab!$D$56,0)</f>
        <v>0</v>
      </c>
      <c r="J147" s="590">
        <f>ROUND('geg LO'!J52*tab!$D$56,0)</f>
        <v>0</v>
      </c>
      <c r="K147" s="590">
        <f>ROUND('geg LO'!K52*tab!$D$56,0)</f>
        <v>0</v>
      </c>
      <c r="L147" s="590">
        <f>ROUND('geg LO'!L52*tab!$D$56,0)</f>
        <v>0</v>
      </c>
      <c r="M147" s="592"/>
      <c r="N147" s="593"/>
    </row>
    <row r="148" spans="2:14" x14ac:dyDescent="0.2">
      <c r="B148" s="528"/>
      <c r="C148" s="523"/>
      <c r="D148" s="532" t="s">
        <v>773</v>
      </c>
      <c r="E148" s="525"/>
      <c r="F148" s="534" t="e">
        <f>SUM(F145:F146)</f>
        <v>#REF!</v>
      </c>
      <c r="G148" s="534">
        <f t="shared" ref="G148:L148" si="26">SUM(G145:G146)</f>
        <v>0</v>
      </c>
      <c r="H148" s="534">
        <f t="shared" si="26"/>
        <v>0</v>
      </c>
      <c r="I148" s="534">
        <f t="shared" si="26"/>
        <v>0</v>
      </c>
      <c r="J148" s="534">
        <f t="shared" si="26"/>
        <v>0</v>
      </c>
      <c r="K148" s="534">
        <f t="shared" si="26"/>
        <v>0</v>
      </c>
      <c r="L148" s="534">
        <f t="shared" si="26"/>
        <v>0</v>
      </c>
      <c r="M148" s="523"/>
      <c r="N148" s="530"/>
    </row>
    <row r="149" spans="2:14" x14ac:dyDescent="0.2">
      <c r="B149" s="528"/>
      <c r="C149" s="523"/>
      <c r="D149" s="523"/>
      <c r="E149" s="523"/>
      <c r="F149" s="524"/>
      <c r="G149" s="524"/>
      <c r="H149" s="524"/>
      <c r="I149" s="524"/>
      <c r="J149" s="524"/>
      <c r="K149" s="524"/>
      <c r="L149" s="524"/>
      <c r="M149" s="523"/>
      <c r="N149" s="530"/>
    </row>
    <row r="150" spans="2:14" x14ac:dyDescent="0.2">
      <c r="B150" s="528"/>
      <c r="C150" s="523"/>
      <c r="D150" s="522" t="str">
        <f>+'geg LO'!D32</f>
        <v>Naam SBO 12</v>
      </c>
      <c r="E150" s="526"/>
      <c r="F150" s="527"/>
      <c r="G150" s="527"/>
      <c r="H150" s="527"/>
      <c r="I150" s="527"/>
      <c r="J150" s="527"/>
      <c r="K150" s="527"/>
      <c r="L150" s="527"/>
      <c r="M150" s="523"/>
      <c r="N150" s="530"/>
    </row>
    <row r="151" spans="2:14" x14ac:dyDescent="0.2">
      <c r="B151" s="528"/>
      <c r="C151" s="523"/>
      <c r="D151" s="476" t="s">
        <v>457</v>
      </c>
      <c r="E151" s="526"/>
      <c r="F151" s="533" t="e">
        <f>ROUND('geg LO'!F32*IF('geg LO'!F78="ja",tab!#REF!,tab!#REF!+'geg LO'!F91*tab!#REF!),0)</f>
        <v>#REF!</v>
      </c>
      <c r="G151" s="533">
        <f>ROUND('geg LO'!G32*IF('geg LO'!G78="ja",tab!$C$49,tab!$C$41+'geg LO'!G91*tab!$C$42),0)</f>
        <v>0</v>
      </c>
      <c r="H151" s="533">
        <f>ROUND('geg LO'!H32*IF('geg LO'!H78="ja",tab!$C$49,tab!$C$41+'geg LO'!H91*tab!$C$42),0)</f>
        <v>0</v>
      </c>
      <c r="I151" s="533">
        <f>ROUND('geg LO'!I32*IF('geg LO'!I78="ja",tab!$C$49,tab!$C$41+'geg LO'!I91*tab!$C$42),0)</f>
        <v>0</v>
      </c>
      <c r="J151" s="533">
        <f>ROUND('geg LO'!J32*IF('geg LO'!J78="ja",tab!$C$49,tab!$C$41+'geg LO'!J91*tab!$C$42),0)</f>
        <v>0</v>
      </c>
      <c r="K151" s="533">
        <f>ROUND('geg LO'!K32*IF('geg LO'!K78="ja",tab!$C$49,tab!$C$41+'geg LO'!K91*tab!$C$42),0)</f>
        <v>0</v>
      </c>
      <c r="L151" s="533">
        <f>ROUND('geg LO'!L32*IF('geg LO'!L78="ja",tab!$C$49,tab!$C$41+'geg LO'!L91*tab!$C$42),0)</f>
        <v>0</v>
      </c>
      <c r="M151" s="523"/>
      <c r="N151" s="530"/>
    </row>
    <row r="152" spans="2:14" x14ac:dyDescent="0.2">
      <c r="B152" s="528"/>
      <c r="C152" s="523"/>
      <c r="D152" s="476" t="s">
        <v>774</v>
      </c>
      <c r="E152" s="526"/>
      <c r="F152" s="533" t="e">
        <f>ROUND('geg LO'!F32*tab!#REF!,0)*5/12+ROUND('geg LO'!F32*tab!$C$55,0)*7/12</f>
        <v>#REF!</v>
      </c>
      <c r="G152" s="533">
        <f>ROUND('geg LO'!G32*tab!$C$55,0)*5/12+ROUND('geg LO'!G32*tab!$D$55,0)*7/12</f>
        <v>0</v>
      </c>
      <c r="H152" s="533">
        <f>ROUND('geg LO'!H32*tab!$C$55,0)*5/12+ROUND('geg LO'!H32*tab!$D$55,0)*7/12</f>
        <v>0</v>
      </c>
      <c r="I152" s="533">
        <f>ROUND('geg LO'!I32*tab!$C$55,0)*5/12+ROUND('geg LO'!I32*tab!$D$55,0)*7/12</f>
        <v>0</v>
      </c>
      <c r="J152" s="533">
        <f>ROUND('geg LO'!J32*tab!$C$55,0)*5/12+ROUND('geg LO'!J32*tab!$D$55,0)*7/12</f>
        <v>0</v>
      </c>
      <c r="K152" s="533">
        <f>ROUND('geg LO'!K32*tab!$C$55,0)*5/12+ROUND('geg LO'!K32*tab!$D$55,0)*7/12</f>
        <v>0</v>
      </c>
      <c r="L152" s="533">
        <f>ROUND('geg LO'!L32*tab!$C$55,0)*5/12+ROUND('geg LO'!L32*tab!$D$55,0)*7/12</f>
        <v>0</v>
      </c>
      <c r="M152" s="523"/>
      <c r="N152" s="530"/>
    </row>
    <row r="153" spans="2:14" s="584" customFormat="1" x14ac:dyDescent="0.2">
      <c r="B153" s="591"/>
      <c r="C153" s="592"/>
      <c r="D153" s="586" t="s">
        <v>816</v>
      </c>
      <c r="E153" s="586"/>
      <c r="F153" s="590" t="e">
        <f>ROUND('geg LO'!F32*tab!#REF!,2)</f>
        <v>#REF!</v>
      </c>
      <c r="G153" s="590">
        <f>ROUND('geg LO'!G32*tab!C$55,2)</f>
        <v>0</v>
      </c>
      <c r="H153" s="590">
        <f>ROUND('geg LO'!H32*tab!$D$55,2)</f>
        <v>0</v>
      </c>
      <c r="I153" s="590">
        <f>ROUND('geg LO'!I32*tab!$D$55,2)</f>
        <v>0</v>
      </c>
      <c r="J153" s="590">
        <f>ROUND('geg LO'!J32*tab!$D$55,2)</f>
        <v>0</v>
      </c>
      <c r="K153" s="590">
        <f>ROUND('geg LO'!K32*tab!$D$55,2)</f>
        <v>0</v>
      </c>
      <c r="L153" s="590">
        <f>ROUND('geg LO'!L32*tab!$D$55,2)</f>
        <v>0</v>
      </c>
      <c r="M153" s="592"/>
      <c r="N153" s="593"/>
    </row>
    <row r="154" spans="2:14" x14ac:dyDescent="0.2">
      <c r="B154" s="528"/>
      <c r="C154" s="523"/>
      <c r="D154" s="540" t="s">
        <v>775</v>
      </c>
      <c r="E154" s="526"/>
      <c r="F154" s="534" t="e">
        <f>SUM(F151:F152)</f>
        <v>#REF!</v>
      </c>
      <c r="G154" s="534">
        <f t="shared" ref="G154:L154" si="27">SUM(G151:G152)</f>
        <v>0</v>
      </c>
      <c r="H154" s="534">
        <f t="shared" si="27"/>
        <v>0</v>
      </c>
      <c r="I154" s="534">
        <f t="shared" si="27"/>
        <v>0</v>
      </c>
      <c r="J154" s="534">
        <f t="shared" si="27"/>
        <v>0</v>
      </c>
      <c r="K154" s="534">
        <f t="shared" si="27"/>
        <v>0</v>
      </c>
      <c r="L154" s="534">
        <f t="shared" si="27"/>
        <v>0</v>
      </c>
      <c r="M154" s="523"/>
      <c r="N154" s="530"/>
    </row>
    <row r="155" spans="2:14" x14ac:dyDescent="0.2">
      <c r="B155" s="528"/>
      <c r="C155" s="523"/>
      <c r="D155" s="522"/>
      <c r="E155" s="526"/>
      <c r="F155" s="527"/>
      <c r="G155" s="527"/>
      <c r="H155" s="527"/>
      <c r="I155" s="527"/>
      <c r="J155" s="527"/>
      <c r="K155" s="527"/>
      <c r="L155" s="527"/>
      <c r="M155" s="523"/>
      <c r="N155" s="530"/>
    </row>
    <row r="156" spans="2:14" x14ac:dyDescent="0.2">
      <c r="B156" s="528"/>
      <c r="C156" s="523"/>
      <c r="D156" s="520" t="s">
        <v>772</v>
      </c>
      <c r="E156" s="526"/>
      <c r="F156" s="533" t="e">
        <f>ROUND('geg LO'!F53*IF('geg LO'!F$78="ja",tab!#REF!,tab!#REF!+'geg LO'!F91*tab!#REF!),0)</f>
        <v>#REF!</v>
      </c>
      <c r="G156" s="533">
        <f>ROUND('geg LO'!G53*IF('geg LO'!G$78="ja",tab!$C$50,tab!$C$43+'geg LO'!G91*tab!$C$53),0)</f>
        <v>0</v>
      </c>
      <c r="H156" s="533">
        <f>ROUND('geg LO'!H53*IF('geg LO'!H$78="ja",tab!$C$50,tab!$C$43+'geg LO'!H91*tab!$C$53),0)</f>
        <v>0</v>
      </c>
      <c r="I156" s="533">
        <f>ROUND('geg LO'!I53*IF('geg LO'!I$78="ja",tab!$C$50,tab!$C$43+'geg LO'!I91*tab!$C$53),0)</f>
        <v>0</v>
      </c>
      <c r="J156" s="533">
        <f>ROUND('geg LO'!J53*IF('geg LO'!J$78="ja",tab!$C$50,tab!$C$43+'geg LO'!J91*tab!$C$53),0)</f>
        <v>0</v>
      </c>
      <c r="K156" s="533">
        <f>ROUND('geg LO'!K53*IF('geg LO'!K$78="ja",tab!$C$50,tab!$C$43+'geg LO'!K91*tab!$C$53),0)</f>
        <v>0</v>
      </c>
      <c r="L156" s="533">
        <f>ROUND('geg LO'!L53*IF('geg LO'!L$78="ja",tab!$C$50,tab!$C$43+'geg LO'!L91*tab!$C$53),0)</f>
        <v>0</v>
      </c>
      <c r="M156" s="523"/>
      <c r="N156" s="530"/>
    </row>
    <row r="157" spans="2:14" x14ac:dyDescent="0.2">
      <c r="B157" s="528"/>
      <c r="C157" s="523"/>
      <c r="D157" s="519" t="s">
        <v>779</v>
      </c>
      <c r="E157" s="523"/>
      <c r="F157" s="533" t="e">
        <f>ROUND('geg LO'!F53*tab!#REF!*5/12+'geg LO'!G53*tab!$C$56*7/12,0)</f>
        <v>#REF!</v>
      </c>
      <c r="G157" s="533">
        <f>ROUND('geg LO'!G53*tab!$C$56*5/12+'geg LO'!H53*tab!$D$56*7/12,0)</f>
        <v>0</v>
      </c>
      <c r="H157" s="533">
        <f>ROUND(('geg LO'!H53*5/12+'geg LO'!I53*7/12)*tab!$D$56,0)</f>
        <v>0</v>
      </c>
      <c r="I157" s="533">
        <f>ROUND(('geg LO'!I53*5/12+'geg LO'!J53*7/12)*tab!$D$56,0)</f>
        <v>0</v>
      </c>
      <c r="J157" s="533">
        <f>ROUND(('geg LO'!J53*5/12+'geg LO'!K53*7/12)*tab!$D$56,0)</f>
        <v>0</v>
      </c>
      <c r="K157" s="533">
        <f>ROUND(('geg LO'!K53*5/12+'geg LO'!L53*7/12)*tab!$D$56,0)</f>
        <v>0</v>
      </c>
      <c r="L157" s="533">
        <f>ROUND(('geg LO'!L53)*tab!$D$56,0)</f>
        <v>0</v>
      </c>
      <c r="M157" s="523"/>
      <c r="N157" s="530"/>
    </row>
    <row r="158" spans="2:14" s="584" customFormat="1" x14ac:dyDescent="0.2">
      <c r="B158" s="591"/>
      <c r="C158" s="592"/>
      <c r="D158" s="586" t="s">
        <v>817</v>
      </c>
      <c r="E158" s="592"/>
      <c r="F158" s="590" t="e">
        <f>ROUND('geg LO'!F53*tab!#REF!,0)</f>
        <v>#REF!</v>
      </c>
      <c r="G158" s="590">
        <f>ROUND('geg LO'!G53*tab!C$56,0)</f>
        <v>0</v>
      </c>
      <c r="H158" s="590">
        <f>ROUND('geg LO'!H53*tab!$D$56,0)</f>
        <v>0</v>
      </c>
      <c r="I158" s="590">
        <f>ROUND('geg LO'!I53*tab!$D$56,0)</f>
        <v>0</v>
      </c>
      <c r="J158" s="590">
        <f>ROUND('geg LO'!J53*tab!$D$56,0)</f>
        <v>0</v>
      </c>
      <c r="K158" s="590">
        <f>ROUND('geg LO'!K53*tab!$D$56,0)</f>
        <v>0</v>
      </c>
      <c r="L158" s="590">
        <f>ROUND('geg LO'!L53*tab!$D$56,0)</f>
        <v>0</v>
      </c>
      <c r="M158" s="592"/>
      <c r="N158" s="593"/>
    </row>
    <row r="159" spans="2:14" x14ac:dyDescent="0.2">
      <c r="B159" s="528"/>
      <c r="C159" s="523"/>
      <c r="D159" s="532" t="s">
        <v>773</v>
      </c>
      <c r="E159" s="525"/>
      <c r="F159" s="534" t="e">
        <f>SUM(F156:F157)</f>
        <v>#REF!</v>
      </c>
      <c r="G159" s="534">
        <f t="shared" ref="G159:L159" si="28">SUM(G156:G157)</f>
        <v>0</v>
      </c>
      <c r="H159" s="534">
        <f t="shared" si="28"/>
        <v>0</v>
      </c>
      <c r="I159" s="534">
        <f t="shared" si="28"/>
        <v>0</v>
      </c>
      <c r="J159" s="534">
        <f t="shared" si="28"/>
        <v>0</v>
      </c>
      <c r="K159" s="534">
        <f t="shared" si="28"/>
        <v>0</v>
      </c>
      <c r="L159" s="534">
        <f t="shared" si="28"/>
        <v>0</v>
      </c>
      <c r="M159" s="523"/>
      <c r="N159" s="530"/>
    </row>
    <row r="160" spans="2:14" x14ac:dyDescent="0.2">
      <c r="B160" s="528"/>
      <c r="C160" s="523"/>
      <c r="D160" s="523"/>
      <c r="E160" s="523"/>
      <c r="F160" s="524"/>
      <c r="G160" s="524"/>
      <c r="H160" s="524"/>
      <c r="I160" s="524"/>
      <c r="J160" s="524"/>
      <c r="K160" s="524"/>
      <c r="L160" s="524"/>
      <c r="M160" s="523"/>
      <c r="N160" s="530"/>
    </row>
    <row r="161" spans="2:14" x14ac:dyDescent="0.2">
      <c r="B161" s="528"/>
      <c r="C161" s="523"/>
      <c r="D161" s="522" t="str">
        <f>+'geg LO'!D33</f>
        <v>Naam SBO 13</v>
      </c>
      <c r="E161" s="526"/>
      <c r="F161" s="527"/>
      <c r="G161" s="527"/>
      <c r="H161" s="527"/>
      <c r="I161" s="527"/>
      <c r="J161" s="527"/>
      <c r="K161" s="527"/>
      <c r="L161" s="527"/>
      <c r="M161" s="523"/>
      <c r="N161" s="530"/>
    </row>
    <row r="162" spans="2:14" x14ac:dyDescent="0.2">
      <c r="B162" s="528"/>
      <c r="C162" s="523"/>
      <c r="D162" s="476" t="s">
        <v>457</v>
      </c>
      <c r="E162" s="526"/>
      <c r="F162" s="533" t="e">
        <f>ROUND('geg LO'!F33*IF('geg LO'!F78="ja",tab!#REF!,tab!#REF!+'geg LO'!F92*tab!#REF!),0)</f>
        <v>#REF!</v>
      </c>
      <c r="G162" s="533">
        <f>ROUND('geg LO'!G33*IF('geg LO'!G78="ja",tab!$C$49,tab!$C$41+'geg LO'!G92*tab!$C$42),0)</f>
        <v>0</v>
      </c>
      <c r="H162" s="533">
        <f>ROUND('geg LO'!H33*IF('geg LO'!H78="ja",tab!$C$49,tab!$C$41+'geg LO'!H92*tab!$C$42),0)</f>
        <v>0</v>
      </c>
      <c r="I162" s="533">
        <f>ROUND('geg LO'!I33*IF('geg LO'!I78="ja",tab!$C$49,tab!$C$41+'geg LO'!I92*tab!$C$42),0)</f>
        <v>0</v>
      </c>
      <c r="J162" s="533">
        <f>ROUND('geg LO'!J33*IF('geg LO'!J78="ja",tab!$C$49,tab!$C$41+'geg LO'!J92*tab!$C$42),0)</f>
        <v>0</v>
      </c>
      <c r="K162" s="533">
        <f>ROUND('geg LO'!K33*IF('geg LO'!K78="ja",tab!$C$49,tab!$C$41+'geg LO'!K92*tab!$C$42),0)</f>
        <v>0</v>
      </c>
      <c r="L162" s="533">
        <f>ROUND('geg LO'!L33*IF('geg LO'!L78="ja",tab!$C$49,tab!$C$41+'geg LO'!L92*tab!$C$42),0)</f>
        <v>0</v>
      </c>
      <c r="M162" s="523"/>
      <c r="N162" s="530"/>
    </row>
    <row r="163" spans="2:14" x14ac:dyDescent="0.2">
      <c r="B163" s="528"/>
      <c r="C163" s="523"/>
      <c r="D163" s="476" t="s">
        <v>774</v>
      </c>
      <c r="E163" s="526"/>
      <c r="F163" s="533" t="e">
        <f>ROUND('geg LO'!F33*tab!#REF!,0)*5/12+ROUND('geg LO'!F33*tab!$C$55,0)*7/12</f>
        <v>#REF!</v>
      </c>
      <c r="G163" s="533">
        <f>ROUND('geg LO'!G33*tab!$C$55,0)*5/12+ROUND('geg LO'!G33*tab!$D$55,0)*7/12</f>
        <v>0</v>
      </c>
      <c r="H163" s="533">
        <f>ROUND('geg LO'!H33*tab!$C$55,0)*5/12+ROUND('geg LO'!H33*tab!$D$55,0)*7/12</f>
        <v>0</v>
      </c>
      <c r="I163" s="533">
        <f>ROUND('geg LO'!I33*tab!$C$55,0)*5/12+ROUND('geg LO'!I33*tab!$D$55,0)*7/12</f>
        <v>0</v>
      </c>
      <c r="J163" s="533">
        <f>ROUND('geg LO'!J33*tab!$C$55,0)*5/12+ROUND('geg LO'!J33*tab!$D$55,0)*7/12</f>
        <v>0</v>
      </c>
      <c r="K163" s="533">
        <f>ROUND('geg LO'!K33*tab!$C$55,0)*5/12+ROUND('geg LO'!K33*tab!$D$55,0)*7/12</f>
        <v>0</v>
      </c>
      <c r="L163" s="533">
        <f>ROUND('geg LO'!L33*tab!$C$55,0)*5/12+ROUND('geg LO'!L33*tab!$D$55,0)*7/12</f>
        <v>0</v>
      </c>
      <c r="M163" s="523"/>
      <c r="N163" s="530"/>
    </row>
    <row r="164" spans="2:14" s="584" customFormat="1" x14ac:dyDescent="0.2">
      <c r="B164" s="591"/>
      <c r="C164" s="592"/>
      <c r="D164" s="586" t="s">
        <v>816</v>
      </c>
      <c r="E164" s="586"/>
      <c r="F164" s="590" t="e">
        <f>ROUND('geg LO'!F33*tab!#REF!,2)</f>
        <v>#REF!</v>
      </c>
      <c r="G164" s="590">
        <f>ROUND('geg LO'!G33*tab!C$55,2)</f>
        <v>0</v>
      </c>
      <c r="H164" s="590">
        <f>ROUND('geg LO'!H33*tab!$D$55,2)</f>
        <v>0</v>
      </c>
      <c r="I164" s="590">
        <f>ROUND('geg LO'!I33*tab!$D$55,2)</f>
        <v>0</v>
      </c>
      <c r="J164" s="590">
        <f>ROUND('geg LO'!J33*tab!$D$55,2)</f>
        <v>0</v>
      </c>
      <c r="K164" s="590">
        <f>ROUND('geg LO'!K33*tab!$D$55,2)</f>
        <v>0</v>
      </c>
      <c r="L164" s="590">
        <f>ROUND('geg LO'!L33*tab!$D$55,2)</f>
        <v>0</v>
      </c>
      <c r="M164" s="592"/>
      <c r="N164" s="593"/>
    </row>
    <row r="165" spans="2:14" x14ac:dyDescent="0.2">
      <c r="B165" s="528"/>
      <c r="C165" s="523"/>
      <c r="D165" s="540" t="s">
        <v>775</v>
      </c>
      <c r="E165" s="526"/>
      <c r="F165" s="534" t="e">
        <f>SUM(F162:F163)</f>
        <v>#REF!</v>
      </c>
      <c r="G165" s="534">
        <f t="shared" ref="G165:L165" si="29">SUM(G162:G163)</f>
        <v>0</v>
      </c>
      <c r="H165" s="534">
        <f t="shared" si="29"/>
        <v>0</v>
      </c>
      <c r="I165" s="534">
        <f t="shared" si="29"/>
        <v>0</v>
      </c>
      <c r="J165" s="534">
        <f t="shared" si="29"/>
        <v>0</v>
      </c>
      <c r="K165" s="534">
        <f t="shared" si="29"/>
        <v>0</v>
      </c>
      <c r="L165" s="534">
        <f t="shared" si="29"/>
        <v>0</v>
      </c>
      <c r="M165" s="523"/>
      <c r="N165" s="530"/>
    </row>
    <row r="166" spans="2:14" x14ac:dyDescent="0.2">
      <c r="B166" s="528"/>
      <c r="C166" s="523"/>
      <c r="D166" s="522"/>
      <c r="E166" s="526"/>
      <c r="F166" s="527"/>
      <c r="G166" s="527"/>
      <c r="H166" s="527"/>
      <c r="I166" s="527"/>
      <c r="J166" s="527"/>
      <c r="K166" s="527"/>
      <c r="L166" s="527"/>
      <c r="M166" s="523"/>
      <c r="N166" s="530"/>
    </row>
    <row r="167" spans="2:14" x14ac:dyDescent="0.2">
      <c r="B167" s="528"/>
      <c r="C167" s="523"/>
      <c r="D167" s="520" t="s">
        <v>772</v>
      </c>
      <c r="E167" s="526"/>
      <c r="F167" s="533" t="e">
        <f>ROUND('geg LO'!F54*IF('geg LO'!F$78="ja",tab!#REF!,tab!#REF!+'geg LO'!F92*tab!#REF!),0)</f>
        <v>#REF!</v>
      </c>
      <c r="G167" s="533">
        <f>ROUND('geg LO'!G54*IF('geg LO'!G$78="ja",tab!$C$50,tab!$C$43+'geg LO'!G92*tab!$C$53),0)</f>
        <v>0</v>
      </c>
      <c r="H167" s="533">
        <f>ROUND('geg LO'!H54*IF('geg LO'!H$78="ja",tab!$C$50,tab!$C$43+'geg LO'!H92*tab!$C$53),0)</f>
        <v>0</v>
      </c>
      <c r="I167" s="533">
        <f>ROUND('geg LO'!I54*IF('geg LO'!I$78="ja",tab!$C$50,tab!$C$43+'geg LO'!I92*tab!$C$53),0)</f>
        <v>0</v>
      </c>
      <c r="J167" s="533">
        <f>ROUND('geg LO'!J54*IF('geg LO'!J$78="ja",tab!$C$50,tab!$C$43+'geg LO'!J92*tab!$C$53),0)</f>
        <v>0</v>
      </c>
      <c r="K167" s="533">
        <f>ROUND('geg LO'!K54*IF('geg LO'!K$78="ja",tab!$C$50,tab!$C$43+'geg LO'!K92*tab!$C$53),0)</f>
        <v>0</v>
      </c>
      <c r="L167" s="533">
        <f>ROUND('geg LO'!L54*IF('geg LO'!L$78="ja",tab!$C$50,tab!$C$43+'geg LO'!L92*tab!$C$53),0)</f>
        <v>0</v>
      </c>
      <c r="M167" s="523"/>
      <c r="N167" s="530"/>
    </row>
    <row r="168" spans="2:14" x14ac:dyDescent="0.2">
      <c r="B168" s="528"/>
      <c r="C168" s="523"/>
      <c r="D168" s="519" t="s">
        <v>779</v>
      </c>
      <c r="E168" s="523"/>
      <c r="F168" s="533" t="e">
        <f>ROUND('geg LO'!F54*tab!#REF!*5/12+'geg LO'!G54*tab!$C$56*7/12,0)</f>
        <v>#REF!</v>
      </c>
      <c r="G168" s="533">
        <f>ROUND('geg LO'!G54*tab!$C$56*5/12+'geg LO'!H54*tab!$D$56*7/12,0)</f>
        <v>0</v>
      </c>
      <c r="H168" s="533">
        <f>ROUND(('geg LO'!H54*5/12+'geg LO'!I54*7/12)*tab!$D$56,0)</f>
        <v>0</v>
      </c>
      <c r="I168" s="533">
        <f>ROUND(('geg LO'!I54*5/12+'geg LO'!J54*7/12)*tab!$D$56,0)</f>
        <v>0</v>
      </c>
      <c r="J168" s="533">
        <f>ROUND(('geg LO'!J54*5/12+'geg LO'!K54*7/12)*tab!$D$56,0)</f>
        <v>0</v>
      </c>
      <c r="K168" s="533">
        <f>ROUND(('geg LO'!K54*5/12+'geg LO'!L54*7/12)*tab!$D$56,0)</f>
        <v>0</v>
      </c>
      <c r="L168" s="533">
        <f>ROUND(('geg LO'!L54)*tab!$D$56,0)</f>
        <v>0</v>
      </c>
      <c r="M168" s="523"/>
      <c r="N168" s="530"/>
    </row>
    <row r="169" spans="2:14" s="584" customFormat="1" x14ac:dyDescent="0.2">
      <c r="B169" s="591"/>
      <c r="C169" s="592"/>
      <c r="D169" s="586" t="s">
        <v>817</v>
      </c>
      <c r="E169" s="592"/>
      <c r="F169" s="590" t="e">
        <f>ROUND('geg LO'!F54*tab!#REF!,0)</f>
        <v>#REF!</v>
      </c>
      <c r="G169" s="590">
        <f>ROUND('geg LO'!G54*tab!C$56,0)</f>
        <v>0</v>
      </c>
      <c r="H169" s="590">
        <f>ROUND('geg LO'!H54*tab!$D$56,0)</f>
        <v>0</v>
      </c>
      <c r="I169" s="590">
        <f>ROUND('geg LO'!I54*tab!$D$56,0)</f>
        <v>0</v>
      </c>
      <c r="J169" s="590">
        <f>ROUND('geg LO'!J54*tab!$D$56,0)</f>
        <v>0</v>
      </c>
      <c r="K169" s="590">
        <f>ROUND('geg LO'!K54*tab!$D$56,0)</f>
        <v>0</v>
      </c>
      <c r="L169" s="590">
        <f>ROUND('geg LO'!L54*tab!$D$56,0)</f>
        <v>0</v>
      </c>
      <c r="M169" s="592"/>
      <c r="N169" s="593"/>
    </row>
    <row r="170" spans="2:14" x14ac:dyDescent="0.2">
      <c r="B170" s="528"/>
      <c r="C170" s="523"/>
      <c r="D170" s="532" t="s">
        <v>773</v>
      </c>
      <c r="E170" s="525"/>
      <c r="F170" s="534" t="e">
        <f>SUM(F167:F168)</f>
        <v>#REF!</v>
      </c>
      <c r="G170" s="534">
        <f t="shared" ref="G170:L170" si="30">SUM(G167:G168)</f>
        <v>0</v>
      </c>
      <c r="H170" s="534">
        <f t="shared" si="30"/>
        <v>0</v>
      </c>
      <c r="I170" s="534">
        <f t="shared" si="30"/>
        <v>0</v>
      </c>
      <c r="J170" s="534">
        <f t="shared" si="30"/>
        <v>0</v>
      </c>
      <c r="K170" s="534">
        <f t="shared" si="30"/>
        <v>0</v>
      </c>
      <c r="L170" s="534">
        <f t="shared" si="30"/>
        <v>0</v>
      </c>
      <c r="M170" s="523"/>
      <c r="N170" s="530"/>
    </row>
    <row r="171" spans="2:14" x14ac:dyDescent="0.2">
      <c r="B171" s="528"/>
      <c r="C171" s="523"/>
      <c r="D171" s="523"/>
      <c r="E171" s="523"/>
      <c r="F171" s="524"/>
      <c r="G171" s="524"/>
      <c r="H171" s="524"/>
      <c r="I171" s="524"/>
      <c r="J171" s="524"/>
      <c r="K171" s="524"/>
      <c r="L171" s="524"/>
      <c r="M171" s="523"/>
      <c r="N171" s="530"/>
    </row>
    <row r="172" spans="2:14" x14ac:dyDescent="0.2">
      <c r="B172" s="528"/>
      <c r="C172" s="523"/>
      <c r="D172" s="522" t="str">
        <f>+'geg LO'!D34</f>
        <v>Naam SBO 14</v>
      </c>
      <c r="E172" s="526"/>
      <c r="F172" s="527"/>
      <c r="G172" s="527"/>
      <c r="H172" s="527"/>
      <c r="I172" s="527"/>
      <c r="J172" s="527"/>
      <c r="K172" s="527"/>
      <c r="L172" s="527"/>
      <c r="M172" s="523"/>
      <c r="N172" s="530"/>
    </row>
    <row r="173" spans="2:14" x14ac:dyDescent="0.2">
      <c r="B173" s="528"/>
      <c r="C173" s="523"/>
      <c r="D173" s="476" t="s">
        <v>457</v>
      </c>
      <c r="E173" s="526"/>
      <c r="F173" s="533" t="e">
        <f>ROUND('geg LO'!F34*IF('geg LO'!F78="ja",tab!#REF!,tab!#REF!+'geg LO'!F93*tab!#REF!),0)</f>
        <v>#REF!</v>
      </c>
      <c r="G173" s="533">
        <f>ROUND('geg LO'!G34*IF('geg LO'!G78="ja",tab!$C$49,tab!$C$41+'geg LO'!G93*tab!$C$42),0)</f>
        <v>0</v>
      </c>
      <c r="H173" s="533">
        <f>ROUND('geg LO'!H34*IF('geg LO'!H78="ja",tab!$C$49,tab!$C$41+'geg LO'!H93*tab!$C$42),0)</f>
        <v>0</v>
      </c>
      <c r="I173" s="533">
        <f>ROUND('geg LO'!I34*IF('geg LO'!I78="ja",tab!$C$49,tab!$C$41+'geg LO'!I93*tab!$C$42),0)</f>
        <v>0</v>
      </c>
      <c r="J173" s="533">
        <f>ROUND('geg LO'!J34*IF('geg LO'!J78="ja",tab!$C$49,tab!$C$41+'geg LO'!J93*tab!$C$42),0)</f>
        <v>0</v>
      </c>
      <c r="K173" s="533">
        <f>ROUND('geg LO'!K34*IF('geg LO'!K78="ja",tab!$C$49,tab!$C$41+'geg LO'!K93*tab!$C$42),0)</f>
        <v>0</v>
      </c>
      <c r="L173" s="533">
        <f>ROUND('geg LO'!L34*IF('geg LO'!L78="ja",tab!$C$49,tab!$C$41+'geg LO'!L93*tab!$C$42),0)</f>
        <v>0</v>
      </c>
      <c r="M173" s="523"/>
      <c r="N173" s="530"/>
    </row>
    <row r="174" spans="2:14" x14ac:dyDescent="0.2">
      <c r="B174" s="528"/>
      <c r="C174" s="523"/>
      <c r="D174" s="476" t="s">
        <v>774</v>
      </c>
      <c r="E174" s="526"/>
      <c r="F174" s="533" t="e">
        <f>ROUND('geg LO'!F34*tab!#REF!,0)*5/12+ROUND('geg LO'!F34*tab!$C$55,0)*7/12</f>
        <v>#REF!</v>
      </c>
      <c r="G174" s="533">
        <f>ROUND('geg LO'!G34*tab!$C$55,0)*5/12+ROUND('geg LO'!G34*tab!$D$55,0)*7/12</f>
        <v>0</v>
      </c>
      <c r="H174" s="533">
        <f>ROUND('geg LO'!H34*tab!$C$55,0)*5/12+ROUND('geg LO'!H34*tab!$D$55,0)*7/12</f>
        <v>0</v>
      </c>
      <c r="I174" s="533">
        <f>ROUND('geg LO'!I34*tab!$C$55,0)*5/12+ROUND('geg LO'!I34*tab!$D$55,0)*7/12</f>
        <v>0</v>
      </c>
      <c r="J174" s="533">
        <f>ROUND('geg LO'!J34*tab!$C$55,0)*5/12+ROUND('geg LO'!J34*tab!$D$55,0)*7/12</f>
        <v>0</v>
      </c>
      <c r="K174" s="533">
        <f>ROUND('geg LO'!K34*tab!$C$55,0)*5/12+ROUND('geg LO'!K34*tab!$D$55,0)*7/12</f>
        <v>0</v>
      </c>
      <c r="L174" s="533">
        <f>ROUND('geg LO'!L34*tab!$C$55,0)*5/12+ROUND('geg LO'!L34*tab!$D$55,0)*7/12</f>
        <v>0</v>
      </c>
      <c r="M174" s="523"/>
      <c r="N174" s="530"/>
    </row>
    <row r="175" spans="2:14" s="584" customFormat="1" x14ac:dyDescent="0.2">
      <c r="B175" s="591"/>
      <c r="C175" s="592"/>
      <c r="D175" s="586" t="s">
        <v>816</v>
      </c>
      <c r="E175" s="586"/>
      <c r="F175" s="590" t="e">
        <f>ROUND('geg LO'!F34*tab!#REF!,2)</f>
        <v>#REF!</v>
      </c>
      <c r="G175" s="590">
        <f>ROUND('geg LO'!G34*tab!C$55,2)</f>
        <v>0</v>
      </c>
      <c r="H175" s="590">
        <f>ROUND('geg LO'!H34*tab!$D$55,2)</f>
        <v>0</v>
      </c>
      <c r="I175" s="590">
        <f>ROUND('geg LO'!I34*tab!$D$55,2)</f>
        <v>0</v>
      </c>
      <c r="J175" s="590">
        <f>ROUND('geg LO'!J34*tab!$D$55,2)</f>
        <v>0</v>
      </c>
      <c r="K175" s="590">
        <f>ROUND('geg LO'!K34*tab!$D$55,2)</f>
        <v>0</v>
      </c>
      <c r="L175" s="590">
        <f>ROUND('geg LO'!L34*tab!$D$55,2)</f>
        <v>0</v>
      </c>
      <c r="M175" s="592"/>
      <c r="N175" s="593"/>
    </row>
    <row r="176" spans="2:14" x14ac:dyDescent="0.2">
      <c r="B176" s="528"/>
      <c r="C176" s="523"/>
      <c r="D176" s="540" t="s">
        <v>775</v>
      </c>
      <c r="E176" s="526"/>
      <c r="F176" s="534" t="e">
        <f>SUM(F173:F174)</f>
        <v>#REF!</v>
      </c>
      <c r="G176" s="534">
        <f t="shared" ref="G176:L176" si="31">SUM(G173:G174)</f>
        <v>0</v>
      </c>
      <c r="H176" s="534">
        <f t="shared" si="31"/>
        <v>0</v>
      </c>
      <c r="I176" s="534">
        <f t="shared" si="31"/>
        <v>0</v>
      </c>
      <c r="J176" s="534">
        <f t="shared" si="31"/>
        <v>0</v>
      </c>
      <c r="K176" s="534">
        <f t="shared" si="31"/>
        <v>0</v>
      </c>
      <c r="L176" s="534">
        <f t="shared" si="31"/>
        <v>0</v>
      </c>
      <c r="M176" s="523"/>
      <c r="N176" s="530"/>
    </row>
    <row r="177" spans="2:14" x14ac:dyDescent="0.2">
      <c r="B177" s="528"/>
      <c r="C177" s="523"/>
      <c r="D177" s="522"/>
      <c r="E177" s="526"/>
      <c r="F177" s="527"/>
      <c r="G177" s="527"/>
      <c r="H177" s="527"/>
      <c r="I177" s="527"/>
      <c r="J177" s="527"/>
      <c r="K177" s="527"/>
      <c r="L177" s="527"/>
      <c r="M177" s="523"/>
      <c r="N177" s="530"/>
    </row>
    <row r="178" spans="2:14" x14ac:dyDescent="0.2">
      <c r="B178" s="528"/>
      <c r="C178" s="523"/>
      <c r="D178" s="520" t="s">
        <v>772</v>
      </c>
      <c r="E178" s="526"/>
      <c r="F178" s="533" t="e">
        <f>ROUND('geg LO'!F55*IF('geg LO'!F$78="ja",tab!#REF!,tab!#REF!+'geg LO'!F93*tab!$C152),0)</f>
        <v>#REF!</v>
      </c>
      <c r="G178" s="533">
        <f>ROUND('geg LO'!G55*IF('geg LO'!G$78="ja",tab!$C$50,tab!$C$43+'geg LO'!G93*tab!$C$53),0)</f>
        <v>0</v>
      </c>
      <c r="H178" s="533">
        <f>ROUND('geg LO'!H55*IF('geg LO'!H$78="ja",tab!$C$50,tab!$C$43+'geg LO'!H93*tab!$C$53),0)</f>
        <v>0</v>
      </c>
      <c r="I178" s="533">
        <f>ROUND('geg LO'!I55*IF('geg LO'!I$78="ja",tab!$C$50,tab!$C$43+'geg LO'!I93*tab!$C$53),0)</f>
        <v>0</v>
      </c>
      <c r="J178" s="533">
        <f>ROUND('geg LO'!J55*IF('geg LO'!J$78="ja",tab!$C$50,tab!$C$43+'geg LO'!J93*tab!$C$53),0)</f>
        <v>0</v>
      </c>
      <c r="K178" s="533">
        <f>ROUND('geg LO'!K55*IF('geg LO'!K$78="ja",tab!$C$50,tab!$C$43+'geg LO'!K93*tab!$C$53),0)</f>
        <v>0</v>
      </c>
      <c r="L178" s="533">
        <f>ROUND('geg LO'!L55*IF('geg LO'!L$78="ja",tab!$C$50,tab!$C$43+'geg LO'!L93*tab!$C$53),0)</f>
        <v>0</v>
      </c>
      <c r="M178" s="523"/>
      <c r="N178" s="530"/>
    </row>
    <row r="179" spans="2:14" x14ac:dyDescent="0.2">
      <c r="B179" s="528"/>
      <c r="C179" s="523"/>
      <c r="D179" s="519" t="s">
        <v>779</v>
      </c>
      <c r="E179" s="523"/>
      <c r="F179" s="533" t="e">
        <f>ROUND('geg LO'!F55*tab!#REF!*5/12+'geg LO'!G55*tab!$C$56*7/12,0)</f>
        <v>#REF!</v>
      </c>
      <c r="G179" s="533">
        <f>ROUND('geg LO'!G55*tab!$C$56*5/12+'geg LO'!H55*tab!$D$56*7/12,0)</f>
        <v>0</v>
      </c>
      <c r="H179" s="533">
        <f>ROUND(('geg LO'!H55*5/12+'geg LO'!I55*7/12)*tab!$D$56,0)</f>
        <v>0</v>
      </c>
      <c r="I179" s="533">
        <f>ROUND(('geg LO'!I55*5/12+'geg LO'!J55*7/12)*tab!$D$56,0)</f>
        <v>0</v>
      </c>
      <c r="J179" s="533">
        <f>ROUND(('geg LO'!J55*5/12+'geg LO'!K55*7/12)*tab!$D$56,0)</f>
        <v>0</v>
      </c>
      <c r="K179" s="533">
        <f>ROUND(('geg LO'!K55*5/12+'geg LO'!L55*7/12)*tab!$D$56,0)</f>
        <v>0</v>
      </c>
      <c r="L179" s="533">
        <f>ROUND(('geg LO'!L55)*tab!$D$56,0)</f>
        <v>0</v>
      </c>
      <c r="M179" s="523"/>
      <c r="N179" s="530"/>
    </row>
    <row r="180" spans="2:14" s="584" customFormat="1" x14ac:dyDescent="0.2">
      <c r="B180" s="591"/>
      <c r="C180" s="592"/>
      <c r="D180" s="586" t="s">
        <v>817</v>
      </c>
      <c r="E180" s="592"/>
      <c r="F180" s="590" t="e">
        <f>ROUND('geg LO'!F55*tab!#REF!,0)</f>
        <v>#REF!</v>
      </c>
      <c r="G180" s="590">
        <f>ROUND('geg LO'!G55*tab!C$56,0)</f>
        <v>0</v>
      </c>
      <c r="H180" s="590">
        <f>ROUND('geg LO'!H55*tab!$D$56,0)</f>
        <v>0</v>
      </c>
      <c r="I180" s="590">
        <f>ROUND('geg LO'!I55*tab!$D$56,0)</f>
        <v>0</v>
      </c>
      <c r="J180" s="590">
        <f>ROUND('geg LO'!J55*tab!$D$56,0)</f>
        <v>0</v>
      </c>
      <c r="K180" s="590">
        <f>ROUND('geg LO'!K55*tab!$D$56,0)</f>
        <v>0</v>
      </c>
      <c r="L180" s="590">
        <f>ROUND('geg LO'!L55*tab!$D$56,0)</f>
        <v>0</v>
      </c>
      <c r="M180" s="592"/>
      <c r="N180" s="593"/>
    </row>
    <row r="181" spans="2:14" x14ac:dyDescent="0.2">
      <c r="B181" s="528"/>
      <c r="C181" s="523"/>
      <c r="D181" s="532" t="s">
        <v>773</v>
      </c>
      <c r="E181" s="525"/>
      <c r="F181" s="534" t="e">
        <f>SUM(F178:F179)</f>
        <v>#REF!</v>
      </c>
      <c r="G181" s="534">
        <f t="shared" ref="G181:L181" si="32">SUM(G178:G179)</f>
        <v>0</v>
      </c>
      <c r="H181" s="534">
        <f t="shared" si="32"/>
        <v>0</v>
      </c>
      <c r="I181" s="534">
        <f t="shared" si="32"/>
        <v>0</v>
      </c>
      <c r="J181" s="534">
        <f t="shared" si="32"/>
        <v>0</v>
      </c>
      <c r="K181" s="534">
        <f t="shared" si="32"/>
        <v>0</v>
      </c>
      <c r="L181" s="534">
        <f t="shared" si="32"/>
        <v>0</v>
      </c>
      <c r="M181" s="523"/>
      <c r="N181" s="530"/>
    </row>
    <row r="182" spans="2:14" x14ac:dyDescent="0.2">
      <c r="B182" s="528"/>
      <c r="C182" s="523"/>
      <c r="D182" s="523"/>
      <c r="E182" s="523"/>
      <c r="F182" s="524"/>
      <c r="G182" s="524"/>
      <c r="H182" s="524"/>
      <c r="I182" s="524"/>
      <c r="J182" s="524"/>
      <c r="K182" s="524"/>
      <c r="L182" s="524"/>
      <c r="M182" s="523"/>
      <c r="N182" s="530"/>
    </row>
    <row r="183" spans="2:14" x14ac:dyDescent="0.2">
      <c r="B183" s="528"/>
      <c r="C183" s="523"/>
      <c r="D183" s="522" t="str">
        <f>+'geg LO'!D35</f>
        <v>Naam SBO 15</v>
      </c>
      <c r="E183" s="526"/>
      <c r="F183" s="527"/>
      <c r="G183" s="527"/>
      <c r="H183" s="527"/>
      <c r="I183" s="527"/>
      <c r="J183" s="527"/>
      <c r="K183" s="527"/>
      <c r="L183" s="527"/>
      <c r="M183" s="523"/>
      <c r="N183" s="530"/>
    </row>
    <row r="184" spans="2:14" x14ac:dyDescent="0.2">
      <c r="B184" s="528"/>
      <c r="C184" s="523"/>
      <c r="D184" s="476" t="s">
        <v>457</v>
      </c>
      <c r="E184" s="526"/>
      <c r="F184" s="533" t="e">
        <f>ROUND('geg LO'!F35*IF('geg LO'!F78="ja",tab!#REF!,tab!#REF!+'geg LO'!F94*tab!#REF!),0)</f>
        <v>#REF!</v>
      </c>
      <c r="G184" s="533">
        <f>ROUND('geg LO'!G35*IF('geg LO'!G78="ja",tab!$C$49,tab!$C$41+'geg LO'!G94*tab!$C$42),0)</f>
        <v>0</v>
      </c>
      <c r="H184" s="533">
        <f>ROUND('geg LO'!H35*IF('geg LO'!H78="ja",tab!$C$49,tab!$C$41+'geg LO'!H94*tab!$C$42),0)</f>
        <v>0</v>
      </c>
      <c r="I184" s="533">
        <f>ROUND('geg LO'!I35*IF('geg LO'!I78="ja",tab!$C$49,tab!$C$41+'geg LO'!I94*tab!$C$42),0)</f>
        <v>0</v>
      </c>
      <c r="J184" s="533">
        <f>ROUND('geg LO'!J35*IF('geg LO'!J78="ja",tab!$C$49,tab!$C$41+'geg LO'!J94*tab!$C$42),0)</f>
        <v>0</v>
      </c>
      <c r="K184" s="533">
        <f>ROUND('geg LO'!K35*IF('geg LO'!K78="ja",tab!$C$49,tab!$C$41+'geg LO'!K94*tab!$C$42),0)</f>
        <v>0</v>
      </c>
      <c r="L184" s="533">
        <f>ROUND('geg LO'!L35*IF('geg LO'!L78="ja",tab!$C$49,tab!$C$41+'geg LO'!L94*tab!$C$42),0)</f>
        <v>0</v>
      </c>
      <c r="M184" s="523"/>
      <c r="N184" s="530"/>
    </row>
    <row r="185" spans="2:14" x14ac:dyDescent="0.2">
      <c r="B185" s="528"/>
      <c r="C185" s="523"/>
      <c r="D185" s="476" t="s">
        <v>774</v>
      </c>
      <c r="E185" s="526"/>
      <c r="F185" s="533" t="e">
        <f>ROUND('geg LO'!F35*tab!#REF!,0)*5/12+ROUND('geg LO'!F35*tab!$C$55,0)*7/12</f>
        <v>#REF!</v>
      </c>
      <c r="G185" s="533">
        <f>ROUND('geg LO'!G35*tab!$C$55,0)*5/12+ROUND('geg LO'!G35*tab!$D$55,0)*7/12</f>
        <v>0</v>
      </c>
      <c r="H185" s="533">
        <f>ROUND('geg LO'!H35*tab!$C$55,0)*5/12+ROUND('geg LO'!H35*tab!$D$55,0)*7/12</f>
        <v>0</v>
      </c>
      <c r="I185" s="533">
        <f>ROUND('geg LO'!I35*tab!$C$55,0)*5/12+ROUND('geg LO'!I35*tab!$D$55,0)*7/12</f>
        <v>0</v>
      </c>
      <c r="J185" s="533">
        <f>ROUND('geg LO'!J35*tab!$C$55,0)*5/12+ROUND('geg LO'!J35*tab!$D$55,0)*7/12</f>
        <v>0</v>
      </c>
      <c r="K185" s="533">
        <f>ROUND('geg LO'!K35*tab!$C$55,0)*5/12+ROUND('geg LO'!K35*tab!$D$55,0)*7/12</f>
        <v>0</v>
      </c>
      <c r="L185" s="533">
        <f>ROUND('geg LO'!L35*tab!$C$55,0)*5/12+ROUND('geg LO'!L35*tab!$D$55,0)*7/12</f>
        <v>0</v>
      </c>
      <c r="M185" s="523"/>
      <c r="N185" s="530"/>
    </row>
    <row r="186" spans="2:14" s="584" customFormat="1" x14ac:dyDescent="0.2">
      <c r="B186" s="591"/>
      <c r="C186" s="592"/>
      <c r="D186" s="586" t="s">
        <v>816</v>
      </c>
      <c r="E186" s="586"/>
      <c r="F186" s="590" t="e">
        <f>ROUND('geg LO'!F35*tab!#REF!,2)</f>
        <v>#REF!</v>
      </c>
      <c r="G186" s="590">
        <f>ROUND('geg LO'!G35*tab!C$55,2)</f>
        <v>0</v>
      </c>
      <c r="H186" s="590">
        <f>ROUND('geg LO'!H35*tab!$D$55,2)</f>
        <v>0</v>
      </c>
      <c r="I186" s="590">
        <f>ROUND('geg LO'!I35*tab!$D$55,2)</f>
        <v>0</v>
      </c>
      <c r="J186" s="590">
        <f>ROUND('geg LO'!J35*tab!$D$55,2)</f>
        <v>0</v>
      </c>
      <c r="K186" s="590">
        <f>ROUND('geg LO'!K35*tab!$D$55,2)</f>
        <v>0</v>
      </c>
      <c r="L186" s="590">
        <f>ROUND('geg LO'!L35*tab!$D$55,2)</f>
        <v>0</v>
      </c>
      <c r="M186" s="592"/>
      <c r="N186" s="593"/>
    </row>
    <row r="187" spans="2:14" x14ac:dyDescent="0.2">
      <c r="B187" s="528"/>
      <c r="C187" s="523"/>
      <c r="D187" s="540" t="s">
        <v>775</v>
      </c>
      <c r="E187" s="526"/>
      <c r="F187" s="534" t="e">
        <f>SUM(F184:F185)</f>
        <v>#REF!</v>
      </c>
      <c r="G187" s="534">
        <f t="shared" ref="G187:L187" si="33">SUM(G184:G185)</f>
        <v>0</v>
      </c>
      <c r="H187" s="534">
        <f t="shared" si="33"/>
        <v>0</v>
      </c>
      <c r="I187" s="534">
        <f t="shared" si="33"/>
        <v>0</v>
      </c>
      <c r="J187" s="534">
        <f t="shared" si="33"/>
        <v>0</v>
      </c>
      <c r="K187" s="534">
        <f t="shared" si="33"/>
        <v>0</v>
      </c>
      <c r="L187" s="534">
        <f t="shared" si="33"/>
        <v>0</v>
      </c>
      <c r="M187" s="523"/>
      <c r="N187" s="530"/>
    </row>
    <row r="188" spans="2:14" x14ac:dyDescent="0.2">
      <c r="B188" s="528"/>
      <c r="C188" s="523"/>
      <c r="D188" s="522"/>
      <c r="E188" s="526"/>
      <c r="F188" s="527"/>
      <c r="G188" s="527"/>
      <c r="H188" s="527"/>
      <c r="I188" s="527"/>
      <c r="J188" s="527"/>
      <c r="K188" s="527"/>
      <c r="L188" s="527"/>
      <c r="M188" s="523"/>
      <c r="N188" s="530"/>
    </row>
    <row r="189" spans="2:14" x14ac:dyDescent="0.2">
      <c r="B189" s="528"/>
      <c r="C189" s="523"/>
      <c r="D189" s="520" t="s">
        <v>772</v>
      </c>
      <c r="E189" s="526"/>
      <c r="F189" s="533" t="e">
        <f>ROUND('geg LO'!F56*IF('geg LO'!F$78="ja",tab!#REF!,tab!#REF!+'geg LO'!F94*tab!$C161),0)</f>
        <v>#REF!</v>
      </c>
      <c r="G189" s="533">
        <f>ROUND('geg LO'!G56*IF('geg LO'!G$78="ja",tab!$C$50,tab!$C$43+'geg LO'!G94*tab!$C$53),0)</f>
        <v>0</v>
      </c>
      <c r="H189" s="533">
        <f>ROUND('geg LO'!H56*IF('geg LO'!H$78="ja",tab!$C$50,tab!$C$43+'geg LO'!H94*tab!$C$53),0)</f>
        <v>0</v>
      </c>
      <c r="I189" s="533">
        <f>ROUND('geg LO'!I56*IF('geg LO'!I$78="ja",tab!$C$50,tab!$C$43+'geg LO'!I94*tab!$C$53),0)</f>
        <v>0</v>
      </c>
      <c r="J189" s="533">
        <f>ROUND('geg LO'!J56*IF('geg LO'!J$78="ja",tab!$C$50,tab!$C$43+'geg LO'!J94*tab!$C$53),0)</f>
        <v>0</v>
      </c>
      <c r="K189" s="533">
        <f>ROUND('geg LO'!K56*IF('geg LO'!K$78="ja",tab!$C$50,tab!$C$43+'geg LO'!K94*tab!$C$53),0)</f>
        <v>0</v>
      </c>
      <c r="L189" s="533">
        <f>ROUND('geg LO'!L56*IF('geg LO'!L$78="ja",tab!$C$50,tab!$C$43+'geg LO'!L94*tab!$C$53),0)</f>
        <v>0</v>
      </c>
      <c r="M189" s="523"/>
      <c r="N189" s="530"/>
    </row>
    <row r="190" spans="2:14" x14ac:dyDescent="0.2">
      <c r="B190" s="528"/>
      <c r="C190" s="523"/>
      <c r="D190" s="519" t="s">
        <v>779</v>
      </c>
      <c r="E190" s="523"/>
      <c r="F190" s="533" t="e">
        <f>ROUND('geg LO'!F56*tab!#REF!*5/12+'geg LO'!G56*tab!$C$56*7/12,0)</f>
        <v>#REF!</v>
      </c>
      <c r="G190" s="533">
        <f>ROUND('geg LO'!G56*tab!$C$56*5/12+'geg LO'!H56*tab!$D$56*7/12,0)</f>
        <v>0</v>
      </c>
      <c r="H190" s="533">
        <f>ROUND(('geg LO'!H56*5/12+'geg LO'!I56*7/12)*tab!$D$56,0)</f>
        <v>0</v>
      </c>
      <c r="I190" s="533">
        <f>ROUND(('geg LO'!I56*5/12+'geg LO'!J56*7/12)*tab!$D$56,0)</f>
        <v>0</v>
      </c>
      <c r="J190" s="533">
        <f>ROUND(('geg LO'!J56*5/12+'geg LO'!K56*7/12)*tab!$D$56,0)</f>
        <v>0</v>
      </c>
      <c r="K190" s="533">
        <f>ROUND(('geg LO'!K56*5/12+'geg LO'!L56*7/12)*tab!$D$56,0)</f>
        <v>0</v>
      </c>
      <c r="L190" s="533">
        <f>ROUND(('geg LO'!L56)*tab!$D$56,0)</f>
        <v>0</v>
      </c>
      <c r="M190" s="523"/>
      <c r="N190" s="530"/>
    </row>
    <row r="191" spans="2:14" s="584" customFormat="1" x14ac:dyDescent="0.2">
      <c r="B191" s="591"/>
      <c r="C191" s="592"/>
      <c r="D191" s="586" t="s">
        <v>817</v>
      </c>
      <c r="E191" s="592"/>
      <c r="F191" s="590" t="e">
        <f>ROUND('geg LO'!F56*tab!#REF!,0)</f>
        <v>#REF!</v>
      </c>
      <c r="G191" s="590">
        <f>ROUND('geg LO'!G56*tab!C$56,0)</f>
        <v>0</v>
      </c>
      <c r="H191" s="590">
        <f>ROUND('geg LO'!H56*tab!$D$56,0)</f>
        <v>0</v>
      </c>
      <c r="I191" s="590">
        <f>ROUND('geg LO'!I56*tab!$D$56,0)</f>
        <v>0</v>
      </c>
      <c r="J191" s="590">
        <f>ROUND('geg LO'!J56*tab!$D$56,0)</f>
        <v>0</v>
      </c>
      <c r="K191" s="590">
        <f>ROUND('geg LO'!K56*tab!$D$56,0)</f>
        <v>0</v>
      </c>
      <c r="L191" s="590">
        <f>ROUND('geg LO'!L56*tab!$D$56,0)</f>
        <v>0</v>
      </c>
      <c r="M191" s="592"/>
      <c r="N191" s="593"/>
    </row>
    <row r="192" spans="2:14" x14ac:dyDescent="0.2">
      <c r="B192" s="528"/>
      <c r="C192" s="523"/>
      <c r="D192" s="532" t="s">
        <v>773</v>
      </c>
      <c r="E192" s="525"/>
      <c r="F192" s="534" t="e">
        <f>SUM(F189:F190)</f>
        <v>#REF!</v>
      </c>
      <c r="G192" s="534">
        <f t="shared" ref="G192:L192" si="34">SUM(G189:G190)</f>
        <v>0</v>
      </c>
      <c r="H192" s="534">
        <f t="shared" si="34"/>
        <v>0</v>
      </c>
      <c r="I192" s="534">
        <f t="shared" si="34"/>
        <v>0</v>
      </c>
      <c r="J192" s="534">
        <f t="shared" si="34"/>
        <v>0</v>
      </c>
      <c r="K192" s="534">
        <f t="shared" si="34"/>
        <v>0</v>
      </c>
      <c r="L192" s="534">
        <f t="shared" si="34"/>
        <v>0</v>
      </c>
      <c r="M192" s="523"/>
      <c r="N192" s="530"/>
    </row>
    <row r="193" spans="1:15" x14ac:dyDescent="0.2">
      <c r="B193" s="547"/>
      <c r="C193" s="545"/>
      <c r="D193" s="545"/>
      <c r="E193" s="545"/>
      <c r="F193" s="546"/>
      <c r="G193" s="546"/>
      <c r="H193" s="546"/>
      <c r="I193" s="546"/>
      <c r="J193" s="546"/>
      <c r="K193" s="546"/>
      <c r="L193" s="546"/>
      <c r="M193" s="545"/>
      <c r="N193" s="548"/>
    </row>
    <row r="194" spans="1:15" x14ac:dyDescent="0.2">
      <c r="B194" s="551"/>
      <c r="C194" s="551"/>
      <c r="D194" s="552" t="s">
        <v>781</v>
      </c>
      <c r="E194" s="553"/>
      <c r="F194" s="554"/>
      <c r="G194" s="554"/>
      <c r="H194" s="554"/>
      <c r="I194" s="554"/>
      <c r="J194" s="554"/>
      <c r="K194" s="554"/>
      <c r="L194" s="554"/>
      <c r="M194" s="551"/>
      <c r="N194" s="551"/>
    </row>
    <row r="195" spans="1:15" x14ac:dyDescent="0.2">
      <c r="B195" s="399"/>
      <c r="C195" s="399"/>
      <c r="D195" s="555" t="s">
        <v>457</v>
      </c>
      <c r="E195" s="555"/>
      <c r="F195" s="556" t="e">
        <f>+F26+F37+F48+F59+F70+F81+F92+F103+F114+F129+F140+F151+F162+F173+F184</f>
        <v>#REF!</v>
      </c>
      <c r="G195" s="556">
        <f t="shared" ref="G195:L195" si="35">+G26+G37+G48+G59+G70+G81+G92+G103+G114+G129+G140+G151+G162+G173+G184</f>
        <v>0</v>
      </c>
      <c r="H195" s="556">
        <f t="shared" si="35"/>
        <v>0</v>
      </c>
      <c r="I195" s="556">
        <f t="shared" si="35"/>
        <v>0</v>
      </c>
      <c r="J195" s="556">
        <f t="shared" si="35"/>
        <v>0</v>
      </c>
      <c r="K195" s="556">
        <f t="shared" si="35"/>
        <v>0</v>
      </c>
      <c r="L195" s="556">
        <f t="shared" si="35"/>
        <v>0</v>
      </c>
      <c r="M195" s="399"/>
      <c r="N195" s="399"/>
    </row>
    <row r="196" spans="1:15" x14ac:dyDescent="0.2">
      <c r="B196" s="399"/>
      <c r="C196" s="399"/>
      <c r="D196" s="555" t="s">
        <v>774</v>
      </c>
      <c r="E196" s="555"/>
      <c r="F196" s="556" t="e">
        <f>+F27+F38+F49+F60+F71+F82+F93+F104+F115+F130+F141+F152+F163+F174+F185</f>
        <v>#REF!</v>
      </c>
      <c r="G196" s="556">
        <f t="shared" ref="G196:L197" si="36">+G27+G38+G49+G60+G71+G82+G93+G104+G115+G130+G141+G152+G163+G174+G185</f>
        <v>0</v>
      </c>
      <c r="H196" s="556">
        <f t="shared" si="36"/>
        <v>0</v>
      </c>
      <c r="I196" s="556">
        <f t="shared" si="36"/>
        <v>0</v>
      </c>
      <c r="J196" s="556">
        <f t="shared" si="36"/>
        <v>0</v>
      </c>
      <c r="K196" s="556">
        <f t="shared" si="36"/>
        <v>0</v>
      </c>
      <c r="L196" s="556">
        <f t="shared" si="36"/>
        <v>0</v>
      </c>
      <c r="M196" s="399"/>
      <c r="N196" s="399"/>
    </row>
    <row r="197" spans="1:15" s="584" customFormat="1" x14ac:dyDescent="0.2">
      <c r="B197" s="594"/>
      <c r="C197" s="594"/>
      <c r="D197" s="594" t="s">
        <v>816</v>
      </c>
      <c r="E197" s="594"/>
      <c r="F197" s="595" t="e">
        <f>+F28+F39+F50+F61+F72+F83+F94+F105+F116+F131+F142+F153+F164+F175+F186</f>
        <v>#REF!</v>
      </c>
      <c r="G197" s="595">
        <f t="shared" si="36"/>
        <v>0</v>
      </c>
      <c r="H197" s="595">
        <f t="shared" si="36"/>
        <v>0</v>
      </c>
      <c r="I197" s="595">
        <f t="shared" si="36"/>
        <v>0</v>
      </c>
      <c r="J197" s="595">
        <f t="shared" si="36"/>
        <v>0</v>
      </c>
      <c r="K197" s="595">
        <f t="shared" si="36"/>
        <v>0</v>
      </c>
      <c r="L197" s="595">
        <f t="shared" si="36"/>
        <v>0</v>
      </c>
      <c r="M197" s="594"/>
      <c r="N197" s="594"/>
    </row>
    <row r="198" spans="1:15" x14ac:dyDescent="0.2">
      <c r="B198" s="399"/>
      <c r="C198" s="399"/>
      <c r="D198" s="557" t="s">
        <v>775</v>
      </c>
      <c r="E198" s="555"/>
      <c r="F198" s="558" t="e">
        <f>SUM(F195:F196)</f>
        <v>#REF!</v>
      </c>
      <c r="G198" s="558">
        <f t="shared" ref="G198:L198" si="37">SUM(G195:G196)</f>
        <v>0</v>
      </c>
      <c r="H198" s="558">
        <f t="shared" si="37"/>
        <v>0</v>
      </c>
      <c r="I198" s="558">
        <f t="shared" si="37"/>
        <v>0</v>
      </c>
      <c r="J198" s="558">
        <f t="shared" si="37"/>
        <v>0</v>
      </c>
      <c r="K198" s="558">
        <f t="shared" si="37"/>
        <v>0</v>
      </c>
      <c r="L198" s="558">
        <f t="shared" si="37"/>
        <v>0</v>
      </c>
      <c r="M198" s="399"/>
      <c r="N198" s="399"/>
    </row>
    <row r="199" spans="1:15" x14ac:dyDescent="0.2">
      <c r="B199" s="399"/>
      <c r="C199" s="399"/>
      <c r="D199" s="557"/>
      <c r="E199" s="555"/>
      <c r="F199" s="559"/>
      <c r="G199" s="559"/>
      <c r="H199" s="559"/>
      <c r="I199" s="559"/>
      <c r="J199" s="559"/>
      <c r="K199" s="559"/>
      <c r="L199" s="559"/>
      <c r="M199" s="399"/>
      <c r="N199" s="399"/>
    </row>
    <row r="200" spans="1:15" x14ac:dyDescent="0.2">
      <c r="B200" s="399"/>
      <c r="C200" s="399"/>
      <c r="D200" s="560" t="s">
        <v>772</v>
      </c>
      <c r="E200" s="555"/>
      <c r="F200" s="556" t="e">
        <f>+F31+F42+F53+F64+F75+F86+F97+F108+F119+F134+F145+F156+F167+F178+F189</f>
        <v>#REF!</v>
      </c>
      <c r="G200" s="556">
        <f t="shared" ref="G200:L200" si="38">+G31+G42+G53+G64+G75+G86+G97+G108+G119+G134+G145+G156+G167+G178+G189</f>
        <v>0</v>
      </c>
      <c r="H200" s="556">
        <f t="shared" si="38"/>
        <v>0</v>
      </c>
      <c r="I200" s="556">
        <f t="shared" si="38"/>
        <v>0</v>
      </c>
      <c r="J200" s="556">
        <f t="shared" si="38"/>
        <v>0</v>
      </c>
      <c r="K200" s="556">
        <f t="shared" si="38"/>
        <v>0</v>
      </c>
      <c r="L200" s="556">
        <f t="shared" si="38"/>
        <v>0</v>
      </c>
      <c r="M200" s="399"/>
      <c r="N200" s="399"/>
    </row>
    <row r="201" spans="1:15" x14ac:dyDescent="0.2">
      <c r="B201" s="399"/>
      <c r="C201" s="399"/>
      <c r="D201" s="560" t="s">
        <v>779</v>
      </c>
      <c r="E201" s="555"/>
      <c r="F201" s="556" t="e">
        <f>+F32+F43+F54+F65+F76+F87+F98+F109+F120+F135+F146+F157+F168+F179+F190</f>
        <v>#REF!</v>
      </c>
      <c r="G201" s="556">
        <f t="shared" ref="G201:L202" si="39">+G32+G43+G54+G65+G76+G87+G98+G109+G120+G135+G146+G157+G168+G179+G190</f>
        <v>0</v>
      </c>
      <c r="H201" s="556">
        <f t="shared" si="39"/>
        <v>0</v>
      </c>
      <c r="I201" s="556">
        <f t="shared" si="39"/>
        <v>0</v>
      </c>
      <c r="J201" s="556">
        <f t="shared" si="39"/>
        <v>0</v>
      </c>
      <c r="K201" s="556">
        <f t="shared" si="39"/>
        <v>0</v>
      </c>
      <c r="L201" s="556">
        <f t="shared" si="39"/>
        <v>0</v>
      </c>
      <c r="M201" s="399"/>
      <c r="N201" s="399"/>
    </row>
    <row r="202" spans="1:15" s="584" customFormat="1" x14ac:dyDescent="0.2">
      <c r="B202" s="594"/>
      <c r="C202" s="594"/>
      <c r="D202" s="594" t="s">
        <v>817</v>
      </c>
      <c r="E202" s="594"/>
      <c r="F202" s="595" t="e">
        <f>+F33+F44+F55+F66+F77+F88+F99+F110+F121+F136+F147+F158+F169+F180+F191</f>
        <v>#REF!</v>
      </c>
      <c r="G202" s="595">
        <f t="shared" si="39"/>
        <v>0</v>
      </c>
      <c r="H202" s="595">
        <f t="shared" si="39"/>
        <v>0</v>
      </c>
      <c r="I202" s="595">
        <f t="shared" si="39"/>
        <v>0</v>
      </c>
      <c r="J202" s="595">
        <f t="shared" si="39"/>
        <v>0</v>
      </c>
      <c r="K202" s="595">
        <f t="shared" si="39"/>
        <v>0</v>
      </c>
      <c r="L202" s="595">
        <f t="shared" si="39"/>
        <v>0</v>
      </c>
      <c r="M202" s="594"/>
      <c r="N202" s="594"/>
    </row>
    <row r="203" spans="1:15" x14ac:dyDescent="0.2">
      <c r="B203" s="399"/>
      <c r="C203" s="399"/>
      <c r="D203" s="557" t="s">
        <v>773</v>
      </c>
      <c r="E203" s="555"/>
      <c r="F203" s="558" t="e">
        <f>SUM(F200:F201)</f>
        <v>#REF!</v>
      </c>
      <c r="G203" s="558">
        <f t="shared" ref="G203:L203" si="40">SUM(G200:G201)</f>
        <v>0</v>
      </c>
      <c r="H203" s="558">
        <f t="shared" si="40"/>
        <v>0</v>
      </c>
      <c r="I203" s="558">
        <f t="shared" si="40"/>
        <v>0</v>
      </c>
      <c r="J203" s="558">
        <f t="shared" si="40"/>
        <v>0</v>
      </c>
      <c r="K203" s="558">
        <f t="shared" si="40"/>
        <v>0</v>
      </c>
      <c r="L203" s="558">
        <f t="shared" si="40"/>
        <v>0</v>
      </c>
      <c r="M203" s="399"/>
      <c r="N203" s="399"/>
    </row>
    <row r="204" spans="1:15" x14ac:dyDescent="0.2">
      <c r="B204" s="399"/>
      <c r="C204" s="399"/>
      <c r="D204" s="399"/>
      <c r="E204" s="399"/>
      <c r="F204" s="400"/>
      <c r="G204" s="400"/>
      <c r="H204" s="400"/>
      <c r="I204" s="400"/>
      <c r="J204" s="400"/>
      <c r="K204" s="400"/>
      <c r="L204" s="400"/>
      <c r="M204" s="399"/>
      <c r="N204" s="399"/>
    </row>
    <row r="205" spans="1:15" s="433" customFormat="1" x14ac:dyDescent="0.2">
      <c r="A205" s="399"/>
      <c r="B205" s="399"/>
      <c r="C205" s="399"/>
      <c r="D205" s="399"/>
      <c r="E205" s="399"/>
      <c r="F205" s="400"/>
      <c r="G205" s="400"/>
      <c r="H205" s="400"/>
      <c r="I205" s="400"/>
      <c r="J205" s="400"/>
      <c r="K205" s="400"/>
      <c r="L205" s="400"/>
      <c r="M205" s="399"/>
      <c r="N205" s="399"/>
      <c r="O205" s="399"/>
    </row>
    <row r="206" spans="1:15" s="433" customFormat="1" x14ac:dyDescent="0.2">
      <c r="A206" s="399"/>
      <c r="B206" s="399"/>
      <c r="C206" s="399"/>
      <c r="D206" s="399"/>
      <c r="E206" s="399"/>
      <c r="F206" s="400"/>
      <c r="G206" s="400"/>
      <c r="H206" s="400"/>
      <c r="I206" s="400"/>
      <c r="J206" s="400"/>
      <c r="K206" s="400"/>
      <c r="L206" s="400"/>
      <c r="M206" s="399"/>
      <c r="N206" s="399"/>
      <c r="O206" s="399"/>
    </row>
    <row r="207" spans="1:15" s="433" customFormat="1" x14ac:dyDescent="0.2">
      <c r="A207" s="399"/>
      <c r="B207" s="399"/>
      <c r="C207" s="399"/>
      <c r="D207" s="399"/>
      <c r="E207" s="399"/>
      <c r="F207" s="400"/>
      <c r="G207" s="400"/>
      <c r="H207" s="400"/>
      <c r="I207" s="400"/>
      <c r="J207" s="400"/>
      <c r="K207" s="400"/>
      <c r="L207" s="400"/>
      <c r="M207" s="399"/>
      <c r="N207" s="399"/>
      <c r="O207" s="399"/>
    </row>
    <row r="208" spans="1:15" s="433" customFormat="1" x14ac:dyDescent="0.2">
      <c r="A208" s="399"/>
      <c r="B208" s="399"/>
      <c r="C208" s="399"/>
      <c r="D208" s="399"/>
      <c r="E208" s="399"/>
      <c r="F208" s="400"/>
      <c r="G208" s="400"/>
      <c r="H208" s="400"/>
      <c r="I208" s="400"/>
      <c r="J208" s="400"/>
      <c r="K208" s="400"/>
      <c r="L208" s="400"/>
      <c r="M208" s="399"/>
      <c r="N208" s="399"/>
      <c r="O208" s="399"/>
    </row>
    <row r="209" spans="1:15" s="433" customFormat="1" x14ac:dyDescent="0.2">
      <c r="A209" s="399"/>
      <c r="B209" s="399"/>
      <c r="C209" s="399"/>
      <c r="D209" s="399"/>
      <c r="E209" s="399"/>
      <c r="F209" s="400"/>
      <c r="G209" s="400"/>
      <c r="H209" s="400"/>
      <c r="I209" s="400"/>
      <c r="J209" s="400"/>
      <c r="K209" s="400"/>
      <c r="L209" s="400"/>
      <c r="M209" s="399"/>
      <c r="N209" s="399"/>
      <c r="O209" s="399"/>
    </row>
    <row r="210" spans="1:15" s="433" customFormat="1" x14ac:dyDescent="0.2">
      <c r="A210" s="399"/>
      <c r="B210" s="399"/>
      <c r="C210" s="399"/>
      <c r="D210" s="399"/>
      <c r="E210" s="399"/>
      <c r="F210" s="400"/>
      <c r="G210" s="400"/>
      <c r="H210" s="400"/>
      <c r="I210" s="400"/>
      <c r="J210" s="400"/>
      <c r="K210" s="400"/>
      <c r="L210" s="400"/>
      <c r="M210" s="399"/>
      <c r="N210" s="399"/>
      <c r="O210" s="399"/>
    </row>
    <row r="211" spans="1:15" s="433" customFormat="1" x14ac:dyDescent="0.2">
      <c r="A211" s="399"/>
      <c r="B211" s="399"/>
      <c r="C211" s="399"/>
      <c r="D211" s="399"/>
      <c r="E211" s="399"/>
      <c r="F211" s="400"/>
      <c r="G211" s="400"/>
      <c r="H211" s="400"/>
      <c r="I211" s="400"/>
      <c r="J211" s="400"/>
      <c r="K211" s="400"/>
      <c r="L211" s="400"/>
      <c r="M211" s="399"/>
      <c r="N211" s="399"/>
      <c r="O211" s="399"/>
    </row>
    <row r="212" spans="1:15" s="433" customFormat="1" x14ac:dyDescent="0.2">
      <c r="A212" s="399"/>
      <c r="B212" s="399"/>
      <c r="C212" s="399"/>
      <c r="D212" s="399"/>
      <c r="E212" s="399"/>
      <c r="F212" s="400"/>
      <c r="G212" s="400"/>
      <c r="H212" s="400"/>
      <c r="I212" s="400"/>
      <c r="J212" s="400"/>
      <c r="K212" s="400"/>
      <c r="L212" s="400"/>
      <c r="M212" s="399"/>
      <c r="N212" s="399"/>
      <c r="O212" s="399"/>
    </row>
    <row r="213" spans="1:15" s="433" customFormat="1" x14ac:dyDescent="0.2">
      <c r="A213" s="399"/>
      <c r="B213" s="399"/>
      <c r="C213" s="399"/>
      <c r="D213" s="399"/>
      <c r="E213" s="399"/>
      <c r="F213" s="400"/>
      <c r="G213" s="400"/>
      <c r="H213" s="400"/>
      <c r="I213" s="400"/>
      <c r="J213" s="400"/>
      <c r="K213" s="400"/>
      <c r="L213" s="400"/>
      <c r="M213" s="399"/>
      <c r="N213" s="399"/>
      <c r="O213" s="399"/>
    </row>
    <row r="214" spans="1:15" s="433" customFormat="1" x14ac:dyDescent="0.2">
      <c r="A214" s="399"/>
      <c r="B214" s="399"/>
      <c r="C214" s="399"/>
      <c r="D214" s="399"/>
      <c r="E214" s="399"/>
      <c r="F214" s="400"/>
      <c r="G214" s="400"/>
      <c r="H214" s="400"/>
      <c r="I214" s="400"/>
      <c r="J214" s="400"/>
      <c r="K214" s="400"/>
      <c r="L214" s="400"/>
      <c r="M214" s="399"/>
      <c r="N214" s="399"/>
      <c r="O214" s="399"/>
    </row>
    <row r="215" spans="1:15" s="433" customFormat="1" x14ac:dyDescent="0.2">
      <c r="A215" s="399"/>
      <c r="B215" s="399"/>
      <c r="C215" s="399"/>
      <c r="D215" s="399"/>
      <c r="E215" s="399"/>
      <c r="F215" s="400"/>
      <c r="G215" s="400"/>
      <c r="H215" s="400"/>
      <c r="I215" s="400"/>
      <c r="J215" s="400"/>
      <c r="K215" s="400"/>
      <c r="L215" s="400"/>
      <c r="M215" s="399"/>
      <c r="N215" s="399"/>
      <c r="O215" s="399"/>
    </row>
    <row r="216" spans="1:15" s="433" customFormat="1" x14ac:dyDescent="0.2">
      <c r="A216" s="399"/>
      <c r="B216" s="399"/>
      <c r="C216" s="399"/>
      <c r="D216" s="399"/>
      <c r="E216" s="399"/>
      <c r="F216" s="400"/>
      <c r="G216" s="400"/>
      <c r="H216" s="400"/>
      <c r="I216" s="400"/>
      <c r="J216" s="400"/>
      <c r="K216" s="400"/>
      <c r="L216" s="400"/>
      <c r="M216" s="399"/>
      <c r="N216" s="399"/>
      <c r="O216" s="399"/>
    </row>
    <row r="217" spans="1:15" s="433" customFormat="1" x14ac:dyDescent="0.2">
      <c r="A217" s="399"/>
      <c r="B217" s="399"/>
      <c r="C217" s="399"/>
      <c r="D217" s="399"/>
      <c r="E217" s="399"/>
      <c r="F217" s="400"/>
      <c r="G217" s="400"/>
      <c r="H217" s="400"/>
      <c r="I217" s="400"/>
      <c r="J217" s="400"/>
      <c r="K217" s="400"/>
      <c r="L217" s="400"/>
      <c r="M217" s="399"/>
      <c r="N217" s="399"/>
      <c r="O217" s="399"/>
    </row>
    <row r="218" spans="1:15" s="433" customFormat="1" x14ac:dyDescent="0.2">
      <c r="A218" s="399"/>
      <c r="B218" s="399"/>
      <c r="C218" s="399"/>
      <c r="D218" s="399"/>
      <c r="E218" s="399"/>
      <c r="F218" s="400"/>
      <c r="G218" s="400"/>
      <c r="H218" s="400"/>
      <c r="I218" s="400"/>
      <c r="J218" s="400"/>
      <c r="K218" s="400"/>
      <c r="L218" s="400"/>
      <c r="M218" s="399"/>
      <c r="N218" s="399"/>
      <c r="O218" s="399"/>
    </row>
    <row r="219" spans="1:15" s="433" customFormat="1" x14ac:dyDescent="0.2">
      <c r="A219" s="399"/>
      <c r="B219" s="399"/>
      <c r="C219" s="399"/>
      <c r="D219" s="399"/>
      <c r="E219" s="399"/>
      <c r="F219" s="400"/>
      <c r="G219" s="400"/>
      <c r="H219" s="400"/>
      <c r="I219" s="400"/>
      <c r="J219" s="400"/>
      <c r="K219" s="400"/>
      <c r="L219" s="400"/>
      <c r="M219" s="399"/>
      <c r="N219" s="399"/>
      <c r="O219" s="399"/>
    </row>
    <row r="220" spans="1:15" s="433" customFormat="1" x14ac:dyDescent="0.2">
      <c r="A220" s="399"/>
      <c r="B220" s="399"/>
      <c r="C220" s="399"/>
      <c r="D220" s="399"/>
      <c r="E220" s="399"/>
      <c r="F220" s="400"/>
      <c r="G220" s="400"/>
      <c r="H220" s="400"/>
      <c r="I220" s="400"/>
      <c r="J220" s="400"/>
      <c r="K220" s="400"/>
      <c r="L220" s="400"/>
      <c r="M220" s="399"/>
      <c r="N220" s="399"/>
      <c r="O220" s="399"/>
    </row>
    <row r="221" spans="1:15" s="433" customFormat="1" x14ac:dyDescent="0.2">
      <c r="A221" s="399"/>
      <c r="B221" s="399"/>
      <c r="C221" s="399"/>
      <c r="D221" s="399"/>
      <c r="E221" s="399"/>
      <c r="F221" s="400"/>
      <c r="G221" s="400"/>
      <c r="H221" s="400"/>
      <c r="I221" s="400"/>
      <c r="J221" s="400"/>
      <c r="K221" s="400"/>
      <c r="L221" s="400"/>
      <c r="M221" s="399"/>
      <c r="N221" s="399"/>
      <c r="O221" s="399"/>
    </row>
    <row r="222" spans="1:15" s="433" customFormat="1" x14ac:dyDescent="0.2">
      <c r="A222" s="399"/>
      <c r="B222" s="399"/>
      <c r="C222" s="399"/>
      <c r="D222" s="399"/>
      <c r="E222" s="399"/>
      <c r="F222" s="400"/>
      <c r="G222" s="400"/>
      <c r="H222" s="400"/>
      <c r="I222" s="400"/>
      <c r="J222" s="400"/>
      <c r="K222" s="400"/>
      <c r="L222" s="400"/>
      <c r="M222" s="399"/>
      <c r="N222" s="399"/>
      <c r="O222" s="399"/>
    </row>
    <row r="223" spans="1:15" s="433" customFormat="1" x14ac:dyDescent="0.2">
      <c r="A223" s="399"/>
      <c r="B223" s="399"/>
      <c r="C223" s="399"/>
      <c r="D223" s="399"/>
      <c r="E223" s="399"/>
      <c r="F223" s="400"/>
      <c r="G223" s="400"/>
      <c r="H223" s="400"/>
      <c r="I223" s="400"/>
      <c r="J223" s="400"/>
      <c r="K223" s="400"/>
      <c r="L223" s="400"/>
      <c r="M223" s="399"/>
      <c r="N223" s="399"/>
      <c r="O223" s="399"/>
    </row>
    <row r="224" spans="1:15" s="433" customFormat="1" x14ac:dyDescent="0.2">
      <c r="A224" s="399"/>
      <c r="B224" s="399"/>
      <c r="C224" s="399"/>
      <c r="D224" s="399"/>
      <c r="E224" s="399"/>
      <c r="F224" s="400"/>
      <c r="G224" s="400"/>
      <c r="H224" s="400"/>
      <c r="I224" s="400"/>
      <c r="J224" s="400"/>
      <c r="K224" s="400"/>
      <c r="L224" s="400"/>
      <c r="M224" s="399"/>
      <c r="N224" s="399"/>
      <c r="O224" s="399"/>
    </row>
    <row r="225" spans="1:15" s="433" customFormat="1" x14ac:dyDescent="0.2">
      <c r="A225" s="399"/>
      <c r="B225" s="399"/>
      <c r="C225" s="399"/>
      <c r="D225" s="399"/>
      <c r="E225" s="399"/>
      <c r="F225" s="400"/>
      <c r="G225" s="400"/>
      <c r="H225" s="400"/>
      <c r="I225" s="400"/>
      <c r="J225" s="400"/>
      <c r="K225" s="400"/>
      <c r="L225" s="400"/>
      <c r="M225" s="399"/>
      <c r="N225" s="399"/>
      <c r="O225" s="399"/>
    </row>
    <row r="226" spans="1:15" s="433" customFormat="1" x14ac:dyDescent="0.2">
      <c r="A226" s="399"/>
      <c r="B226" s="399"/>
      <c r="C226" s="399"/>
      <c r="D226" s="399"/>
      <c r="E226" s="399"/>
      <c r="F226" s="400"/>
      <c r="G226" s="400"/>
      <c r="H226" s="400"/>
      <c r="I226" s="400"/>
      <c r="J226" s="400"/>
      <c r="K226" s="400"/>
      <c r="L226" s="400"/>
      <c r="M226" s="399"/>
      <c r="N226" s="399"/>
      <c r="O226" s="399"/>
    </row>
    <row r="227" spans="1:15" s="433" customFormat="1" x14ac:dyDescent="0.2">
      <c r="A227" s="399"/>
      <c r="B227" s="399"/>
      <c r="C227" s="399"/>
      <c r="D227" s="399"/>
      <c r="E227" s="399"/>
      <c r="F227" s="400"/>
      <c r="G227" s="400"/>
      <c r="H227" s="400"/>
      <c r="I227" s="400"/>
      <c r="J227" s="400"/>
      <c r="K227" s="400"/>
      <c r="L227" s="400"/>
      <c r="M227" s="399"/>
      <c r="N227" s="399"/>
      <c r="O227" s="399"/>
    </row>
    <row r="228" spans="1:15" s="433" customFormat="1" x14ac:dyDescent="0.2">
      <c r="A228" s="399"/>
      <c r="B228" s="399"/>
      <c r="C228" s="399"/>
      <c r="D228" s="399"/>
      <c r="E228" s="399"/>
      <c r="F228" s="400"/>
      <c r="G228" s="400"/>
      <c r="H228" s="400"/>
      <c r="I228" s="400"/>
      <c r="J228" s="400"/>
      <c r="K228" s="400"/>
      <c r="L228" s="400"/>
      <c r="M228" s="399"/>
      <c r="N228" s="399"/>
      <c r="O228" s="399"/>
    </row>
    <row r="229" spans="1:15" s="433" customFormat="1" x14ac:dyDescent="0.2">
      <c r="A229" s="399"/>
      <c r="B229" s="399"/>
      <c r="C229" s="399"/>
      <c r="D229" s="399"/>
      <c r="E229" s="399"/>
      <c r="F229" s="400"/>
      <c r="G229" s="400"/>
      <c r="H229" s="400"/>
      <c r="I229" s="400"/>
      <c r="J229" s="400"/>
      <c r="K229" s="400"/>
      <c r="L229" s="400"/>
      <c r="M229" s="399"/>
      <c r="N229" s="399"/>
      <c r="O229" s="399"/>
    </row>
    <row r="230" spans="1:15" s="433" customFormat="1" x14ac:dyDescent="0.2">
      <c r="A230" s="399"/>
      <c r="B230" s="399"/>
      <c r="C230" s="399"/>
      <c r="D230" s="399"/>
      <c r="E230" s="399"/>
      <c r="F230" s="400"/>
      <c r="G230" s="400"/>
      <c r="H230" s="400"/>
      <c r="I230" s="400"/>
      <c r="J230" s="400"/>
      <c r="K230" s="400"/>
      <c r="L230" s="400"/>
      <c r="M230" s="399"/>
      <c r="N230" s="399"/>
      <c r="O230" s="399"/>
    </row>
    <row r="231" spans="1:15" s="433" customFormat="1" x14ac:dyDescent="0.2">
      <c r="A231" s="399"/>
      <c r="B231" s="399"/>
      <c r="C231" s="399"/>
      <c r="D231" s="399"/>
      <c r="E231" s="399"/>
      <c r="F231" s="400"/>
      <c r="G231" s="400"/>
      <c r="H231" s="400"/>
      <c r="I231" s="400"/>
      <c r="J231" s="400"/>
      <c r="K231" s="400"/>
      <c r="L231" s="400"/>
      <c r="M231" s="399"/>
      <c r="N231" s="399"/>
      <c r="O231" s="399"/>
    </row>
    <row r="232" spans="1:15" s="433" customFormat="1" x14ac:dyDescent="0.2">
      <c r="A232" s="399"/>
      <c r="B232" s="399"/>
      <c r="C232" s="399"/>
      <c r="D232" s="399"/>
      <c r="E232" s="399"/>
      <c r="F232" s="400"/>
      <c r="G232" s="400"/>
      <c r="H232" s="400"/>
      <c r="I232" s="400"/>
      <c r="J232" s="400"/>
      <c r="K232" s="400"/>
      <c r="L232" s="400"/>
      <c r="M232" s="399"/>
      <c r="N232" s="399"/>
      <c r="O232" s="399"/>
    </row>
    <row r="233" spans="1:15" s="433" customFormat="1" x14ac:dyDescent="0.2">
      <c r="A233" s="399"/>
      <c r="B233" s="399"/>
      <c r="C233" s="399"/>
      <c r="D233" s="399"/>
      <c r="E233" s="399"/>
      <c r="F233" s="400"/>
      <c r="G233" s="400"/>
      <c r="H233" s="400"/>
      <c r="I233" s="400"/>
      <c r="J233" s="400"/>
      <c r="K233" s="400"/>
      <c r="L233" s="400"/>
      <c r="M233" s="399"/>
      <c r="N233" s="399"/>
      <c r="O233" s="399"/>
    </row>
    <row r="234" spans="1:15" s="433" customFormat="1" x14ac:dyDescent="0.2">
      <c r="A234" s="399"/>
      <c r="B234" s="399"/>
      <c r="C234" s="399"/>
      <c r="D234" s="399"/>
      <c r="E234" s="399"/>
      <c r="F234" s="400"/>
      <c r="G234" s="400"/>
      <c r="H234" s="400"/>
      <c r="I234" s="400"/>
      <c r="J234" s="400"/>
      <c r="K234" s="400"/>
      <c r="L234" s="400"/>
      <c r="M234" s="399"/>
      <c r="N234" s="399"/>
      <c r="O234" s="399"/>
    </row>
    <row r="235" spans="1:15" s="433" customFormat="1" x14ac:dyDescent="0.2">
      <c r="A235" s="399"/>
      <c r="B235" s="399"/>
      <c r="C235" s="399"/>
      <c r="D235" s="399"/>
      <c r="E235" s="399"/>
      <c r="F235" s="400"/>
      <c r="G235" s="400"/>
      <c r="H235" s="400"/>
      <c r="I235" s="400"/>
      <c r="J235" s="400"/>
      <c r="K235" s="400"/>
      <c r="L235" s="400"/>
      <c r="M235" s="399"/>
      <c r="N235" s="399"/>
      <c r="O235" s="399"/>
    </row>
    <row r="236" spans="1:15" s="433" customFormat="1" x14ac:dyDescent="0.2">
      <c r="A236" s="399"/>
      <c r="B236" s="399"/>
      <c r="C236" s="399"/>
      <c r="D236" s="399"/>
      <c r="E236" s="399"/>
      <c r="F236" s="400"/>
      <c r="G236" s="400"/>
      <c r="H236" s="400"/>
      <c r="I236" s="400"/>
      <c r="J236" s="400"/>
      <c r="K236" s="400"/>
      <c r="L236" s="400"/>
      <c r="M236" s="399"/>
      <c r="N236" s="399"/>
      <c r="O236" s="399"/>
    </row>
    <row r="237" spans="1:15" s="433" customFormat="1" x14ac:dyDescent="0.2">
      <c r="A237" s="399"/>
      <c r="B237" s="399"/>
      <c r="C237" s="399"/>
      <c r="D237" s="399"/>
      <c r="E237" s="399"/>
      <c r="F237" s="400"/>
      <c r="G237" s="400"/>
      <c r="H237" s="400"/>
      <c r="I237" s="400"/>
      <c r="J237" s="400"/>
      <c r="K237" s="400"/>
      <c r="L237" s="400"/>
      <c r="M237" s="399"/>
      <c r="N237" s="399"/>
      <c r="O237" s="399"/>
    </row>
    <row r="238" spans="1:15" s="433" customFormat="1" x14ac:dyDescent="0.2">
      <c r="A238" s="399"/>
      <c r="B238" s="399"/>
      <c r="C238" s="399"/>
      <c r="D238" s="399"/>
      <c r="E238" s="399"/>
      <c r="F238" s="400"/>
      <c r="G238" s="400"/>
      <c r="H238" s="400"/>
      <c r="I238" s="400"/>
      <c r="J238" s="400"/>
      <c r="K238" s="400"/>
      <c r="L238" s="400"/>
      <c r="M238" s="399"/>
      <c r="N238" s="399"/>
      <c r="O238" s="399"/>
    </row>
    <row r="239" spans="1:15" s="433" customFormat="1" x14ac:dyDescent="0.2">
      <c r="A239" s="399"/>
      <c r="B239" s="399"/>
      <c r="C239" s="399"/>
      <c r="D239" s="399"/>
      <c r="E239" s="399"/>
      <c r="F239" s="400"/>
      <c r="G239" s="400"/>
      <c r="H239" s="400"/>
      <c r="I239" s="400"/>
      <c r="J239" s="400"/>
      <c r="K239" s="400"/>
      <c r="L239" s="400"/>
      <c r="M239" s="399"/>
      <c r="N239" s="399"/>
      <c r="O239" s="399"/>
    </row>
    <row r="240" spans="1:15" s="433" customFormat="1" x14ac:dyDescent="0.2">
      <c r="A240" s="399"/>
      <c r="B240" s="399"/>
      <c r="C240" s="399"/>
      <c r="D240" s="399"/>
      <c r="E240" s="399"/>
      <c r="F240" s="400"/>
      <c r="G240" s="400"/>
      <c r="H240" s="400"/>
      <c r="I240" s="400"/>
      <c r="J240" s="400"/>
      <c r="K240" s="400"/>
      <c r="L240" s="400"/>
      <c r="M240" s="399"/>
      <c r="N240" s="399"/>
      <c r="O240" s="399"/>
    </row>
    <row r="241" spans="1:15" s="433" customFormat="1" x14ac:dyDescent="0.2">
      <c r="A241" s="399"/>
      <c r="B241" s="399"/>
      <c r="C241" s="399"/>
      <c r="D241" s="399"/>
      <c r="E241" s="399"/>
      <c r="F241" s="400"/>
      <c r="G241" s="400"/>
      <c r="H241" s="400"/>
      <c r="I241" s="400"/>
      <c r="J241" s="400"/>
      <c r="K241" s="400"/>
      <c r="L241" s="400"/>
      <c r="M241" s="399"/>
      <c r="N241" s="399"/>
      <c r="O241" s="399"/>
    </row>
    <row r="242" spans="1:15" s="433" customFormat="1" x14ac:dyDescent="0.2">
      <c r="A242" s="399"/>
      <c r="B242" s="399"/>
      <c r="C242" s="399"/>
      <c r="D242" s="399"/>
      <c r="E242" s="399"/>
      <c r="F242" s="400"/>
      <c r="G242" s="400"/>
      <c r="H242" s="400"/>
      <c r="I242" s="400"/>
      <c r="J242" s="400"/>
      <c r="K242" s="400"/>
      <c r="L242" s="400"/>
      <c r="M242" s="399"/>
      <c r="N242" s="399"/>
      <c r="O242" s="399"/>
    </row>
    <row r="243" spans="1:15" s="433" customFormat="1" x14ac:dyDescent="0.2">
      <c r="A243" s="399"/>
      <c r="B243" s="399"/>
      <c r="C243" s="399"/>
      <c r="D243" s="399"/>
      <c r="E243" s="399"/>
      <c r="F243" s="400"/>
      <c r="G243" s="400"/>
      <c r="H243" s="400"/>
      <c r="I243" s="400"/>
      <c r="J243" s="400"/>
      <c r="K243" s="400"/>
      <c r="L243" s="400"/>
      <c r="M243" s="399"/>
      <c r="N243" s="399"/>
      <c r="O243" s="399"/>
    </row>
    <row r="244" spans="1:15" s="433" customFormat="1" x14ac:dyDescent="0.2">
      <c r="A244" s="399"/>
      <c r="B244" s="399"/>
      <c r="C244" s="399"/>
      <c r="D244" s="399"/>
      <c r="E244" s="399"/>
      <c r="F244" s="400"/>
      <c r="G244" s="400"/>
      <c r="H244" s="400"/>
      <c r="I244" s="400"/>
      <c r="J244" s="400"/>
      <c r="K244" s="400"/>
      <c r="L244" s="400"/>
      <c r="M244" s="399"/>
      <c r="N244" s="399"/>
      <c r="O244" s="399"/>
    </row>
    <row r="245" spans="1:15" s="433" customFormat="1" x14ac:dyDescent="0.2">
      <c r="A245" s="399"/>
      <c r="B245" s="399"/>
      <c r="C245" s="399"/>
      <c r="D245" s="399"/>
      <c r="E245" s="399"/>
      <c r="F245" s="400"/>
      <c r="G245" s="400"/>
      <c r="H245" s="400"/>
      <c r="I245" s="400"/>
      <c r="J245" s="400"/>
      <c r="K245" s="400"/>
      <c r="L245" s="400"/>
      <c r="M245" s="399"/>
      <c r="N245" s="399"/>
      <c r="O245" s="399"/>
    </row>
    <row r="246" spans="1:15" s="433" customFormat="1" x14ac:dyDescent="0.2">
      <c r="A246" s="399"/>
      <c r="B246" s="399"/>
      <c r="C246" s="399"/>
      <c r="D246" s="399"/>
      <c r="E246" s="399"/>
      <c r="F246" s="400"/>
      <c r="G246" s="400"/>
      <c r="H246" s="400"/>
      <c r="I246" s="400"/>
      <c r="J246" s="400"/>
      <c r="K246" s="400"/>
      <c r="L246" s="400"/>
      <c r="M246" s="399"/>
      <c r="N246" s="399"/>
      <c r="O246" s="399"/>
    </row>
    <row r="247" spans="1:15" s="433" customFormat="1" x14ac:dyDescent="0.2">
      <c r="A247" s="399"/>
      <c r="B247" s="399"/>
      <c r="C247" s="399"/>
      <c r="D247" s="399"/>
      <c r="E247" s="399"/>
      <c r="F247" s="400"/>
      <c r="G247" s="400"/>
      <c r="H247" s="400"/>
      <c r="I247" s="400"/>
      <c r="J247" s="400"/>
      <c r="K247" s="400"/>
      <c r="L247" s="400"/>
      <c r="M247" s="399"/>
      <c r="N247" s="399"/>
      <c r="O247" s="399"/>
    </row>
    <row r="248" spans="1:15" s="550" customFormat="1" x14ac:dyDescent="0.2">
      <c r="A248" s="549"/>
      <c r="B248" s="549"/>
      <c r="C248" s="549"/>
      <c r="D248" s="549"/>
      <c r="E248" s="549"/>
      <c r="F248" s="549"/>
      <c r="G248" s="549"/>
      <c r="H248" s="549"/>
      <c r="I248" s="549"/>
      <c r="J248" s="549"/>
      <c r="K248" s="549"/>
      <c r="L248" s="549"/>
      <c r="M248" s="549"/>
      <c r="N248" s="549"/>
      <c r="O248" s="549"/>
    </row>
    <row r="249" spans="1:15" s="433" customFormat="1" x14ac:dyDescent="0.2">
      <c r="A249" s="399"/>
      <c r="B249" s="399"/>
      <c r="C249" s="399"/>
      <c r="D249" s="399"/>
      <c r="E249" s="399"/>
      <c r="F249" s="400"/>
      <c r="G249" s="400"/>
      <c r="H249" s="400"/>
      <c r="I249" s="400"/>
      <c r="J249" s="400"/>
      <c r="K249" s="400"/>
      <c r="L249" s="400"/>
      <c r="M249" s="399"/>
      <c r="N249" s="399"/>
      <c r="O249" s="399"/>
    </row>
    <row r="250" spans="1:15" s="433" customFormat="1" x14ac:dyDescent="0.2">
      <c r="A250" s="399"/>
      <c r="B250" s="399"/>
      <c r="C250" s="399"/>
      <c r="D250" s="399"/>
      <c r="E250" s="399"/>
      <c r="F250" s="400"/>
      <c r="G250" s="400"/>
      <c r="H250" s="400"/>
      <c r="I250" s="400"/>
      <c r="J250" s="400"/>
      <c r="K250" s="400"/>
      <c r="L250" s="400"/>
      <c r="M250" s="399"/>
      <c r="N250" s="399"/>
      <c r="O250" s="399"/>
    </row>
    <row r="251" spans="1:15" s="433" customFormat="1" x14ac:dyDescent="0.2">
      <c r="A251" s="399"/>
      <c r="B251" s="399"/>
      <c r="C251" s="399"/>
      <c r="D251" s="399"/>
      <c r="E251" s="399"/>
      <c r="F251" s="400"/>
      <c r="G251" s="400"/>
      <c r="H251" s="400"/>
      <c r="I251" s="400"/>
      <c r="J251" s="400"/>
      <c r="K251" s="400"/>
      <c r="L251" s="400"/>
      <c r="M251" s="399"/>
      <c r="N251" s="399"/>
      <c r="O251" s="399"/>
    </row>
    <row r="252" spans="1:15" s="433" customFormat="1" x14ac:dyDescent="0.2">
      <c r="A252" s="399"/>
      <c r="B252" s="399"/>
      <c r="C252" s="399"/>
      <c r="D252" s="399"/>
      <c r="E252" s="399"/>
      <c r="F252" s="400"/>
      <c r="G252" s="400"/>
      <c r="H252" s="400"/>
      <c r="I252" s="400"/>
      <c r="J252" s="400"/>
      <c r="K252" s="400"/>
      <c r="L252" s="400"/>
      <c r="M252" s="399"/>
      <c r="N252" s="399"/>
      <c r="O252" s="399"/>
    </row>
    <row r="253" spans="1:15" s="550" customFormat="1" x14ac:dyDescent="0.2">
      <c r="A253" s="549"/>
      <c r="B253" s="549"/>
      <c r="C253" s="549"/>
      <c r="D253" s="549"/>
      <c r="E253" s="549"/>
      <c r="F253" s="549"/>
      <c r="G253" s="549"/>
      <c r="H253" s="549"/>
      <c r="I253" s="549"/>
      <c r="J253" s="549"/>
      <c r="K253" s="549"/>
      <c r="L253" s="549"/>
      <c r="M253" s="549"/>
      <c r="N253" s="549"/>
      <c r="O253" s="549"/>
    </row>
    <row r="254" spans="1:15" s="433" customFormat="1" x14ac:dyDescent="0.2">
      <c r="A254" s="399"/>
      <c r="B254" s="399"/>
      <c r="C254" s="399"/>
      <c r="D254" s="399"/>
      <c r="E254" s="399"/>
      <c r="F254" s="400"/>
      <c r="G254" s="400"/>
      <c r="H254" s="400"/>
      <c r="I254" s="400"/>
      <c r="J254" s="400"/>
      <c r="K254" s="400"/>
      <c r="L254" s="400"/>
      <c r="M254" s="399"/>
      <c r="N254" s="399"/>
      <c r="O254" s="399"/>
    </row>
    <row r="255" spans="1:15" s="433" customFormat="1" x14ac:dyDescent="0.2">
      <c r="A255" s="399"/>
      <c r="B255" s="399"/>
      <c r="C255" s="399"/>
      <c r="D255" s="399"/>
      <c r="E255" s="399"/>
      <c r="F255" s="400"/>
      <c r="G255" s="400"/>
      <c r="H255" s="400"/>
      <c r="I255" s="400"/>
      <c r="J255" s="400"/>
      <c r="K255" s="400"/>
      <c r="L255" s="400"/>
      <c r="M255" s="399"/>
      <c r="N255" s="399"/>
      <c r="O255" s="399"/>
    </row>
    <row r="256" spans="1:15" s="433" customFormat="1" x14ac:dyDescent="0.2">
      <c r="A256" s="399"/>
      <c r="B256" s="399"/>
      <c r="C256" s="399"/>
      <c r="D256" s="399"/>
      <c r="E256" s="399"/>
      <c r="F256" s="400"/>
      <c r="G256" s="400"/>
      <c r="H256" s="400"/>
      <c r="I256" s="400"/>
      <c r="J256" s="400"/>
      <c r="K256" s="400"/>
      <c r="L256" s="400"/>
      <c r="M256" s="399"/>
      <c r="N256" s="399"/>
      <c r="O256" s="399"/>
    </row>
    <row r="266" s="200" customFormat="1" x14ac:dyDescent="0.2"/>
    <row r="272" s="200" customFormat="1" x14ac:dyDescent="0.2"/>
    <row r="278" s="200" customFormat="1" x14ac:dyDescent="0.2"/>
    <row r="284" s="200" customFormat="1" x14ac:dyDescent="0.2"/>
    <row r="290" s="200" customFormat="1" x14ac:dyDescent="0.2"/>
    <row r="296" s="200" customFormat="1" x14ac:dyDescent="0.2"/>
    <row r="309" s="200" customFormat="1" x14ac:dyDescent="0.2"/>
    <row r="315" s="200" customFormat="1" x14ac:dyDescent="0.2"/>
    <row r="321" s="200" customFormat="1" x14ac:dyDescent="0.2"/>
    <row r="327" s="200" customFormat="1" x14ac:dyDescent="0.2"/>
    <row r="333" s="200" customFormat="1" x14ac:dyDescent="0.2"/>
    <row r="339" s="200" customFormat="1" x14ac:dyDescent="0.2"/>
  </sheetData>
  <sheetProtection algorithmName="SHA-512" hashValue="Yusn9f8GRnILsxq/oYJBAlt6U4DurOwDTIk80m+vySjEnlghCWXtdWd/ZJa+urgviA6HHIq3MDdAhtnpD6fUDA==" saltValue="EMTt9JZnNk80AFHrLROalQ==" spinCount="100000" sheet="1" objects="1" scenarios="1"/>
  <hyperlinks>
    <hyperlink ref="J5" r:id="rId1"/>
  </hyperlinks>
  <pageMargins left="0.7" right="0.7" top="0.75" bottom="0.75" header="0.3" footer="0.3"/>
  <pageSetup paperSize="9" scale="48" orientation="portrait" r:id="rId2"/>
  <headerFooter>
    <oddHeader>&amp;L&amp;"Arial,Vet"&amp;F&amp;R&amp;"Arial,Vet"&amp;A</oddHeader>
    <oddFooter>&amp;L&amp;"Arial,Vet"keizer / goedgart&amp;C&amp;"Arial,Vet"pagina &amp;P&amp;R&amp;"Arial,Vet"
&amp;D</oddFooter>
  </headerFooter>
  <rowBreaks count="1" manualBreakCount="1">
    <brk id="123" min="1" max="13" man="1"/>
  </rowBreaks>
  <colBreaks count="1" manualBreakCount="1">
    <brk id="14" max="1048575" man="1"/>
  </colBreaks>
  <drawing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15"/>
  <sheetViews>
    <sheetView zoomScale="85" zoomScaleNormal="85" workbookViewId="0">
      <selection activeCell="B2" sqref="B2"/>
    </sheetView>
  </sheetViews>
  <sheetFormatPr defaultColWidth="9.140625" defaultRowHeight="12.75" x14ac:dyDescent="0.2"/>
  <cols>
    <col min="1" max="1" width="3.7109375" style="131" customWidth="1"/>
    <col min="2" max="3" width="2.7109375" style="131" customWidth="1"/>
    <col min="4" max="4" width="4.5703125" style="132" customWidth="1"/>
    <col min="5" max="5" width="25.7109375" style="132" customWidth="1"/>
    <col min="6" max="6" width="6.85546875" style="133" customWidth="1"/>
    <col min="7" max="10" width="8.7109375" style="134" customWidth="1"/>
    <col min="11" max="11" width="1.7109375" style="134" customWidth="1"/>
    <col min="12" max="15" width="12.7109375" style="131" customWidth="1"/>
    <col min="16" max="16" width="1.7109375" style="134" customWidth="1"/>
    <col min="17" max="20" width="12.7109375" style="131" customWidth="1"/>
    <col min="21" max="21" width="1.7109375" style="134" customWidth="1"/>
    <col min="22" max="25" width="12.7109375" style="131" customWidth="1"/>
    <col min="26" max="26" width="1.7109375" style="134" customWidth="1"/>
    <col min="27" max="30" width="12.7109375" style="131" customWidth="1"/>
    <col min="31" max="32" width="2.7109375" style="131" customWidth="1"/>
    <col min="33" max="16384" width="9.140625" style="131"/>
  </cols>
  <sheetData>
    <row r="2" spans="2:32" x14ac:dyDescent="0.2">
      <c r="B2" s="82"/>
      <c r="C2" s="83"/>
      <c r="D2" s="148"/>
      <c r="E2" s="148"/>
      <c r="F2" s="149"/>
      <c r="G2" s="84"/>
      <c r="H2" s="84"/>
      <c r="I2" s="84"/>
      <c r="J2" s="84"/>
      <c r="K2" s="84"/>
      <c r="L2" s="83"/>
      <c r="M2" s="83"/>
      <c r="N2" s="83"/>
      <c r="O2" s="83"/>
      <c r="P2" s="84"/>
      <c r="Q2" s="83"/>
      <c r="R2" s="83"/>
      <c r="S2" s="83"/>
      <c r="T2" s="83"/>
      <c r="U2" s="84"/>
      <c r="V2" s="83"/>
      <c r="W2" s="83"/>
      <c r="X2" s="83"/>
      <c r="Y2" s="83"/>
      <c r="Z2" s="84"/>
      <c r="AA2" s="83"/>
      <c r="AB2" s="83"/>
      <c r="AC2" s="83"/>
      <c r="AD2" s="83"/>
      <c r="AE2" s="83"/>
      <c r="AF2" s="85"/>
    </row>
    <row r="3" spans="2:32" x14ac:dyDescent="0.2">
      <c r="B3" s="86"/>
      <c r="C3" s="87"/>
      <c r="D3" s="142"/>
      <c r="E3" s="142"/>
      <c r="F3" s="143"/>
      <c r="G3" s="80"/>
      <c r="H3" s="80"/>
      <c r="I3" s="80"/>
      <c r="J3" s="80"/>
      <c r="K3" s="80"/>
      <c r="L3" s="87"/>
      <c r="M3" s="87"/>
      <c r="N3" s="87"/>
      <c r="O3" s="87"/>
      <c r="P3" s="80"/>
      <c r="Q3" s="87"/>
      <c r="R3" s="87"/>
      <c r="S3" s="87"/>
      <c r="T3" s="87"/>
      <c r="U3" s="80"/>
      <c r="V3" s="87"/>
      <c r="W3" s="87"/>
      <c r="X3" s="87"/>
      <c r="Y3" s="87"/>
      <c r="Z3" s="80"/>
      <c r="AA3" s="87"/>
      <c r="AB3" s="87"/>
      <c r="AC3" s="87"/>
      <c r="AD3" s="87"/>
      <c r="AE3" s="87"/>
      <c r="AF3" s="88"/>
    </row>
    <row r="4" spans="2:32" s="10" customFormat="1" ht="18.75" x14ac:dyDescent="0.3">
      <c r="B4" s="150"/>
      <c r="C4" s="157" t="s">
        <v>484</v>
      </c>
      <c r="D4" s="98"/>
      <c r="E4" s="68"/>
      <c r="F4" s="144"/>
      <c r="G4" s="97"/>
      <c r="H4" s="97"/>
      <c r="I4" s="97"/>
      <c r="J4" s="97"/>
      <c r="K4" s="97"/>
      <c r="L4" s="68"/>
      <c r="M4" s="68"/>
      <c r="N4" s="68"/>
      <c r="O4" s="68"/>
      <c r="P4" s="97"/>
      <c r="Q4" s="68"/>
      <c r="R4" s="68"/>
      <c r="S4" s="68"/>
      <c r="T4" s="68"/>
      <c r="U4" s="97"/>
      <c r="V4" s="68"/>
      <c r="W4" s="68"/>
      <c r="X4" s="68"/>
      <c r="Y4" s="68"/>
      <c r="Z4" s="97"/>
      <c r="AA4" s="68"/>
      <c r="AB4" s="68"/>
      <c r="AC4" s="68"/>
      <c r="AD4" s="68"/>
      <c r="AE4" s="68"/>
      <c r="AF4" s="99"/>
    </row>
    <row r="5" spans="2:32" s="135" customFormat="1" x14ac:dyDescent="0.2">
      <c r="B5" s="90"/>
      <c r="C5" s="74" t="s">
        <v>485</v>
      </c>
      <c r="D5" s="145"/>
      <c r="E5" s="67"/>
      <c r="F5" s="146"/>
      <c r="G5" s="147"/>
      <c r="H5" s="147"/>
      <c r="I5" s="147"/>
      <c r="J5" s="147"/>
      <c r="K5" s="147"/>
      <c r="L5" s="67"/>
      <c r="M5" s="67"/>
      <c r="N5" s="67"/>
      <c r="O5" s="67"/>
      <c r="P5" s="147"/>
      <c r="Q5" s="67"/>
      <c r="R5" s="67"/>
      <c r="S5" s="67"/>
      <c r="T5" s="67"/>
      <c r="U5" s="147"/>
      <c r="V5" s="67"/>
      <c r="W5" s="67"/>
      <c r="X5" s="67"/>
      <c r="Y5" s="67"/>
      <c r="Z5" s="147"/>
      <c r="AA5" s="67"/>
      <c r="AB5" s="67"/>
      <c r="AC5" s="67"/>
      <c r="AD5" s="67"/>
      <c r="AE5" s="67"/>
      <c r="AF5" s="101"/>
    </row>
    <row r="6" spans="2:32" s="135" customFormat="1" x14ac:dyDescent="0.2">
      <c r="B6" s="90"/>
      <c r="C6" s="145"/>
      <c r="D6" s="145"/>
      <c r="E6" s="67"/>
      <c r="F6" s="146"/>
      <c r="G6" s="147"/>
      <c r="H6" s="147"/>
      <c r="I6" s="147"/>
      <c r="J6" s="147"/>
      <c r="K6" s="147"/>
      <c r="L6" s="67"/>
      <c r="M6" s="67"/>
      <c r="N6" s="67"/>
      <c r="O6" s="67"/>
      <c r="P6" s="147"/>
      <c r="Q6" s="67"/>
      <c r="R6" s="67"/>
      <c r="S6" s="67"/>
      <c r="T6" s="67"/>
      <c r="U6" s="147"/>
      <c r="V6" s="67"/>
      <c r="W6" s="67"/>
      <c r="X6" s="67"/>
      <c r="Y6" s="67"/>
      <c r="Z6" s="147"/>
      <c r="AA6" s="67"/>
      <c r="AB6" s="67"/>
      <c r="AC6" s="67"/>
      <c r="AD6" s="67"/>
      <c r="AE6" s="67"/>
      <c r="AF6" s="101"/>
    </row>
    <row r="7" spans="2:32" s="135" customFormat="1" x14ac:dyDescent="0.2">
      <c r="B7" s="90"/>
      <c r="C7" s="145"/>
      <c r="D7" s="145"/>
      <c r="E7" s="67"/>
      <c r="F7" s="146"/>
      <c r="G7" s="147"/>
      <c r="H7" s="147"/>
      <c r="I7" s="147"/>
      <c r="J7" s="147"/>
      <c r="K7" s="147"/>
      <c r="L7" s="67"/>
      <c r="M7" s="67"/>
      <c r="N7" s="67"/>
      <c r="O7" s="67"/>
      <c r="P7" s="147"/>
      <c r="Q7" s="67"/>
      <c r="R7" s="67"/>
      <c r="S7" s="67"/>
      <c r="T7" s="67"/>
      <c r="U7" s="147"/>
      <c r="V7" s="67"/>
      <c r="W7" s="67"/>
      <c r="X7" s="67"/>
      <c r="Y7" s="67"/>
      <c r="Z7" s="147"/>
      <c r="AA7" s="67"/>
      <c r="AB7" s="67"/>
      <c r="AC7" s="67"/>
      <c r="AD7" s="67"/>
      <c r="AE7" s="67"/>
      <c r="AF7" s="101"/>
    </row>
    <row r="8" spans="2:32" x14ac:dyDescent="0.2">
      <c r="B8" s="86"/>
      <c r="C8" s="87"/>
      <c r="D8" s="142"/>
      <c r="E8" s="158" t="s">
        <v>486</v>
      </c>
      <c r="F8" s="159" t="s">
        <v>487</v>
      </c>
      <c r="G8" s="161" t="s">
        <v>488</v>
      </c>
      <c r="H8" s="160"/>
      <c r="I8" s="160"/>
      <c r="J8" s="160"/>
      <c r="K8" s="160"/>
      <c r="L8" s="162" t="s">
        <v>489</v>
      </c>
      <c r="M8" s="163"/>
      <c r="N8" s="163"/>
      <c r="O8" s="163"/>
      <c r="P8" s="160"/>
      <c r="Q8" s="162" t="s">
        <v>490</v>
      </c>
      <c r="R8" s="163"/>
      <c r="S8" s="163"/>
      <c r="T8" s="163"/>
      <c r="U8" s="160"/>
      <c r="V8" s="162" t="s">
        <v>491</v>
      </c>
      <c r="W8" s="163"/>
      <c r="X8" s="163"/>
      <c r="Y8" s="163"/>
      <c r="Z8" s="160"/>
      <c r="AA8" s="162" t="s">
        <v>492</v>
      </c>
      <c r="AB8" s="163"/>
      <c r="AC8" s="87"/>
      <c r="AD8" s="87"/>
      <c r="AE8" s="87"/>
      <c r="AF8" s="88"/>
    </row>
    <row r="9" spans="2:32" s="11" customFormat="1" x14ac:dyDescent="0.2">
      <c r="B9" s="72"/>
      <c r="C9" s="66"/>
      <c r="D9" s="74"/>
      <c r="E9" s="164"/>
      <c r="F9" s="165"/>
      <c r="G9" s="164" t="s">
        <v>493</v>
      </c>
      <c r="H9" s="166"/>
      <c r="I9" s="166"/>
      <c r="J9" s="166"/>
      <c r="K9" s="166"/>
      <c r="L9" s="130"/>
      <c r="M9" s="130"/>
      <c r="N9" s="130"/>
      <c r="O9" s="130"/>
      <c r="P9" s="166"/>
      <c r="Q9" s="130"/>
      <c r="R9" s="130"/>
      <c r="S9" s="130"/>
      <c r="T9" s="130"/>
      <c r="U9" s="166"/>
      <c r="V9" s="130"/>
      <c r="W9" s="130"/>
      <c r="X9" s="130"/>
      <c r="Y9" s="130"/>
      <c r="Z9" s="166"/>
      <c r="AA9" s="130"/>
      <c r="AB9" s="130"/>
      <c r="AC9" s="66"/>
      <c r="AD9" s="66"/>
      <c r="AE9" s="66"/>
      <c r="AF9" s="73"/>
    </row>
    <row r="10" spans="2:32" s="12" customFormat="1" x14ac:dyDescent="0.2">
      <c r="B10" s="151"/>
      <c r="C10" s="64"/>
      <c r="D10" s="63"/>
      <c r="E10" s="167"/>
      <c r="F10" s="159"/>
      <c r="G10" s="129" t="str">
        <f>tab!C2</f>
        <v>2015/16</v>
      </c>
      <c r="H10" s="129" t="str">
        <f>tab!D2</f>
        <v>2016/17</v>
      </c>
      <c r="I10" s="129" t="str">
        <f>tab!E2</f>
        <v>2017/18</v>
      </c>
      <c r="J10" s="129" t="str">
        <f>tab!F2</f>
        <v>2018/19</v>
      </c>
      <c r="K10" s="167"/>
      <c r="L10" s="129" t="str">
        <f>tab!C2</f>
        <v>2015/16</v>
      </c>
      <c r="M10" s="129" t="str">
        <f>tab!D2</f>
        <v>2016/17</v>
      </c>
      <c r="N10" s="129" t="str">
        <f>tab!E2</f>
        <v>2017/18</v>
      </c>
      <c r="O10" s="129" t="str">
        <f>tab!F2</f>
        <v>2018/19</v>
      </c>
      <c r="P10" s="167"/>
      <c r="Q10" s="129" t="str">
        <f>tab!C2</f>
        <v>2015/16</v>
      </c>
      <c r="R10" s="129" t="str">
        <f>tab!D2</f>
        <v>2016/17</v>
      </c>
      <c r="S10" s="129" t="str">
        <f>tab!E2</f>
        <v>2017/18</v>
      </c>
      <c r="T10" s="129" t="str">
        <f>tab!F2</f>
        <v>2018/19</v>
      </c>
      <c r="U10" s="167"/>
      <c r="V10" s="167">
        <f>tab!C4</f>
        <v>2015</v>
      </c>
      <c r="W10" s="167">
        <f>tab!D4</f>
        <v>2016</v>
      </c>
      <c r="X10" s="167">
        <f>tab!E4</f>
        <v>2017</v>
      </c>
      <c r="Y10" s="167">
        <f>tab!F4</f>
        <v>2018</v>
      </c>
      <c r="Z10" s="167"/>
      <c r="AA10" s="167">
        <f>tab!C4</f>
        <v>2015</v>
      </c>
      <c r="AB10" s="167">
        <f>tab!D4</f>
        <v>2016</v>
      </c>
      <c r="AC10" s="167">
        <f>tab!E4</f>
        <v>2017</v>
      </c>
      <c r="AD10" s="167">
        <f>tab!F4</f>
        <v>2018</v>
      </c>
      <c r="AE10" s="64"/>
      <c r="AF10" s="152"/>
    </row>
    <row r="11" spans="2:32" s="134" customFormat="1" x14ac:dyDescent="0.2">
      <c r="B11" s="153"/>
      <c r="C11" s="80"/>
      <c r="D11" s="142"/>
      <c r="E11" s="168"/>
      <c r="F11" s="169"/>
      <c r="G11" s="160"/>
      <c r="H11" s="160"/>
      <c r="I11" s="160"/>
      <c r="J11" s="160"/>
      <c r="K11" s="160"/>
      <c r="L11" s="160"/>
      <c r="M11" s="160"/>
      <c r="N11" s="160"/>
      <c r="O11" s="160"/>
      <c r="P11" s="160"/>
      <c r="Q11" s="160"/>
      <c r="R11" s="160"/>
      <c r="S11" s="160"/>
      <c r="T11" s="160"/>
      <c r="U11" s="160"/>
      <c r="V11" s="160"/>
      <c r="W11" s="170"/>
      <c r="X11" s="166"/>
      <c r="Y11" s="166"/>
      <c r="Z11" s="166"/>
      <c r="AA11" s="166"/>
      <c r="AB11" s="170"/>
      <c r="AC11" s="80"/>
      <c r="AD11" s="80"/>
      <c r="AE11" s="80"/>
      <c r="AF11" s="154"/>
    </row>
    <row r="12" spans="2:32" s="134" customFormat="1" x14ac:dyDescent="0.2">
      <c r="B12" s="153"/>
      <c r="C12" s="171"/>
      <c r="D12" s="172"/>
      <c r="E12" s="172"/>
      <c r="F12" s="173"/>
      <c r="G12" s="89"/>
      <c r="H12" s="89"/>
      <c r="I12" s="89"/>
      <c r="J12" s="89"/>
      <c r="K12" s="89"/>
      <c r="L12" s="89"/>
      <c r="M12" s="89"/>
      <c r="N12" s="89"/>
      <c r="O12" s="89"/>
      <c r="P12" s="89"/>
      <c r="Q12" s="89"/>
      <c r="R12" s="89"/>
      <c r="S12" s="89"/>
      <c r="T12" s="89"/>
      <c r="U12" s="89"/>
      <c r="V12" s="89"/>
      <c r="W12" s="89"/>
      <c r="X12" s="89"/>
      <c r="Y12" s="89"/>
      <c r="Z12" s="89"/>
      <c r="AA12" s="89"/>
      <c r="AB12" s="89"/>
      <c r="AC12" s="89"/>
      <c r="AD12" s="89"/>
      <c r="AE12" s="100"/>
      <c r="AF12" s="154"/>
    </row>
    <row r="13" spans="2:32" s="134" customFormat="1" x14ac:dyDescent="0.2">
      <c r="B13" s="153"/>
      <c r="C13" s="174"/>
      <c r="D13" s="60">
        <v>1</v>
      </c>
      <c r="E13" s="179" t="s">
        <v>494</v>
      </c>
      <c r="F13" s="180" t="s">
        <v>495</v>
      </c>
      <c r="G13" s="181">
        <v>150</v>
      </c>
      <c r="H13" s="181">
        <f t="shared" ref="H13:J28" si="0">G13</f>
        <v>150</v>
      </c>
      <c r="I13" s="140">
        <f t="shared" si="0"/>
        <v>150</v>
      </c>
      <c r="J13" s="140">
        <f>I13</f>
        <v>150</v>
      </c>
      <c r="K13" s="81"/>
      <c r="L13" s="78">
        <f>ROUND(G13*tab!$C$38,2)</f>
        <v>23491.5</v>
      </c>
      <c r="M13" s="78">
        <f>ROUND(H13*tab!$C$38,2)</f>
        <v>23491.5</v>
      </c>
      <c r="N13" s="78">
        <f>ROUND(I13*tab!$C$38,2)</f>
        <v>23491.5</v>
      </c>
      <c r="O13" s="78">
        <f>ROUND(J13*tab!$C$38,2)</f>
        <v>23491.5</v>
      </c>
      <c r="P13" s="81"/>
      <c r="Q13" s="182">
        <v>0</v>
      </c>
      <c r="R13" s="141">
        <f t="shared" ref="R13:T28" si="1">Q13</f>
        <v>0</v>
      </c>
      <c r="S13" s="141">
        <f t="shared" si="1"/>
        <v>0</v>
      </c>
      <c r="T13" s="141">
        <f t="shared" si="1"/>
        <v>0</v>
      </c>
      <c r="U13" s="81"/>
      <c r="V13" s="78">
        <f>+G13*tab!$C$57</f>
        <v>1114.5</v>
      </c>
      <c r="W13" s="78">
        <f>+H13*tab!$D$57</f>
        <v>1116</v>
      </c>
      <c r="X13" s="78">
        <f>+I13*tab!$D$57</f>
        <v>1116</v>
      </c>
      <c r="Y13" s="78">
        <f>+J13*tab!$D$57</f>
        <v>1116</v>
      </c>
      <c r="Z13" s="81"/>
      <c r="AA13" s="77">
        <v>0</v>
      </c>
      <c r="AB13" s="182">
        <f>AA13*7/12</f>
        <v>0</v>
      </c>
      <c r="AC13" s="141">
        <f t="shared" ref="AC13:AD28" si="2">AB13</f>
        <v>0</v>
      </c>
      <c r="AD13" s="141">
        <f t="shared" si="2"/>
        <v>0</v>
      </c>
      <c r="AE13" s="102"/>
      <c r="AF13" s="154"/>
    </row>
    <row r="14" spans="2:32" s="134" customFormat="1" x14ac:dyDescent="0.2">
      <c r="B14" s="153"/>
      <c r="C14" s="174"/>
      <c r="D14" s="60">
        <v>2</v>
      </c>
      <c r="E14" s="179" t="s">
        <v>496</v>
      </c>
      <c r="F14" s="180" t="s">
        <v>495</v>
      </c>
      <c r="G14" s="181">
        <v>150</v>
      </c>
      <c r="H14" s="181">
        <f t="shared" si="0"/>
        <v>150</v>
      </c>
      <c r="I14" s="140">
        <f t="shared" si="0"/>
        <v>150</v>
      </c>
      <c r="J14" s="140">
        <f t="shared" si="0"/>
        <v>150</v>
      </c>
      <c r="K14" s="81"/>
      <c r="L14" s="78">
        <f>ROUND(G14*tab!$C$38,2)</f>
        <v>23491.5</v>
      </c>
      <c r="M14" s="78">
        <f>ROUND(H14*tab!$C$38,2)</f>
        <v>23491.5</v>
      </c>
      <c r="N14" s="78">
        <f>ROUND(I14*tab!$C$38,2)</f>
        <v>23491.5</v>
      </c>
      <c r="O14" s="78">
        <f>ROUND(J14*tab!$C$38,2)</f>
        <v>23491.5</v>
      </c>
      <c r="P14" s="81"/>
      <c r="Q14" s="182">
        <v>0</v>
      </c>
      <c r="R14" s="141">
        <f t="shared" si="1"/>
        <v>0</v>
      </c>
      <c r="S14" s="141">
        <f t="shared" si="1"/>
        <v>0</v>
      </c>
      <c r="T14" s="141">
        <f t="shared" si="1"/>
        <v>0</v>
      </c>
      <c r="U14" s="81"/>
      <c r="V14" s="78">
        <f>+G14*tab!$C$57</f>
        <v>1114.5</v>
      </c>
      <c r="W14" s="78">
        <f>+H14*tab!$D$57</f>
        <v>1116</v>
      </c>
      <c r="X14" s="78">
        <f>+I14*tab!$D$57</f>
        <v>1116</v>
      </c>
      <c r="Y14" s="78">
        <f>+J14*tab!$D$57</f>
        <v>1116</v>
      </c>
      <c r="Z14" s="81"/>
      <c r="AA14" s="77">
        <v>0</v>
      </c>
      <c r="AB14" s="182">
        <f t="shared" ref="AB14:AB127" si="3">AA14*7/12</f>
        <v>0</v>
      </c>
      <c r="AC14" s="141">
        <f t="shared" si="2"/>
        <v>0</v>
      </c>
      <c r="AD14" s="141">
        <f t="shared" si="2"/>
        <v>0</v>
      </c>
      <c r="AE14" s="102"/>
      <c r="AF14" s="154"/>
    </row>
    <row r="15" spans="2:32" s="134" customFormat="1" x14ac:dyDescent="0.2">
      <c r="B15" s="153"/>
      <c r="C15" s="174"/>
      <c r="D15" s="60">
        <v>3</v>
      </c>
      <c r="E15" s="179" t="s">
        <v>497</v>
      </c>
      <c r="F15" s="180" t="s">
        <v>495</v>
      </c>
      <c r="G15" s="181">
        <v>150</v>
      </c>
      <c r="H15" s="181">
        <f t="shared" si="0"/>
        <v>150</v>
      </c>
      <c r="I15" s="140">
        <f t="shared" si="0"/>
        <v>150</v>
      </c>
      <c r="J15" s="140">
        <f t="shared" si="0"/>
        <v>150</v>
      </c>
      <c r="K15" s="81"/>
      <c r="L15" s="78">
        <f>ROUND(G15*tab!$C$38,2)</f>
        <v>23491.5</v>
      </c>
      <c r="M15" s="78">
        <f>ROUND(H15*tab!$C$38,2)</f>
        <v>23491.5</v>
      </c>
      <c r="N15" s="78">
        <f>ROUND(I15*tab!$C$38,2)</f>
        <v>23491.5</v>
      </c>
      <c r="O15" s="78">
        <f>ROUND(J15*tab!$C$38,2)</f>
        <v>23491.5</v>
      </c>
      <c r="P15" s="81"/>
      <c r="Q15" s="182">
        <v>0</v>
      </c>
      <c r="R15" s="141">
        <f t="shared" si="1"/>
        <v>0</v>
      </c>
      <c r="S15" s="141">
        <f t="shared" si="1"/>
        <v>0</v>
      </c>
      <c r="T15" s="141">
        <f t="shared" si="1"/>
        <v>0</v>
      </c>
      <c r="U15" s="81"/>
      <c r="V15" s="78">
        <f>+G15*tab!$C$57</f>
        <v>1114.5</v>
      </c>
      <c r="W15" s="78">
        <f>+H15*tab!$D$57</f>
        <v>1116</v>
      </c>
      <c r="X15" s="78">
        <f>+I15*tab!$D$57</f>
        <v>1116</v>
      </c>
      <c r="Y15" s="78">
        <f>+J15*tab!$D$57</f>
        <v>1116</v>
      </c>
      <c r="Z15" s="81"/>
      <c r="AA15" s="77">
        <v>0</v>
      </c>
      <c r="AB15" s="182">
        <f t="shared" si="3"/>
        <v>0</v>
      </c>
      <c r="AC15" s="141">
        <f t="shared" si="2"/>
        <v>0</v>
      </c>
      <c r="AD15" s="141">
        <f t="shared" si="2"/>
        <v>0</v>
      </c>
      <c r="AE15" s="102"/>
      <c r="AF15" s="154"/>
    </row>
    <row r="16" spans="2:32" s="134" customFormat="1" x14ac:dyDescent="0.2">
      <c r="B16" s="153"/>
      <c r="C16" s="174"/>
      <c r="D16" s="60">
        <v>4</v>
      </c>
      <c r="E16" s="179" t="s">
        <v>498</v>
      </c>
      <c r="F16" s="180" t="s">
        <v>495</v>
      </c>
      <c r="G16" s="181">
        <v>150</v>
      </c>
      <c r="H16" s="181">
        <f t="shared" si="0"/>
        <v>150</v>
      </c>
      <c r="I16" s="140">
        <f t="shared" si="0"/>
        <v>150</v>
      </c>
      <c r="J16" s="140">
        <f t="shared" si="0"/>
        <v>150</v>
      </c>
      <c r="K16" s="81"/>
      <c r="L16" s="78">
        <f>ROUND(G16*tab!$C$38,2)</f>
        <v>23491.5</v>
      </c>
      <c r="M16" s="78">
        <f>ROUND(H16*tab!$C$38,2)</f>
        <v>23491.5</v>
      </c>
      <c r="N16" s="78">
        <f>ROUND(I16*tab!$C$38,2)</f>
        <v>23491.5</v>
      </c>
      <c r="O16" s="78">
        <f>ROUND(J16*tab!$C$38,2)</f>
        <v>23491.5</v>
      </c>
      <c r="P16" s="81"/>
      <c r="Q16" s="182">
        <v>0</v>
      </c>
      <c r="R16" s="141">
        <f t="shared" si="1"/>
        <v>0</v>
      </c>
      <c r="S16" s="141">
        <f t="shared" si="1"/>
        <v>0</v>
      </c>
      <c r="T16" s="141">
        <f t="shared" si="1"/>
        <v>0</v>
      </c>
      <c r="U16" s="81"/>
      <c r="V16" s="78">
        <f>+G16*tab!$C$57</f>
        <v>1114.5</v>
      </c>
      <c r="W16" s="78">
        <f>+H16*tab!$D$57</f>
        <v>1116</v>
      </c>
      <c r="X16" s="78">
        <f>+I16*tab!$D$57</f>
        <v>1116</v>
      </c>
      <c r="Y16" s="78">
        <f>+J16*tab!$D$57</f>
        <v>1116</v>
      </c>
      <c r="Z16" s="81"/>
      <c r="AA16" s="77">
        <v>0</v>
      </c>
      <c r="AB16" s="182">
        <f t="shared" si="3"/>
        <v>0</v>
      </c>
      <c r="AC16" s="141">
        <f t="shared" si="2"/>
        <v>0</v>
      </c>
      <c r="AD16" s="141">
        <f t="shared" si="2"/>
        <v>0</v>
      </c>
      <c r="AE16" s="102"/>
      <c r="AF16" s="154"/>
    </row>
    <row r="17" spans="2:32" s="134" customFormat="1" x14ac:dyDescent="0.2">
      <c r="B17" s="153"/>
      <c r="C17" s="174"/>
      <c r="D17" s="60">
        <v>5</v>
      </c>
      <c r="E17" s="179" t="s">
        <v>499</v>
      </c>
      <c r="F17" s="180" t="s">
        <v>495</v>
      </c>
      <c r="G17" s="181">
        <v>150</v>
      </c>
      <c r="H17" s="181">
        <f t="shared" si="0"/>
        <v>150</v>
      </c>
      <c r="I17" s="140">
        <f t="shared" si="0"/>
        <v>150</v>
      </c>
      <c r="J17" s="140">
        <f t="shared" si="0"/>
        <v>150</v>
      </c>
      <c r="K17" s="81"/>
      <c r="L17" s="78">
        <f>ROUND(G17*tab!$C$38,2)</f>
        <v>23491.5</v>
      </c>
      <c r="M17" s="78">
        <f>ROUND(H17*tab!$C$38,2)</f>
        <v>23491.5</v>
      </c>
      <c r="N17" s="78">
        <f>ROUND(I17*tab!$C$38,2)</f>
        <v>23491.5</v>
      </c>
      <c r="O17" s="78">
        <f>ROUND(J17*tab!$C$38,2)</f>
        <v>23491.5</v>
      </c>
      <c r="P17" s="81"/>
      <c r="Q17" s="182">
        <v>0</v>
      </c>
      <c r="R17" s="141">
        <f t="shared" si="1"/>
        <v>0</v>
      </c>
      <c r="S17" s="141">
        <f t="shared" si="1"/>
        <v>0</v>
      </c>
      <c r="T17" s="141">
        <f t="shared" si="1"/>
        <v>0</v>
      </c>
      <c r="U17" s="81"/>
      <c r="V17" s="78">
        <f>+G17*tab!$C$57</f>
        <v>1114.5</v>
      </c>
      <c r="W17" s="78">
        <f>+H17*tab!$D$57</f>
        <v>1116</v>
      </c>
      <c r="X17" s="78">
        <f>+I17*tab!$D$57</f>
        <v>1116</v>
      </c>
      <c r="Y17" s="78">
        <f>+J17*tab!$D$57</f>
        <v>1116</v>
      </c>
      <c r="Z17" s="81"/>
      <c r="AA17" s="77">
        <v>0</v>
      </c>
      <c r="AB17" s="182">
        <f t="shared" si="3"/>
        <v>0</v>
      </c>
      <c r="AC17" s="141">
        <f t="shared" si="2"/>
        <v>0</v>
      </c>
      <c r="AD17" s="141">
        <f t="shared" si="2"/>
        <v>0</v>
      </c>
      <c r="AE17" s="102"/>
      <c r="AF17" s="154"/>
    </row>
    <row r="18" spans="2:32" s="134" customFormat="1" x14ac:dyDescent="0.2">
      <c r="B18" s="153"/>
      <c r="C18" s="174"/>
      <c r="D18" s="60">
        <v>6</v>
      </c>
      <c r="E18" s="179" t="s">
        <v>500</v>
      </c>
      <c r="F18" s="180" t="s">
        <v>495</v>
      </c>
      <c r="G18" s="181">
        <v>150</v>
      </c>
      <c r="H18" s="181">
        <f t="shared" si="0"/>
        <v>150</v>
      </c>
      <c r="I18" s="140">
        <f t="shared" si="0"/>
        <v>150</v>
      </c>
      <c r="J18" s="140">
        <f t="shared" si="0"/>
        <v>150</v>
      </c>
      <c r="K18" s="81"/>
      <c r="L18" s="78">
        <f>ROUND(G18*tab!$C$38,2)</f>
        <v>23491.5</v>
      </c>
      <c r="M18" s="78">
        <f>ROUND(H18*tab!$C$38,2)</f>
        <v>23491.5</v>
      </c>
      <c r="N18" s="78">
        <f>ROUND(I18*tab!$C$38,2)</f>
        <v>23491.5</v>
      </c>
      <c r="O18" s="78">
        <f>ROUND(J18*tab!$C$38,2)</f>
        <v>23491.5</v>
      </c>
      <c r="P18" s="81"/>
      <c r="Q18" s="182">
        <v>0</v>
      </c>
      <c r="R18" s="141">
        <f t="shared" si="1"/>
        <v>0</v>
      </c>
      <c r="S18" s="141">
        <f t="shared" si="1"/>
        <v>0</v>
      </c>
      <c r="T18" s="141">
        <f t="shared" si="1"/>
        <v>0</v>
      </c>
      <c r="U18" s="81"/>
      <c r="V18" s="78">
        <f>+G18*tab!$C$57</f>
        <v>1114.5</v>
      </c>
      <c r="W18" s="78">
        <f>+H18*tab!$D$57</f>
        <v>1116</v>
      </c>
      <c r="X18" s="78">
        <f>+I18*tab!$D$57</f>
        <v>1116</v>
      </c>
      <c r="Y18" s="78">
        <f>+J18*tab!$D$57</f>
        <v>1116</v>
      </c>
      <c r="Z18" s="81"/>
      <c r="AA18" s="77">
        <v>0</v>
      </c>
      <c r="AB18" s="182">
        <f t="shared" si="3"/>
        <v>0</v>
      </c>
      <c r="AC18" s="141">
        <f t="shared" si="2"/>
        <v>0</v>
      </c>
      <c r="AD18" s="141">
        <f t="shared" si="2"/>
        <v>0</v>
      </c>
      <c r="AE18" s="102"/>
      <c r="AF18" s="154"/>
    </row>
    <row r="19" spans="2:32" s="134" customFormat="1" x14ac:dyDescent="0.2">
      <c r="B19" s="153"/>
      <c r="C19" s="174"/>
      <c r="D19" s="60">
        <v>7</v>
      </c>
      <c r="E19" s="179" t="s">
        <v>501</v>
      </c>
      <c r="F19" s="180" t="s">
        <v>495</v>
      </c>
      <c r="G19" s="181">
        <v>150</v>
      </c>
      <c r="H19" s="181">
        <f t="shared" si="0"/>
        <v>150</v>
      </c>
      <c r="I19" s="140">
        <f t="shared" si="0"/>
        <v>150</v>
      </c>
      <c r="J19" s="140">
        <f t="shared" si="0"/>
        <v>150</v>
      </c>
      <c r="K19" s="81"/>
      <c r="L19" s="78">
        <f>ROUND(G19*tab!$C$38,2)</f>
        <v>23491.5</v>
      </c>
      <c r="M19" s="78">
        <f>ROUND(H19*tab!$C$38,2)</f>
        <v>23491.5</v>
      </c>
      <c r="N19" s="78">
        <f>ROUND(I19*tab!$C$38,2)</f>
        <v>23491.5</v>
      </c>
      <c r="O19" s="78">
        <f>ROUND(J19*tab!$C$38,2)</f>
        <v>23491.5</v>
      </c>
      <c r="P19" s="81"/>
      <c r="Q19" s="182">
        <v>0</v>
      </c>
      <c r="R19" s="141">
        <f t="shared" si="1"/>
        <v>0</v>
      </c>
      <c r="S19" s="141">
        <f t="shared" si="1"/>
        <v>0</v>
      </c>
      <c r="T19" s="141">
        <f t="shared" si="1"/>
        <v>0</v>
      </c>
      <c r="U19" s="81"/>
      <c r="V19" s="78">
        <f>+G19*tab!$C$57</f>
        <v>1114.5</v>
      </c>
      <c r="W19" s="78">
        <f>+H19*tab!$D$57</f>
        <v>1116</v>
      </c>
      <c r="X19" s="78">
        <f>+I19*tab!$D$57</f>
        <v>1116</v>
      </c>
      <c r="Y19" s="78">
        <f>+J19*tab!$D$57</f>
        <v>1116</v>
      </c>
      <c r="Z19" s="81"/>
      <c r="AA19" s="77">
        <v>0</v>
      </c>
      <c r="AB19" s="182">
        <f t="shared" si="3"/>
        <v>0</v>
      </c>
      <c r="AC19" s="141">
        <f t="shared" si="2"/>
        <v>0</v>
      </c>
      <c r="AD19" s="141">
        <f t="shared" si="2"/>
        <v>0</v>
      </c>
      <c r="AE19" s="102"/>
      <c r="AF19" s="154"/>
    </row>
    <row r="20" spans="2:32" s="134" customFormat="1" x14ac:dyDescent="0.2">
      <c r="B20" s="153"/>
      <c r="C20" s="174"/>
      <c r="D20" s="60">
        <v>8</v>
      </c>
      <c r="E20" s="179" t="s">
        <v>502</v>
      </c>
      <c r="F20" s="180" t="s">
        <v>495</v>
      </c>
      <c r="G20" s="181">
        <v>150</v>
      </c>
      <c r="H20" s="181">
        <f t="shared" si="0"/>
        <v>150</v>
      </c>
      <c r="I20" s="140">
        <f t="shared" si="0"/>
        <v>150</v>
      </c>
      <c r="J20" s="140">
        <f t="shared" si="0"/>
        <v>150</v>
      </c>
      <c r="K20" s="81"/>
      <c r="L20" s="78">
        <f>ROUND(G20*tab!$C$38,2)</f>
        <v>23491.5</v>
      </c>
      <c r="M20" s="78">
        <f>ROUND(H20*tab!$C$38,2)</f>
        <v>23491.5</v>
      </c>
      <c r="N20" s="78">
        <f>ROUND(I20*tab!$C$38,2)</f>
        <v>23491.5</v>
      </c>
      <c r="O20" s="78">
        <f>ROUND(J20*tab!$C$38,2)</f>
        <v>23491.5</v>
      </c>
      <c r="P20" s="81"/>
      <c r="Q20" s="182">
        <v>0</v>
      </c>
      <c r="R20" s="141">
        <f t="shared" si="1"/>
        <v>0</v>
      </c>
      <c r="S20" s="141">
        <f t="shared" si="1"/>
        <v>0</v>
      </c>
      <c r="T20" s="141">
        <f t="shared" si="1"/>
        <v>0</v>
      </c>
      <c r="U20" s="81"/>
      <c r="V20" s="78">
        <f>+G20*tab!$C$57</f>
        <v>1114.5</v>
      </c>
      <c r="W20" s="78">
        <f>+H20*tab!$D$57</f>
        <v>1116</v>
      </c>
      <c r="X20" s="78">
        <f>+I20*tab!$D$57</f>
        <v>1116</v>
      </c>
      <c r="Y20" s="78">
        <f>+J20*tab!$D$57</f>
        <v>1116</v>
      </c>
      <c r="Z20" s="81"/>
      <c r="AA20" s="77">
        <v>0</v>
      </c>
      <c r="AB20" s="182">
        <f t="shared" si="3"/>
        <v>0</v>
      </c>
      <c r="AC20" s="141">
        <f t="shared" si="2"/>
        <v>0</v>
      </c>
      <c r="AD20" s="141">
        <f t="shared" si="2"/>
        <v>0</v>
      </c>
      <c r="AE20" s="102"/>
      <c r="AF20" s="154"/>
    </row>
    <row r="21" spans="2:32" s="134" customFormat="1" x14ac:dyDescent="0.2">
      <c r="B21" s="153"/>
      <c r="C21" s="174"/>
      <c r="D21" s="60">
        <v>9</v>
      </c>
      <c r="E21" s="179" t="s">
        <v>503</v>
      </c>
      <c r="F21" s="180" t="s">
        <v>495</v>
      </c>
      <c r="G21" s="181">
        <v>150</v>
      </c>
      <c r="H21" s="181">
        <f t="shared" si="0"/>
        <v>150</v>
      </c>
      <c r="I21" s="140">
        <f t="shared" si="0"/>
        <v>150</v>
      </c>
      <c r="J21" s="140">
        <f t="shared" si="0"/>
        <v>150</v>
      </c>
      <c r="K21" s="81"/>
      <c r="L21" s="78">
        <f>ROUND(G21*tab!$C$38,2)</f>
        <v>23491.5</v>
      </c>
      <c r="M21" s="78">
        <f>ROUND(H21*tab!$C$38,2)</f>
        <v>23491.5</v>
      </c>
      <c r="N21" s="78">
        <f>ROUND(I21*tab!$C$38,2)</f>
        <v>23491.5</v>
      </c>
      <c r="O21" s="78">
        <f>ROUND(J21*tab!$C$38,2)</f>
        <v>23491.5</v>
      </c>
      <c r="P21" s="81"/>
      <c r="Q21" s="182">
        <v>0</v>
      </c>
      <c r="R21" s="141">
        <f t="shared" si="1"/>
        <v>0</v>
      </c>
      <c r="S21" s="141">
        <f t="shared" si="1"/>
        <v>0</v>
      </c>
      <c r="T21" s="141">
        <f t="shared" si="1"/>
        <v>0</v>
      </c>
      <c r="U21" s="81"/>
      <c r="V21" s="78">
        <f>+G21*tab!$C$57</f>
        <v>1114.5</v>
      </c>
      <c r="W21" s="78">
        <f>+H21*tab!$D$57</f>
        <v>1116</v>
      </c>
      <c r="X21" s="78">
        <f>+I21*tab!$D$57</f>
        <v>1116</v>
      </c>
      <c r="Y21" s="78">
        <f>+J21*tab!$D$57</f>
        <v>1116</v>
      </c>
      <c r="Z21" s="81"/>
      <c r="AA21" s="77">
        <v>0</v>
      </c>
      <c r="AB21" s="182">
        <f t="shared" si="3"/>
        <v>0</v>
      </c>
      <c r="AC21" s="141">
        <f t="shared" si="2"/>
        <v>0</v>
      </c>
      <c r="AD21" s="141">
        <f t="shared" si="2"/>
        <v>0</v>
      </c>
      <c r="AE21" s="102"/>
      <c r="AF21" s="154"/>
    </row>
    <row r="22" spans="2:32" s="134" customFormat="1" x14ac:dyDescent="0.2">
      <c r="B22" s="153"/>
      <c r="C22" s="174"/>
      <c r="D22" s="60">
        <v>10</v>
      </c>
      <c r="E22" s="179" t="s">
        <v>504</v>
      </c>
      <c r="F22" s="180" t="s">
        <v>495</v>
      </c>
      <c r="G22" s="181">
        <v>150</v>
      </c>
      <c r="H22" s="181">
        <f t="shared" si="0"/>
        <v>150</v>
      </c>
      <c r="I22" s="140">
        <f t="shared" si="0"/>
        <v>150</v>
      </c>
      <c r="J22" s="140">
        <f t="shared" si="0"/>
        <v>150</v>
      </c>
      <c r="K22" s="81"/>
      <c r="L22" s="78">
        <f>ROUND(G22*tab!$C$38,2)</f>
        <v>23491.5</v>
      </c>
      <c r="M22" s="78">
        <f>ROUND(H22*tab!$C$38,2)</f>
        <v>23491.5</v>
      </c>
      <c r="N22" s="78">
        <f>ROUND(I22*tab!$C$38,2)</f>
        <v>23491.5</v>
      </c>
      <c r="O22" s="78">
        <f>ROUND(J22*tab!$C$38,2)</f>
        <v>23491.5</v>
      </c>
      <c r="P22" s="81"/>
      <c r="Q22" s="182">
        <v>0</v>
      </c>
      <c r="R22" s="141">
        <f t="shared" si="1"/>
        <v>0</v>
      </c>
      <c r="S22" s="141">
        <f t="shared" si="1"/>
        <v>0</v>
      </c>
      <c r="T22" s="141">
        <f t="shared" si="1"/>
        <v>0</v>
      </c>
      <c r="U22" s="81"/>
      <c r="V22" s="78">
        <f>+G22*tab!$C$57</f>
        <v>1114.5</v>
      </c>
      <c r="W22" s="78">
        <f>+H22*tab!$D$57</f>
        <v>1116</v>
      </c>
      <c r="X22" s="78">
        <f>+I22*tab!$D$57</f>
        <v>1116</v>
      </c>
      <c r="Y22" s="78">
        <f>+J22*tab!$D$57</f>
        <v>1116</v>
      </c>
      <c r="Z22" s="81"/>
      <c r="AA22" s="77">
        <v>0</v>
      </c>
      <c r="AB22" s="182">
        <f t="shared" si="3"/>
        <v>0</v>
      </c>
      <c r="AC22" s="141">
        <f t="shared" si="2"/>
        <v>0</v>
      </c>
      <c r="AD22" s="141">
        <f t="shared" si="2"/>
        <v>0</v>
      </c>
      <c r="AE22" s="102"/>
      <c r="AF22" s="154"/>
    </row>
    <row r="23" spans="2:32" s="134" customFormat="1" x14ac:dyDescent="0.2">
      <c r="B23" s="153"/>
      <c r="C23" s="174"/>
      <c r="D23" s="60">
        <v>11</v>
      </c>
      <c r="E23" s="179" t="s">
        <v>505</v>
      </c>
      <c r="F23" s="180" t="s">
        <v>495</v>
      </c>
      <c r="G23" s="181">
        <v>150</v>
      </c>
      <c r="H23" s="181">
        <f t="shared" si="0"/>
        <v>150</v>
      </c>
      <c r="I23" s="140">
        <f t="shared" si="0"/>
        <v>150</v>
      </c>
      <c r="J23" s="140">
        <f t="shared" si="0"/>
        <v>150</v>
      </c>
      <c r="K23" s="81"/>
      <c r="L23" s="78">
        <f>ROUND(G23*tab!$C$38,2)</f>
        <v>23491.5</v>
      </c>
      <c r="M23" s="78">
        <f>ROUND(H23*tab!$C$38,2)</f>
        <v>23491.5</v>
      </c>
      <c r="N23" s="78">
        <f>ROUND(I23*tab!$C$38,2)</f>
        <v>23491.5</v>
      </c>
      <c r="O23" s="78">
        <f>ROUND(J23*tab!$C$38,2)</f>
        <v>23491.5</v>
      </c>
      <c r="P23" s="81"/>
      <c r="Q23" s="182">
        <v>0</v>
      </c>
      <c r="R23" s="141">
        <f t="shared" si="1"/>
        <v>0</v>
      </c>
      <c r="S23" s="141">
        <f t="shared" si="1"/>
        <v>0</v>
      </c>
      <c r="T23" s="141">
        <f t="shared" si="1"/>
        <v>0</v>
      </c>
      <c r="U23" s="81"/>
      <c r="V23" s="78">
        <f>+G23*tab!$C$57</f>
        <v>1114.5</v>
      </c>
      <c r="W23" s="78">
        <f>+H23*tab!$D$57</f>
        <v>1116</v>
      </c>
      <c r="X23" s="78">
        <f>+I23*tab!$D$57</f>
        <v>1116</v>
      </c>
      <c r="Y23" s="78">
        <f>+J23*tab!$D$57</f>
        <v>1116</v>
      </c>
      <c r="Z23" s="81"/>
      <c r="AA23" s="77">
        <v>0</v>
      </c>
      <c r="AB23" s="182">
        <f t="shared" si="3"/>
        <v>0</v>
      </c>
      <c r="AC23" s="141">
        <f t="shared" si="2"/>
        <v>0</v>
      </c>
      <c r="AD23" s="141">
        <f t="shared" si="2"/>
        <v>0</v>
      </c>
      <c r="AE23" s="102"/>
      <c r="AF23" s="154"/>
    </row>
    <row r="24" spans="2:32" s="134" customFormat="1" x14ac:dyDescent="0.2">
      <c r="B24" s="153"/>
      <c r="C24" s="174"/>
      <c r="D24" s="60">
        <v>12</v>
      </c>
      <c r="E24" s="179" t="s">
        <v>506</v>
      </c>
      <c r="F24" s="180" t="s">
        <v>495</v>
      </c>
      <c r="G24" s="181">
        <v>150</v>
      </c>
      <c r="H24" s="181">
        <f t="shared" si="0"/>
        <v>150</v>
      </c>
      <c r="I24" s="140">
        <f t="shared" si="0"/>
        <v>150</v>
      </c>
      <c r="J24" s="140">
        <f t="shared" si="0"/>
        <v>150</v>
      </c>
      <c r="K24" s="81"/>
      <c r="L24" s="78">
        <f>ROUND(G24*tab!$C$38,2)</f>
        <v>23491.5</v>
      </c>
      <c r="M24" s="78">
        <f>ROUND(H24*tab!$C$38,2)</f>
        <v>23491.5</v>
      </c>
      <c r="N24" s="78">
        <f>ROUND(I24*tab!$C$38,2)</f>
        <v>23491.5</v>
      </c>
      <c r="O24" s="78">
        <f>ROUND(J24*tab!$C$38,2)</f>
        <v>23491.5</v>
      </c>
      <c r="P24" s="81"/>
      <c r="Q24" s="182">
        <v>0</v>
      </c>
      <c r="R24" s="141">
        <f t="shared" si="1"/>
        <v>0</v>
      </c>
      <c r="S24" s="141">
        <f t="shared" si="1"/>
        <v>0</v>
      </c>
      <c r="T24" s="141">
        <f t="shared" si="1"/>
        <v>0</v>
      </c>
      <c r="U24" s="81"/>
      <c r="V24" s="78">
        <f>+G24*tab!$C$57</f>
        <v>1114.5</v>
      </c>
      <c r="W24" s="78">
        <f>+H24*tab!$D$57</f>
        <v>1116</v>
      </c>
      <c r="X24" s="78">
        <f>+I24*tab!$D$57</f>
        <v>1116</v>
      </c>
      <c r="Y24" s="78">
        <f>+J24*tab!$D$57</f>
        <v>1116</v>
      </c>
      <c r="Z24" s="81"/>
      <c r="AA24" s="77">
        <v>0</v>
      </c>
      <c r="AB24" s="182">
        <f t="shared" si="3"/>
        <v>0</v>
      </c>
      <c r="AC24" s="141">
        <f t="shared" si="2"/>
        <v>0</v>
      </c>
      <c r="AD24" s="141">
        <f t="shared" si="2"/>
        <v>0</v>
      </c>
      <c r="AE24" s="102"/>
      <c r="AF24" s="154"/>
    </row>
    <row r="25" spans="2:32" s="134" customFormat="1" x14ac:dyDescent="0.2">
      <c r="B25" s="153"/>
      <c r="C25" s="174"/>
      <c r="D25" s="60">
        <v>13</v>
      </c>
      <c r="E25" s="179" t="s">
        <v>507</v>
      </c>
      <c r="F25" s="180" t="s">
        <v>495</v>
      </c>
      <c r="G25" s="181">
        <v>150</v>
      </c>
      <c r="H25" s="181">
        <f t="shared" si="0"/>
        <v>150</v>
      </c>
      <c r="I25" s="140">
        <f t="shared" si="0"/>
        <v>150</v>
      </c>
      <c r="J25" s="140">
        <f t="shared" si="0"/>
        <v>150</v>
      </c>
      <c r="K25" s="81"/>
      <c r="L25" s="78">
        <f>ROUND(G25*tab!$C$38,2)</f>
        <v>23491.5</v>
      </c>
      <c r="M25" s="78">
        <f>ROUND(H25*tab!$C$38,2)</f>
        <v>23491.5</v>
      </c>
      <c r="N25" s="78">
        <f>ROUND(I25*tab!$C$38,2)</f>
        <v>23491.5</v>
      </c>
      <c r="O25" s="78">
        <f>ROUND(J25*tab!$C$38,2)</f>
        <v>23491.5</v>
      </c>
      <c r="P25" s="81"/>
      <c r="Q25" s="182">
        <v>0</v>
      </c>
      <c r="R25" s="141">
        <f t="shared" si="1"/>
        <v>0</v>
      </c>
      <c r="S25" s="141">
        <f t="shared" si="1"/>
        <v>0</v>
      </c>
      <c r="T25" s="141">
        <f t="shared" si="1"/>
        <v>0</v>
      </c>
      <c r="U25" s="81"/>
      <c r="V25" s="78">
        <f>+G25*tab!$C$57</f>
        <v>1114.5</v>
      </c>
      <c r="W25" s="78">
        <f>+H25*tab!$D$57</f>
        <v>1116</v>
      </c>
      <c r="X25" s="78">
        <f>+I25*tab!$D$57</f>
        <v>1116</v>
      </c>
      <c r="Y25" s="78">
        <f>+J25*tab!$D$57</f>
        <v>1116</v>
      </c>
      <c r="Z25" s="81"/>
      <c r="AA25" s="77">
        <v>0</v>
      </c>
      <c r="AB25" s="182">
        <f t="shared" si="3"/>
        <v>0</v>
      </c>
      <c r="AC25" s="141">
        <f t="shared" si="2"/>
        <v>0</v>
      </c>
      <c r="AD25" s="141">
        <f t="shared" si="2"/>
        <v>0</v>
      </c>
      <c r="AE25" s="102"/>
      <c r="AF25" s="154"/>
    </row>
    <row r="26" spans="2:32" s="134" customFormat="1" x14ac:dyDescent="0.2">
      <c r="B26" s="153"/>
      <c r="C26" s="174"/>
      <c r="D26" s="60">
        <v>14</v>
      </c>
      <c r="E26" s="179" t="s">
        <v>508</v>
      </c>
      <c r="F26" s="180" t="s">
        <v>495</v>
      </c>
      <c r="G26" s="181">
        <v>150</v>
      </c>
      <c r="H26" s="181">
        <f t="shared" si="0"/>
        <v>150</v>
      </c>
      <c r="I26" s="140">
        <f t="shared" si="0"/>
        <v>150</v>
      </c>
      <c r="J26" s="140">
        <f t="shared" si="0"/>
        <v>150</v>
      </c>
      <c r="K26" s="81"/>
      <c r="L26" s="78">
        <f>ROUND(G26*tab!$C$38,2)</f>
        <v>23491.5</v>
      </c>
      <c r="M26" s="78">
        <f>ROUND(H26*tab!$C$38,2)</f>
        <v>23491.5</v>
      </c>
      <c r="N26" s="78">
        <f>ROUND(I26*tab!$C$38,2)</f>
        <v>23491.5</v>
      </c>
      <c r="O26" s="78">
        <f>ROUND(J26*tab!$C$38,2)</f>
        <v>23491.5</v>
      </c>
      <c r="P26" s="81"/>
      <c r="Q26" s="182">
        <v>0</v>
      </c>
      <c r="R26" s="141">
        <f t="shared" si="1"/>
        <v>0</v>
      </c>
      <c r="S26" s="141">
        <f t="shared" si="1"/>
        <v>0</v>
      </c>
      <c r="T26" s="141">
        <f t="shared" si="1"/>
        <v>0</v>
      </c>
      <c r="U26" s="81"/>
      <c r="V26" s="78">
        <f>+G26*tab!$C$57</f>
        <v>1114.5</v>
      </c>
      <c r="W26" s="78">
        <f>+H26*tab!$D$57</f>
        <v>1116</v>
      </c>
      <c r="X26" s="78">
        <f>+I26*tab!$D$57</f>
        <v>1116</v>
      </c>
      <c r="Y26" s="78">
        <f>+J26*tab!$D$57</f>
        <v>1116</v>
      </c>
      <c r="Z26" s="81"/>
      <c r="AA26" s="77">
        <v>0</v>
      </c>
      <c r="AB26" s="182">
        <f t="shared" si="3"/>
        <v>0</v>
      </c>
      <c r="AC26" s="141">
        <f t="shared" si="2"/>
        <v>0</v>
      </c>
      <c r="AD26" s="141">
        <f t="shared" si="2"/>
        <v>0</v>
      </c>
      <c r="AE26" s="102"/>
      <c r="AF26" s="154"/>
    </row>
    <row r="27" spans="2:32" s="134" customFormat="1" x14ac:dyDescent="0.2">
      <c r="B27" s="153"/>
      <c r="C27" s="174"/>
      <c r="D27" s="60">
        <v>15</v>
      </c>
      <c r="E27" s="179" t="s">
        <v>509</v>
      </c>
      <c r="F27" s="180" t="s">
        <v>495</v>
      </c>
      <c r="G27" s="181">
        <v>150</v>
      </c>
      <c r="H27" s="181">
        <f t="shared" si="0"/>
        <v>150</v>
      </c>
      <c r="I27" s="140">
        <f t="shared" si="0"/>
        <v>150</v>
      </c>
      <c r="J27" s="140">
        <f t="shared" si="0"/>
        <v>150</v>
      </c>
      <c r="K27" s="81"/>
      <c r="L27" s="78">
        <f>ROUND(G27*tab!$C$38,2)</f>
        <v>23491.5</v>
      </c>
      <c r="M27" s="78">
        <f>ROUND(H27*tab!$C$38,2)</f>
        <v>23491.5</v>
      </c>
      <c r="N27" s="78">
        <f>ROUND(I27*tab!$C$38,2)</f>
        <v>23491.5</v>
      </c>
      <c r="O27" s="78">
        <f>ROUND(J27*tab!$C$38,2)</f>
        <v>23491.5</v>
      </c>
      <c r="P27" s="81"/>
      <c r="Q27" s="182">
        <v>0</v>
      </c>
      <c r="R27" s="141">
        <f t="shared" si="1"/>
        <v>0</v>
      </c>
      <c r="S27" s="141">
        <f t="shared" si="1"/>
        <v>0</v>
      </c>
      <c r="T27" s="141">
        <f t="shared" si="1"/>
        <v>0</v>
      </c>
      <c r="U27" s="81"/>
      <c r="V27" s="78">
        <f>+G27*tab!$C$57</f>
        <v>1114.5</v>
      </c>
      <c r="W27" s="78">
        <f>+H27*tab!$D$57</f>
        <v>1116</v>
      </c>
      <c r="X27" s="78">
        <f>+I27*tab!$D$57</f>
        <v>1116</v>
      </c>
      <c r="Y27" s="78">
        <f>+J27*tab!$D$57</f>
        <v>1116</v>
      </c>
      <c r="Z27" s="81"/>
      <c r="AA27" s="77">
        <v>0</v>
      </c>
      <c r="AB27" s="182">
        <f t="shared" si="3"/>
        <v>0</v>
      </c>
      <c r="AC27" s="141">
        <f t="shared" si="2"/>
        <v>0</v>
      </c>
      <c r="AD27" s="141">
        <f t="shared" si="2"/>
        <v>0</v>
      </c>
      <c r="AE27" s="102"/>
      <c r="AF27" s="154"/>
    </row>
    <row r="28" spans="2:32" s="134" customFormat="1" x14ac:dyDescent="0.2">
      <c r="B28" s="153"/>
      <c r="C28" s="174"/>
      <c r="D28" s="60">
        <v>16</v>
      </c>
      <c r="E28" s="179" t="s">
        <v>510</v>
      </c>
      <c r="F28" s="180" t="s">
        <v>495</v>
      </c>
      <c r="G28" s="181">
        <v>150</v>
      </c>
      <c r="H28" s="181">
        <f t="shared" si="0"/>
        <v>150</v>
      </c>
      <c r="I28" s="140">
        <f t="shared" si="0"/>
        <v>150</v>
      </c>
      <c r="J28" s="140">
        <f t="shared" si="0"/>
        <v>150</v>
      </c>
      <c r="K28" s="81"/>
      <c r="L28" s="78">
        <f>ROUND(G28*tab!$C$38,2)</f>
        <v>23491.5</v>
      </c>
      <c r="M28" s="78">
        <f>ROUND(H28*tab!$C$38,2)</f>
        <v>23491.5</v>
      </c>
      <c r="N28" s="78">
        <f>ROUND(I28*tab!$C$38,2)</f>
        <v>23491.5</v>
      </c>
      <c r="O28" s="78">
        <f>ROUND(J28*tab!$C$38,2)</f>
        <v>23491.5</v>
      </c>
      <c r="P28" s="81"/>
      <c r="Q28" s="182">
        <v>0</v>
      </c>
      <c r="R28" s="141">
        <f t="shared" si="1"/>
        <v>0</v>
      </c>
      <c r="S28" s="141">
        <f t="shared" si="1"/>
        <v>0</v>
      </c>
      <c r="T28" s="141">
        <f t="shared" si="1"/>
        <v>0</v>
      </c>
      <c r="U28" s="81"/>
      <c r="V28" s="78">
        <f>+G28*tab!$C$57</f>
        <v>1114.5</v>
      </c>
      <c r="W28" s="78">
        <f>+H28*tab!$D$57</f>
        <v>1116</v>
      </c>
      <c r="X28" s="78">
        <f>+I28*tab!$D$57</f>
        <v>1116</v>
      </c>
      <c r="Y28" s="78">
        <f>+J28*tab!$D$57</f>
        <v>1116</v>
      </c>
      <c r="Z28" s="81"/>
      <c r="AA28" s="77">
        <v>0</v>
      </c>
      <c r="AB28" s="182">
        <f t="shared" si="3"/>
        <v>0</v>
      </c>
      <c r="AC28" s="141">
        <f t="shared" si="2"/>
        <v>0</v>
      </c>
      <c r="AD28" s="141">
        <f t="shared" si="2"/>
        <v>0</v>
      </c>
      <c r="AE28" s="102"/>
      <c r="AF28" s="154"/>
    </row>
    <row r="29" spans="2:32" s="134" customFormat="1" x14ac:dyDescent="0.2">
      <c r="B29" s="153"/>
      <c r="C29" s="174"/>
      <c r="D29" s="60">
        <v>17</v>
      </c>
      <c r="E29" s="179" t="s">
        <v>511</v>
      </c>
      <c r="F29" s="180" t="s">
        <v>495</v>
      </c>
      <c r="G29" s="181">
        <v>150</v>
      </c>
      <c r="H29" s="181">
        <f t="shared" ref="H29:J44" si="4">G29</f>
        <v>150</v>
      </c>
      <c r="I29" s="140">
        <f t="shared" si="4"/>
        <v>150</v>
      </c>
      <c r="J29" s="140">
        <f t="shared" si="4"/>
        <v>150</v>
      </c>
      <c r="K29" s="81"/>
      <c r="L29" s="78">
        <f>ROUND(G29*tab!$C$38,2)</f>
        <v>23491.5</v>
      </c>
      <c r="M29" s="78">
        <f>ROUND(H29*tab!$C$38,2)</f>
        <v>23491.5</v>
      </c>
      <c r="N29" s="78">
        <f>ROUND(I29*tab!$C$38,2)</f>
        <v>23491.5</v>
      </c>
      <c r="O29" s="78">
        <f>ROUND(J29*tab!$C$38,2)</f>
        <v>23491.5</v>
      </c>
      <c r="P29" s="81"/>
      <c r="Q29" s="182">
        <v>0</v>
      </c>
      <c r="R29" s="141">
        <f t="shared" ref="R29:T44" si="5">Q29</f>
        <v>0</v>
      </c>
      <c r="S29" s="141">
        <f t="shared" si="5"/>
        <v>0</v>
      </c>
      <c r="T29" s="141">
        <f t="shared" si="5"/>
        <v>0</v>
      </c>
      <c r="U29" s="81"/>
      <c r="V29" s="78">
        <f>+G29*tab!$C$57</f>
        <v>1114.5</v>
      </c>
      <c r="W29" s="78">
        <f>+H29*tab!$D$57</f>
        <v>1116</v>
      </c>
      <c r="X29" s="78">
        <f>+I29*tab!$D$57</f>
        <v>1116</v>
      </c>
      <c r="Y29" s="78">
        <f>+J29*tab!$D$57</f>
        <v>1116</v>
      </c>
      <c r="Z29" s="81"/>
      <c r="AA29" s="77">
        <v>0</v>
      </c>
      <c r="AB29" s="182">
        <f t="shared" si="3"/>
        <v>0</v>
      </c>
      <c r="AC29" s="141">
        <f>AB29</f>
        <v>0</v>
      </c>
      <c r="AD29" s="141">
        <f>AC29</f>
        <v>0</v>
      </c>
      <c r="AE29" s="102"/>
      <c r="AF29" s="154"/>
    </row>
    <row r="30" spans="2:32" s="134" customFormat="1" x14ac:dyDescent="0.2">
      <c r="B30" s="153"/>
      <c r="C30" s="174"/>
      <c r="D30" s="60">
        <v>18</v>
      </c>
      <c r="E30" s="179" t="s">
        <v>512</v>
      </c>
      <c r="F30" s="180" t="s">
        <v>495</v>
      </c>
      <c r="G30" s="181">
        <v>150</v>
      </c>
      <c r="H30" s="181">
        <f t="shared" si="4"/>
        <v>150</v>
      </c>
      <c r="I30" s="140">
        <f t="shared" si="4"/>
        <v>150</v>
      </c>
      <c r="J30" s="140">
        <f t="shared" si="4"/>
        <v>150</v>
      </c>
      <c r="K30" s="81"/>
      <c r="L30" s="78">
        <f>ROUND(G30*tab!$C$38,2)</f>
        <v>23491.5</v>
      </c>
      <c r="M30" s="78">
        <f>ROUND(H30*tab!$C$38,2)</f>
        <v>23491.5</v>
      </c>
      <c r="N30" s="78">
        <f>ROUND(I30*tab!$C$38,2)</f>
        <v>23491.5</v>
      </c>
      <c r="O30" s="78">
        <f>ROUND(J30*tab!$C$38,2)</f>
        <v>23491.5</v>
      </c>
      <c r="P30" s="81"/>
      <c r="Q30" s="182">
        <v>0</v>
      </c>
      <c r="R30" s="141">
        <f t="shared" si="5"/>
        <v>0</v>
      </c>
      <c r="S30" s="141">
        <f t="shared" si="5"/>
        <v>0</v>
      </c>
      <c r="T30" s="141">
        <f t="shared" si="5"/>
        <v>0</v>
      </c>
      <c r="U30" s="81"/>
      <c r="V30" s="78">
        <f>+G30*tab!$C$57</f>
        <v>1114.5</v>
      </c>
      <c r="W30" s="78">
        <f>+H30*tab!$D$57</f>
        <v>1116</v>
      </c>
      <c r="X30" s="78">
        <f>+I30*tab!$D$57</f>
        <v>1116</v>
      </c>
      <c r="Y30" s="78">
        <f>+J30*tab!$D$57</f>
        <v>1116</v>
      </c>
      <c r="Z30" s="81"/>
      <c r="AA30" s="77">
        <v>0</v>
      </c>
      <c r="AB30" s="182">
        <f t="shared" si="3"/>
        <v>0</v>
      </c>
      <c r="AC30" s="141">
        <f t="shared" ref="AC30:AD45" si="6">AB30</f>
        <v>0</v>
      </c>
      <c r="AD30" s="141">
        <f t="shared" si="6"/>
        <v>0</v>
      </c>
      <c r="AE30" s="102"/>
      <c r="AF30" s="154"/>
    </row>
    <row r="31" spans="2:32" s="134" customFormat="1" x14ac:dyDescent="0.2">
      <c r="B31" s="153"/>
      <c r="C31" s="174"/>
      <c r="D31" s="60">
        <v>19</v>
      </c>
      <c r="E31" s="179" t="s">
        <v>513</v>
      </c>
      <c r="F31" s="180" t="s">
        <v>495</v>
      </c>
      <c r="G31" s="181">
        <v>150</v>
      </c>
      <c r="H31" s="181">
        <f t="shared" si="4"/>
        <v>150</v>
      </c>
      <c r="I31" s="140">
        <f t="shared" si="4"/>
        <v>150</v>
      </c>
      <c r="J31" s="140">
        <f t="shared" si="4"/>
        <v>150</v>
      </c>
      <c r="K31" s="81"/>
      <c r="L31" s="78">
        <f>ROUND(G31*tab!$C$38,2)</f>
        <v>23491.5</v>
      </c>
      <c r="M31" s="78">
        <f>ROUND(H31*tab!$C$38,2)</f>
        <v>23491.5</v>
      </c>
      <c r="N31" s="78">
        <f>ROUND(I31*tab!$C$38,2)</f>
        <v>23491.5</v>
      </c>
      <c r="O31" s="78">
        <f>ROUND(J31*tab!$C$38,2)</f>
        <v>23491.5</v>
      </c>
      <c r="P31" s="81"/>
      <c r="Q31" s="182">
        <v>0</v>
      </c>
      <c r="R31" s="141">
        <f t="shared" si="5"/>
        <v>0</v>
      </c>
      <c r="S31" s="141">
        <f t="shared" si="5"/>
        <v>0</v>
      </c>
      <c r="T31" s="141">
        <f t="shared" si="5"/>
        <v>0</v>
      </c>
      <c r="U31" s="81"/>
      <c r="V31" s="78">
        <f>+G31*tab!$C$57</f>
        <v>1114.5</v>
      </c>
      <c r="W31" s="78">
        <f>+H31*tab!$D$57</f>
        <v>1116</v>
      </c>
      <c r="X31" s="78">
        <f>+I31*tab!$D$57</f>
        <v>1116</v>
      </c>
      <c r="Y31" s="78">
        <f>+J31*tab!$D$57</f>
        <v>1116</v>
      </c>
      <c r="Z31" s="81"/>
      <c r="AA31" s="77">
        <v>0</v>
      </c>
      <c r="AB31" s="182">
        <f t="shared" si="3"/>
        <v>0</v>
      </c>
      <c r="AC31" s="141">
        <f t="shared" si="6"/>
        <v>0</v>
      </c>
      <c r="AD31" s="141">
        <f t="shared" si="6"/>
        <v>0</v>
      </c>
      <c r="AE31" s="102"/>
      <c r="AF31" s="154"/>
    </row>
    <row r="32" spans="2:32" s="134" customFormat="1" x14ac:dyDescent="0.2">
      <c r="B32" s="153"/>
      <c r="C32" s="174"/>
      <c r="D32" s="60">
        <v>20</v>
      </c>
      <c r="E32" s="179" t="s">
        <v>514</v>
      </c>
      <c r="F32" s="180" t="s">
        <v>495</v>
      </c>
      <c r="G32" s="181">
        <v>150</v>
      </c>
      <c r="H32" s="181">
        <f t="shared" si="4"/>
        <v>150</v>
      </c>
      <c r="I32" s="140">
        <f t="shared" si="4"/>
        <v>150</v>
      </c>
      <c r="J32" s="140">
        <f t="shared" si="4"/>
        <v>150</v>
      </c>
      <c r="K32" s="81"/>
      <c r="L32" s="78">
        <f>ROUND(G32*tab!$C$38,2)</f>
        <v>23491.5</v>
      </c>
      <c r="M32" s="78">
        <f>ROUND(H32*tab!$C$38,2)</f>
        <v>23491.5</v>
      </c>
      <c r="N32" s="78">
        <f>ROUND(I32*tab!$C$38,2)</f>
        <v>23491.5</v>
      </c>
      <c r="O32" s="78">
        <f>ROUND(J32*tab!$C$38,2)</f>
        <v>23491.5</v>
      </c>
      <c r="P32" s="81"/>
      <c r="Q32" s="182">
        <v>0</v>
      </c>
      <c r="R32" s="141">
        <f t="shared" si="5"/>
        <v>0</v>
      </c>
      <c r="S32" s="141">
        <f t="shared" si="5"/>
        <v>0</v>
      </c>
      <c r="T32" s="141">
        <f t="shared" si="5"/>
        <v>0</v>
      </c>
      <c r="U32" s="81"/>
      <c r="V32" s="78">
        <f>+G32*tab!$C$57</f>
        <v>1114.5</v>
      </c>
      <c r="W32" s="78">
        <f>+H32*tab!$D$57</f>
        <v>1116</v>
      </c>
      <c r="X32" s="78">
        <f>+I32*tab!$D$57</f>
        <v>1116</v>
      </c>
      <c r="Y32" s="78">
        <f>+J32*tab!$D$57</f>
        <v>1116</v>
      </c>
      <c r="Z32" s="81"/>
      <c r="AA32" s="77">
        <v>0</v>
      </c>
      <c r="AB32" s="182">
        <f t="shared" si="3"/>
        <v>0</v>
      </c>
      <c r="AC32" s="141">
        <f t="shared" si="6"/>
        <v>0</v>
      </c>
      <c r="AD32" s="141">
        <f t="shared" si="6"/>
        <v>0</v>
      </c>
      <c r="AE32" s="102"/>
      <c r="AF32" s="154"/>
    </row>
    <row r="33" spans="2:32" s="134" customFormat="1" x14ac:dyDescent="0.2">
      <c r="B33" s="153"/>
      <c r="C33" s="174"/>
      <c r="D33" s="60">
        <v>21</v>
      </c>
      <c r="E33" s="179" t="s">
        <v>515</v>
      </c>
      <c r="F33" s="180" t="s">
        <v>495</v>
      </c>
      <c r="G33" s="181">
        <v>150</v>
      </c>
      <c r="H33" s="181">
        <f t="shared" si="4"/>
        <v>150</v>
      </c>
      <c r="I33" s="140">
        <f t="shared" si="4"/>
        <v>150</v>
      </c>
      <c r="J33" s="140">
        <f t="shared" si="4"/>
        <v>150</v>
      </c>
      <c r="K33" s="81"/>
      <c r="L33" s="78">
        <f>ROUND(G33*tab!$C$38,2)</f>
        <v>23491.5</v>
      </c>
      <c r="M33" s="78">
        <f>ROUND(H33*tab!$C$38,2)</f>
        <v>23491.5</v>
      </c>
      <c r="N33" s="78">
        <f>ROUND(I33*tab!$C$38,2)</f>
        <v>23491.5</v>
      </c>
      <c r="O33" s="78">
        <f>ROUND(J33*tab!$C$38,2)</f>
        <v>23491.5</v>
      </c>
      <c r="P33" s="81"/>
      <c r="Q33" s="182">
        <v>0</v>
      </c>
      <c r="R33" s="141">
        <f t="shared" si="5"/>
        <v>0</v>
      </c>
      <c r="S33" s="141">
        <f t="shared" si="5"/>
        <v>0</v>
      </c>
      <c r="T33" s="141">
        <f t="shared" si="5"/>
        <v>0</v>
      </c>
      <c r="U33" s="81"/>
      <c r="V33" s="78">
        <f>+G33*tab!$C$57</f>
        <v>1114.5</v>
      </c>
      <c r="W33" s="78">
        <f>+H33*tab!$D$57</f>
        <v>1116</v>
      </c>
      <c r="X33" s="78">
        <f>+I33*tab!$D$57</f>
        <v>1116</v>
      </c>
      <c r="Y33" s="78">
        <f>+J33*tab!$D$57</f>
        <v>1116</v>
      </c>
      <c r="Z33" s="81"/>
      <c r="AA33" s="77">
        <v>0</v>
      </c>
      <c r="AB33" s="182">
        <f t="shared" si="3"/>
        <v>0</v>
      </c>
      <c r="AC33" s="141">
        <f t="shared" si="6"/>
        <v>0</v>
      </c>
      <c r="AD33" s="141">
        <f t="shared" si="6"/>
        <v>0</v>
      </c>
      <c r="AE33" s="102"/>
      <c r="AF33" s="154"/>
    </row>
    <row r="34" spans="2:32" s="134" customFormat="1" x14ac:dyDescent="0.2">
      <c r="B34" s="153"/>
      <c r="C34" s="174"/>
      <c r="D34" s="60">
        <v>22</v>
      </c>
      <c r="E34" s="179" t="s">
        <v>516</v>
      </c>
      <c r="F34" s="180" t="s">
        <v>495</v>
      </c>
      <c r="G34" s="181">
        <v>150</v>
      </c>
      <c r="H34" s="181">
        <f t="shared" si="4"/>
        <v>150</v>
      </c>
      <c r="I34" s="140">
        <f t="shared" si="4"/>
        <v>150</v>
      </c>
      <c r="J34" s="140">
        <f t="shared" si="4"/>
        <v>150</v>
      </c>
      <c r="K34" s="81"/>
      <c r="L34" s="78">
        <f>ROUND(G34*tab!$C$38,2)</f>
        <v>23491.5</v>
      </c>
      <c r="M34" s="78">
        <f>ROUND(H34*tab!$C$38,2)</f>
        <v>23491.5</v>
      </c>
      <c r="N34" s="78">
        <f>ROUND(I34*tab!$C$38,2)</f>
        <v>23491.5</v>
      </c>
      <c r="O34" s="78">
        <f>ROUND(J34*tab!$C$38,2)</f>
        <v>23491.5</v>
      </c>
      <c r="P34" s="81"/>
      <c r="Q34" s="182">
        <v>0</v>
      </c>
      <c r="R34" s="141">
        <f t="shared" si="5"/>
        <v>0</v>
      </c>
      <c r="S34" s="141">
        <f t="shared" si="5"/>
        <v>0</v>
      </c>
      <c r="T34" s="141">
        <f t="shared" si="5"/>
        <v>0</v>
      </c>
      <c r="U34" s="81"/>
      <c r="V34" s="78">
        <f>+G34*tab!$C$57</f>
        <v>1114.5</v>
      </c>
      <c r="W34" s="78">
        <f>+H34*tab!$D$57</f>
        <v>1116</v>
      </c>
      <c r="X34" s="78">
        <f>+I34*tab!$D$57</f>
        <v>1116</v>
      </c>
      <c r="Y34" s="78">
        <f>+J34*tab!$D$57</f>
        <v>1116</v>
      </c>
      <c r="Z34" s="81"/>
      <c r="AA34" s="77">
        <v>0</v>
      </c>
      <c r="AB34" s="182">
        <f t="shared" si="3"/>
        <v>0</v>
      </c>
      <c r="AC34" s="141">
        <f t="shared" si="6"/>
        <v>0</v>
      </c>
      <c r="AD34" s="141">
        <f t="shared" si="6"/>
        <v>0</v>
      </c>
      <c r="AE34" s="102"/>
      <c r="AF34" s="154"/>
    </row>
    <row r="35" spans="2:32" s="134" customFormat="1" x14ac:dyDescent="0.2">
      <c r="B35" s="153"/>
      <c r="C35" s="174"/>
      <c r="D35" s="60">
        <v>23</v>
      </c>
      <c r="E35" s="179" t="s">
        <v>517</v>
      </c>
      <c r="F35" s="180" t="s">
        <v>495</v>
      </c>
      <c r="G35" s="181">
        <v>150</v>
      </c>
      <c r="H35" s="181">
        <f t="shared" si="4"/>
        <v>150</v>
      </c>
      <c r="I35" s="140">
        <f t="shared" si="4"/>
        <v>150</v>
      </c>
      <c r="J35" s="140">
        <f t="shared" si="4"/>
        <v>150</v>
      </c>
      <c r="K35" s="81"/>
      <c r="L35" s="78">
        <f>ROUND(G35*tab!$C$38,2)</f>
        <v>23491.5</v>
      </c>
      <c r="M35" s="78">
        <f>ROUND(H35*tab!$C$38,2)</f>
        <v>23491.5</v>
      </c>
      <c r="N35" s="78">
        <f>ROUND(I35*tab!$C$38,2)</f>
        <v>23491.5</v>
      </c>
      <c r="O35" s="78">
        <f>ROUND(J35*tab!$C$38,2)</f>
        <v>23491.5</v>
      </c>
      <c r="P35" s="81"/>
      <c r="Q35" s="182">
        <v>0</v>
      </c>
      <c r="R35" s="141">
        <f t="shared" si="5"/>
        <v>0</v>
      </c>
      <c r="S35" s="141">
        <f t="shared" si="5"/>
        <v>0</v>
      </c>
      <c r="T35" s="141">
        <f t="shared" si="5"/>
        <v>0</v>
      </c>
      <c r="U35" s="81"/>
      <c r="V35" s="78">
        <f>+G35*tab!$C$57</f>
        <v>1114.5</v>
      </c>
      <c r="W35" s="78">
        <f>+H35*tab!$D$57</f>
        <v>1116</v>
      </c>
      <c r="X35" s="78">
        <f>+I35*tab!$D$57</f>
        <v>1116</v>
      </c>
      <c r="Y35" s="78">
        <f>+J35*tab!$D$57</f>
        <v>1116</v>
      </c>
      <c r="Z35" s="81"/>
      <c r="AA35" s="77">
        <v>0</v>
      </c>
      <c r="AB35" s="182">
        <f t="shared" si="3"/>
        <v>0</v>
      </c>
      <c r="AC35" s="141">
        <f t="shared" si="6"/>
        <v>0</v>
      </c>
      <c r="AD35" s="141">
        <f t="shared" si="6"/>
        <v>0</v>
      </c>
      <c r="AE35" s="102"/>
      <c r="AF35" s="154"/>
    </row>
    <row r="36" spans="2:32" s="134" customFormat="1" x14ac:dyDescent="0.2">
      <c r="B36" s="153"/>
      <c r="C36" s="174"/>
      <c r="D36" s="60">
        <v>24</v>
      </c>
      <c r="E36" s="179" t="s">
        <v>518</v>
      </c>
      <c r="F36" s="180" t="s">
        <v>495</v>
      </c>
      <c r="G36" s="181">
        <v>150</v>
      </c>
      <c r="H36" s="181">
        <f t="shared" si="4"/>
        <v>150</v>
      </c>
      <c r="I36" s="140">
        <f t="shared" si="4"/>
        <v>150</v>
      </c>
      <c r="J36" s="140">
        <f t="shared" si="4"/>
        <v>150</v>
      </c>
      <c r="K36" s="81"/>
      <c r="L36" s="78">
        <f>ROUND(G36*tab!$C$38,2)</f>
        <v>23491.5</v>
      </c>
      <c r="M36" s="78">
        <f>ROUND(H36*tab!$C$38,2)</f>
        <v>23491.5</v>
      </c>
      <c r="N36" s="78">
        <f>ROUND(I36*tab!$C$38,2)</f>
        <v>23491.5</v>
      </c>
      <c r="O36" s="78">
        <f>ROUND(J36*tab!$C$38,2)</f>
        <v>23491.5</v>
      </c>
      <c r="P36" s="81"/>
      <c r="Q36" s="182">
        <v>0</v>
      </c>
      <c r="R36" s="141">
        <f t="shared" si="5"/>
        <v>0</v>
      </c>
      <c r="S36" s="141">
        <f t="shared" si="5"/>
        <v>0</v>
      </c>
      <c r="T36" s="141">
        <f t="shared" si="5"/>
        <v>0</v>
      </c>
      <c r="U36" s="81"/>
      <c r="V36" s="78">
        <f>+G36*tab!$C$57</f>
        <v>1114.5</v>
      </c>
      <c r="W36" s="78">
        <f>+H36*tab!$D$57</f>
        <v>1116</v>
      </c>
      <c r="X36" s="78">
        <f>+I36*tab!$D$57</f>
        <v>1116</v>
      </c>
      <c r="Y36" s="78">
        <f>+J36*tab!$D$57</f>
        <v>1116</v>
      </c>
      <c r="Z36" s="81"/>
      <c r="AA36" s="77">
        <v>0</v>
      </c>
      <c r="AB36" s="182">
        <f t="shared" si="3"/>
        <v>0</v>
      </c>
      <c r="AC36" s="141">
        <f t="shared" si="6"/>
        <v>0</v>
      </c>
      <c r="AD36" s="141">
        <f t="shared" si="6"/>
        <v>0</v>
      </c>
      <c r="AE36" s="102"/>
      <c r="AF36" s="154"/>
    </row>
    <row r="37" spans="2:32" s="134" customFormat="1" x14ac:dyDescent="0.2">
      <c r="B37" s="153"/>
      <c r="C37" s="174"/>
      <c r="D37" s="60">
        <v>25</v>
      </c>
      <c r="E37" s="179" t="s">
        <v>519</v>
      </c>
      <c r="F37" s="180" t="s">
        <v>495</v>
      </c>
      <c r="G37" s="181">
        <v>150</v>
      </c>
      <c r="H37" s="181">
        <f t="shared" si="4"/>
        <v>150</v>
      </c>
      <c r="I37" s="140">
        <f t="shared" si="4"/>
        <v>150</v>
      </c>
      <c r="J37" s="140">
        <f t="shared" si="4"/>
        <v>150</v>
      </c>
      <c r="K37" s="81"/>
      <c r="L37" s="78">
        <f>ROUND(G37*tab!$C$38,2)</f>
        <v>23491.5</v>
      </c>
      <c r="M37" s="78">
        <f>ROUND(H37*tab!$C$38,2)</f>
        <v>23491.5</v>
      </c>
      <c r="N37" s="78">
        <f>ROUND(I37*tab!$C$38,2)</f>
        <v>23491.5</v>
      </c>
      <c r="O37" s="78">
        <f>ROUND(J37*tab!$C$38,2)</f>
        <v>23491.5</v>
      </c>
      <c r="P37" s="81"/>
      <c r="Q37" s="182">
        <v>0</v>
      </c>
      <c r="R37" s="141">
        <f t="shared" si="5"/>
        <v>0</v>
      </c>
      <c r="S37" s="141">
        <f t="shared" si="5"/>
        <v>0</v>
      </c>
      <c r="T37" s="141">
        <f t="shared" si="5"/>
        <v>0</v>
      </c>
      <c r="U37" s="81"/>
      <c r="V37" s="78">
        <f>+G37*tab!$C$57</f>
        <v>1114.5</v>
      </c>
      <c r="W37" s="78">
        <f>+H37*tab!$D$57</f>
        <v>1116</v>
      </c>
      <c r="X37" s="78">
        <f>+I37*tab!$D$57</f>
        <v>1116</v>
      </c>
      <c r="Y37" s="78">
        <f>+J37*tab!$D$57</f>
        <v>1116</v>
      </c>
      <c r="Z37" s="81"/>
      <c r="AA37" s="77">
        <v>0</v>
      </c>
      <c r="AB37" s="182">
        <f t="shared" si="3"/>
        <v>0</v>
      </c>
      <c r="AC37" s="141">
        <f t="shared" si="6"/>
        <v>0</v>
      </c>
      <c r="AD37" s="141">
        <f t="shared" si="6"/>
        <v>0</v>
      </c>
      <c r="AE37" s="102"/>
      <c r="AF37" s="154"/>
    </row>
    <row r="38" spans="2:32" s="134" customFormat="1" x14ac:dyDescent="0.2">
      <c r="B38" s="153"/>
      <c r="C38" s="174"/>
      <c r="D38" s="60">
        <v>26</v>
      </c>
      <c r="E38" s="179" t="s">
        <v>520</v>
      </c>
      <c r="F38" s="180" t="s">
        <v>495</v>
      </c>
      <c r="G38" s="181">
        <v>150</v>
      </c>
      <c r="H38" s="181">
        <f t="shared" si="4"/>
        <v>150</v>
      </c>
      <c r="I38" s="140">
        <f t="shared" si="4"/>
        <v>150</v>
      </c>
      <c r="J38" s="140">
        <f t="shared" si="4"/>
        <v>150</v>
      </c>
      <c r="K38" s="81"/>
      <c r="L38" s="78">
        <f>ROUND(G38*tab!$C$38,2)</f>
        <v>23491.5</v>
      </c>
      <c r="M38" s="78">
        <f>ROUND(H38*tab!$C$38,2)</f>
        <v>23491.5</v>
      </c>
      <c r="N38" s="78">
        <f>ROUND(I38*tab!$C$38,2)</f>
        <v>23491.5</v>
      </c>
      <c r="O38" s="78">
        <f>ROUND(J38*tab!$C$38,2)</f>
        <v>23491.5</v>
      </c>
      <c r="P38" s="81"/>
      <c r="Q38" s="182">
        <v>0</v>
      </c>
      <c r="R38" s="141">
        <f t="shared" si="5"/>
        <v>0</v>
      </c>
      <c r="S38" s="141">
        <f t="shared" si="5"/>
        <v>0</v>
      </c>
      <c r="T38" s="141">
        <f t="shared" si="5"/>
        <v>0</v>
      </c>
      <c r="U38" s="81"/>
      <c r="V38" s="78">
        <f>+G38*tab!$C$57</f>
        <v>1114.5</v>
      </c>
      <c r="W38" s="78">
        <f>+H38*tab!$D$57</f>
        <v>1116</v>
      </c>
      <c r="X38" s="78">
        <f>+I38*tab!$D$57</f>
        <v>1116</v>
      </c>
      <c r="Y38" s="78">
        <f>+J38*tab!$D$57</f>
        <v>1116</v>
      </c>
      <c r="Z38" s="81"/>
      <c r="AA38" s="77">
        <v>0</v>
      </c>
      <c r="AB38" s="182">
        <f t="shared" si="3"/>
        <v>0</v>
      </c>
      <c r="AC38" s="141">
        <f t="shared" si="6"/>
        <v>0</v>
      </c>
      <c r="AD38" s="141">
        <f t="shared" si="6"/>
        <v>0</v>
      </c>
      <c r="AE38" s="102"/>
      <c r="AF38" s="154"/>
    </row>
    <row r="39" spans="2:32" s="134" customFormat="1" x14ac:dyDescent="0.2">
      <c r="B39" s="153"/>
      <c r="C39" s="174"/>
      <c r="D39" s="60">
        <v>27</v>
      </c>
      <c r="E39" s="179" t="s">
        <v>521</v>
      </c>
      <c r="F39" s="180" t="s">
        <v>495</v>
      </c>
      <c r="G39" s="181">
        <v>150</v>
      </c>
      <c r="H39" s="181">
        <f t="shared" si="4"/>
        <v>150</v>
      </c>
      <c r="I39" s="140">
        <f t="shared" si="4"/>
        <v>150</v>
      </c>
      <c r="J39" s="140">
        <f t="shared" si="4"/>
        <v>150</v>
      </c>
      <c r="K39" s="81"/>
      <c r="L39" s="78">
        <f>ROUND(G39*tab!$C$38,2)</f>
        <v>23491.5</v>
      </c>
      <c r="M39" s="78">
        <f>ROUND(H39*tab!$C$38,2)</f>
        <v>23491.5</v>
      </c>
      <c r="N39" s="78">
        <f>ROUND(I39*tab!$C$38,2)</f>
        <v>23491.5</v>
      </c>
      <c r="O39" s="78">
        <f>ROUND(J39*tab!$C$38,2)</f>
        <v>23491.5</v>
      </c>
      <c r="P39" s="81"/>
      <c r="Q39" s="182">
        <v>0</v>
      </c>
      <c r="R39" s="141">
        <f t="shared" si="5"/>
        <v>0</v>
      </c>
      <c r="S39" s="141">
        <f t="shared" si="5"/>
        <v>0</v>
      </c>
      <c r="T39" s="141">
        <f t="shared" si="5"/>
        <v>0</v>
      </c>
      <c r="U39" s="81"/>
      <c r="V39" s="78">
        <f>+G39*tab!$C$57</f>
        <v>1114.5</v>
      </c>
      <c r="W39" s="78">
        <f>+H39*tab!$D$57</f>
        <v>1116</v>
      </c>
      <c r="X39" s="78">
        <f>+I39*tab!$D$57</f>
        <v>1116</v>
      </c>
      <c r="Y39" s="78">
        <f>+J39*tab!$D$57</f>
        <v>1116</v>
      </c>
      <c r="Z39" s="81"/>
      <c r="AA39" s="77">
        <v>0</v>
      </c>
      <c r="AB39" s="182">
        <f t="shared" si="3"/>
        <v>0</v>
      </c>
      <c r="AC39" s="141">
        <f t="shared" si="6"/>
        <v>0</v>
      </c>
      <c r="AD39" s="141">
        <f t="shared" si="6"/>
        <v>0</v>
      </c>
      <c r="AE39" s="102"/>
      <c r="AF39" s="154"/>
    </row>
    <row r="40" spans="2:32" s="134" customFormat="1" x14ac:dyDescent="0.2">
      <c r="B40" s="153"/>
      <c r="C40" s="174"/>
      <c r="D40" s="60">
        <v>28</v>
      </c>
      <c r="E40" s="179" t="s">
        <v>522</v>
      </c>
      <c r="F40" s="180" t="s">
        <v>495</v>
      </c>
      <c r="G40" s="181">
        <v>150</v>
      </c>
      <c r="H40" s="181">
        <f t="shared" si="4"/>
        <v>150</v>
      </c>
      <c r="I40" s="140">
        <f t="shared" si="4"/>
        <v>150</v>
      </c>
      <c r="J40" s="140">
        <f t="shared" si="4"/>
        <v>150</v>
      </c>
      <c r="K40" s="81"/>
      <c r="L40" s="78">
        <f>ROUND(G40*tab!$C$38,2)</f>
        <v>23491.5</v>
      </c>
      <c r="M40" s="78">
        <f>ROUND(H40*tab!$C$38,2)</f>
        <v>23491.5</v>
      </c>
      <c r="N40" s="78">
        <f>ROUND(I40*tab!$C$38,2)</f>
        <v>23491.5</v>
      </c>
      <c r="O40" s="78">
        <f>ROUND(J40*tab!$C$38,2)</f>
        <v>23491.5</v>
      </c>
      <c r="P40" s="81"/>
      <c r="Q40" s="182">
        <v>0</v>
      </c>
      <c r="R40" s="141">
        <f t="shared" si="5"/>
        <v>0</v>
      </c>
      <c r="S40" s="141">
        <f t="shared" si="5"/>
        <v>0</v>
      </c>
      <c r="T40" s="141">
        <f t="shared" si="5"/>
        <v>0</v>
      </c>
      <c r="U40" s="81"/>
      <c r="V40" s="78">
        <f>+G40*tab!$C$57</f>
        <v>1114.5</v>
      </c>
      <c r="W40" s="78">
        <f>+H40*tab!$D$57</f>
        <v>1116</v>
      </c>
      <c r="X40" s="78">
        <f>+I40*tab!$D$57</f>
        <v>1116</v>
      </c>
      <c r="Y40" s="78">
        <f>+J40*tab!$D$57</f>
        <v>1116</v>
      </c>
      <c r="Z40" s="81"/>
      <c r="AA40" s="77">
        <v>0</v>
      </c>
      <c r="AB40" s="182">
        <f t="shared" si="3"/>
        <v>0</v>
      </c>
      <c r="AC40" s="141">
        <f t="shared" si="6"/>
        <v>0</v>
      </c>
      <c r="AD40" s="141">
        <f t="shared" si="6"/>
        <v>0</v>
      </c>
      <c r="AE40" s="102"/>
      <c r="AF40" s="154"/>
    </row>
    <row r="41" spans="2:32" s="134" customFormat="1" x14ac:dyDescent="0.2">
      <c r="B41" s="153"/>
      <c r="C41" s="174"/>
      <c r="D41" s="60">
        <v>29</v>
      </c>
      <c r="E41" s="179" t="s">
        <v>523</v>
      </c>
      <c r="F41" s="180" t="s">
        <v>495</v>
      </c>
      <c r="G41" s="181">
        <v>150</v>
      </c>
      <c r="H41" s="181">
        <f t="shared" si="4"/>
        <v>150</v>
      </c>
      <c r="I41" s="140">
        <f t="shared" si="4"/>
        <v>150</v>
      </c>
      <c r="J41" s="140">
        <f t="shared" si="4"/>
        <v>150</v>
      </c>
      <c r="K41" s="81"/>
      <c r="L41" s="78">
        <f>ROUND(G41*tab!$C$38,2)</f>
        <v>23491.5</v>
      </c>
      <c r="M41" s="78">
        <f>ROUND(H41*tab!$C$38,2)</f>
        <v>23491.5</v>
      </c>
      <c r="N41" s="78">
        <f>ROUND(I41*tab!$C$38,2)</f>
        <v>23491.5</v>
      </c>
      <c r="O41" s="78">
        <f>ROUND(J41*tab!$C$38,2)</f>
        <v>23491.5</v>
      </c>
      <c r="P41" s="81"/>
      <c r="Q41" s="182">
        <v>0</v>
      </c>
      <c r="R41" s="141">
        <f t="shared" si="5"/>
        <v>0</v>
      </c>
      <c r="S41" s="141">
        <f t="shared" si="5"/>
        <v>0</v>
      </c>
      <c r="T41" s="141">
        <f t="shared" si="5"/>
        <v>0</v>
      </c>
      <c r="U41" s="81"/>
      <c r="V41" s="78">
        <f>+G41*tab!$C$57</f>
        <v>1114.5</v>
      </c>
      <c r="W41" s="78">
        <f>+H41*tab!$D$57</f>
        <v>1116</v>
      </c>
      <c r="X41" s="78">
        <f>+I41*tab!$D$57</f>
        <v>1116</v>
      </c>
      <c r="Y41" s="78">
        <f>+J41*tab!$D$57</f>
        <v>1116</v>
      </c>
      <c r="Z41" s="81"/>
      <c r="AA41" s="77">
        <v>0</v>
      </c>
      <c r="AB41" s="182">
        <f t="shared" si="3"/>
        <v>0</v>
      </c>
      <c r="AC41" s="141">
        <f t="shared" si="6"/>
        <v>0</v>
      </c>
      <c r="AD41" s="141">
        <f t="shared" si="6"/>
        <v>0</v>
      </c>
      <c r="AE41" s="102"/>
      <c r="AF41" s="154"/>
    </row>
    <row r="42" spans="2:32" s="134" customFormat="1" x14ac:dyDescent="0.2">
      <c r="B42" s="153"/>
      <c r="C42" s="174"/>
      <c r="D42" s="60">
        <v>30</v>
      </c>
      <c r="E42" s="179" t="s">
        <v>524</v>
      </c>
      <c r="F42" s="180" t="s">
        <v>495</v>
      </c>
      <c r="G42" s="181">
        <v>150</v>
      </c>
      <c r="H42" s="181">
        <f t="shared" si="4"/>
        <v>150</v>
      </c>
      <c r="I42" s="140">
        <f t="shared" si="4"/>
        <v>150</v>
      </c>
      <c r="J42" s="140">
        <f t="shared" si="4"/>
        <v>150</v>
      </c>
      <c r="K42" s="81"/>
      <c r="L42" s="78">
        <f>ROUND(G42*tab!$C$38,2)</f>
        <v>23491.5</v>
      </c>
      <c r="M42" s="78">
        <f>ROUND(H42*tab!$C$38,2)</f>
        <v>23491.5</v>
      </c>
      <c r="N42" s="78">
        <f>ROUND(I42*tab!$C$38,2)</f>
        <v>23491.5</v>
      </c>
      <c r="O42" s="78">
        <f>ROUND(J42*tab!$C$38,2)</f>
        <v>23491.5</v>
      </c>
      <c r="P42" s="81"/>
      <c r="Q42" s="182">
        <v>0</v>
      </c>
      <c r="R42" s="141">
        <f t="shared" si="5"/>
        <v>0</v>
      </c>
      <c r="S42" s="141">
        <f t="shared" si="5"/>
        <v>0</v>
      </c>
      <c r="T42" s="141">
        <f t="shared" si="5"/>
        <v>0</v>
      </c>
      <c r="U42" s="81"/>
      <c r="V42" s="78">
        <f>+G42*tab!$C$57</f>
        <v>1114.5</v>
      </c>
      <c r="W42" s="78">
        <f>+H42*tab!$D$57</f>
        <v>1116</v>
      </c>
      <c r="X42" s="78">
        <f>+I42*tab!$D$57</f>
        <v>1116</v>
      </c>
      <c r="Y42" s="78">
        <f>+J42*tab!$D$57</f>
        <v>1116</v>
      </c>
      <c r="Z42" s="81"/>
      <c r="AA42" s="77">
        <v>0</v>
      </c>
      <c r="AB42" s="182">
        <f t="shared" si="3"/>
        <v>0</v>
      </c>
      <c r="AC42" s="141">
        <f t="shared" si="6"/>
        <v>0</v>
      </c>
      <c r="AD42" s="141">
        <f t="shared" si="6"/>
        <v>0</v>
      </c>
      <c r="AE42" s="102"/>
      <c r="AF42" s="154"/>
    </row>
    <row r="43" spans="2:32" s="134" customFormat="1" x14ac:dyDescent="0.2">
      <c r="B43" s="153"/>
      <c r="C43" s="174"/>
      <c r="D43" s="60">
        <v>31</v>
      </c>
      <c r="E43" s="179" t="s">
        <v>525</v>
      </c>
      <c r="F43" s="180" t="s">
        <v>495</v>
      </c>
      <c r="G43" s="181">
        <v>150</v>
      </c>
      <c r="H43" s="181">
        <f t="shared" si="4"/>
        <v>150</v>
      </c>
      <c r="I43" s="140">
        <f t="shared" si="4"/>
        <v>150</v>
      </c>
      <c r="J43" s="140">
        <f t="shared" si="4"/>
        <v>150</v>
      </c>
      <c r="K43" s="81"/>
      <c r="L43" s="78">
        <f>ROUND(G43*tab!$C$38,2)</f>
        <v>23491.5</v>
      </c>
      <c r="M43" s="78">
        <f>ROUND(H43*tab!$C$38,2)</f>
        <v>23491.5</v>
      </c>
      <c r="N43" s="78">
        <f>ROUND(I43*tab!$C$38,2)</f>
        <v>23491.5</v>
      </c>
      <c r="O43" s="78">
        <f>ROUND(J43*tab!$C$38,2)</f>
        <v>23491.5</v>
      </c>
      <c r="P43" s="81"/>
      <c r="Q43" s="182">
        <v>0</v>
      </c>
      <c r="R43" s="141">
        <f t="shared" si="5"/>
        <v>0</v>
      </c>
      <c r="S43" s="141">
        <f t="shared" si="5"/>
        <v>0</v>
      </c>
      <c r="T43" s="141">
        <f t="shared" si="5"/>
        <v>0</v>
      </c>
      <c r="U43" s="81"/>
      <c r="V43" s="78">
        <f>+G43*tab!$C$57</f>
        <v>1114.5</v>
      </c>
      <c r="W43" s="78">
        <f>+H43*tab!$D$57</f>
        <v>1116</v>
      </c>
      <c r="X43" s="78">
        <f>+I43*tab!$D$57</f>
        <v>1116</v>
      </c>
      <c r="Y43" s="78">
        <f>+J43*tab!$D$57</f>
        <v>1116</v>
      </c>
      <c r="Z43" s="81"/>
      <c r="AA43" s="77">
        <v>0</v>
      </c>
      <c r="AB43" s="182">
        <f t="shared" si="3"/>
        <v>0</v>
      </c>
      <c r="AC43" s="141">
        <f t="shared" si="6"/>
        <v>0</v>
      </c>
      <c r="AD43" s="141">
        <f t="shared" si="6"/>
        <v>0</v>
      </c>
      <c r="AE43" s="102"/>
      <c r="AF43" s="154"/>
    </row>
    <row r="44" spans="2:32" s="134" customFormat="1" x14ac:dyDescent="0.2">
      <c r="B44" s="153"/>
      <c r="C44" s="174"/>
      <c r="D44" s="60">
        <v>32</v>
      </c>
      <c r="E44" s="179" t="s">
        <v>526</v>
      </c>
      <c r="F44" s="180" t="s">
        <v>495</v>
      </c>
      <c r="G44" s="181">
        <v>150</v>
      </c>
      <c r="H44" s="181">
        <f t="shared" si="4"/>
        <v>150</v>
      </c>
      <c r="I44" s="140">
        <f t="shared" si="4"/>
        <v>150</v>
      </c>
      <c r="J44" s="140">
        <f t="shared" si="4"/>
        <v>150</v>
      </c>
      <c r="K44" s="81"/>
      <c r="L44" s="78">
        <f>ROUND(G44*tab!$C$38,2)</f>
        <v>23491.5</v>
      </c>
      <c r="M44" s="78">
        <f>ROUND(H44*tab!$C$38,2)</f>
        <v>23491.5</v>
      </c>
      <c r="N44" s="78">
        <f>ROUND(I44*tab!$C$38,2)</f>
        <v>23491.5</v>
      </c>
      <c r="O44" s="78">
        <f>ROUND(J44*tab!$C$38,2)</f>
        <v>23491.5</v>
      </c>
      <c r="P44" s="81"/>
      <c r="Q44" s="182">
        <v>0</v>
      </c>
      <c r="R44" s="141">
        <f t="shared" si="5"/>
        <v>0</v>
      </c>
      <c r="S44" s="141">
        <f t="shared" si="5"/>
        <v>0</v>
      </c>
      <c r="T44" s="141">
        <f t="shared" si="5"/>
        <v>0</v>
      </c>
      <c r="U44" s="81"/>
      <c r="V44" s="78">
        <f>+G44*tab!$C$57</f>
        <v>1114.5</v>
      </c>
      <c r="W44" s="78">
        <f>+H44*tab!$D$57</f>
        <v>1116</v>
      </c>
      <c r="X44" s="78">
        <f>+I44*tab!$D$57</f>
        <v>1116</v>
      </c>
      <c r="Y44" s="78">
        <f>+J44*tab!$D$57</f>
        <v>1116</v>
      </c>
      <c r="Z44" s="81"/>
      <c r="AA44" s="77">
        <v>0</v>
      </c>
      <c r="AB44" s="182">
        <f t="shared" si="3"/>
        <v>0</v>
      </c>
      <c r="AC44" s="141">
        <f t="shared" si="6"/>
        <v>0</v>
      </c>
      <c r="AD44" s="141">
        <f t="shared" si="6"/>
        <v>0</v>
      </c>
      <c r="AE44" s="102"/>
      <c r="AF44" s="154"/>
    </row>
    <row r="45" spans="2:32" s="134" customFormat="1" x14ac:dyDescent="0.2">
      <c r="B45" s="153"/>
      <c r="C45" s="174"/>
      <c r="D45" s="60">
        <v>33</v>
      </c>
      <c r="E45" s="179" t="s">
        <v>527</v>
      </c>
      <c r="F45" s="180" t="s">
        <v>495</v>
      </c>
      <c r="G45" s="181">
        <v>150</v>
      </c>
      <c r="H45" s="181">
        <f t="shared" ref="H45:J52" si="7">G45</f>
        <v>150</v>
      </c>
      <c r="I45" s="140">
        <f t="shared" si="7"/>
        <v>150</v>
      </c>
      <c r="J45" s="140">
        <f t="shared" si="7"/>
        <v>150</v>
      </c>
      <c r="K45" s="81"/>
      <c r="L45" s="78">
        <f>ROUND(G45*tab!$C$38,2)</f>
        <v>23491.5</v>
      </c>
      <c r="M45" s="78">
        <f>ROUND(H45*tab!$C$38,2)</f>
        <v>23491.5</v>
      </c>
      <c r="N45" s="78">
        <f>ROUND(I45*tab!$C$38,2)</f>
        <v>23491.5</v>
      </c>
      <c r="O45" s="78">
        <f>ROUND(J45*tab!$C$38,2)</f>
        <v>23491.5</v>
      </c>
      <c r="P45" s="81"/>
      <c r="Q45" s="182">
        <v>0</v>
      </c>
      <c r="R45" s="141">
        <f t="shared" ref="R45:T52" si="8">Q45</f>
        <v>0</v>
      </c>
      <c r="S45" s="141">
        <f t="shared" si="8"/>
        <v>0</v>
      </c>
      <c r="T45" s="141">
        <f t="shared" si="8"/>
        <v>0</v>
      </c>
      <c r="U45" s="81"/>
      <c r="V45" s="78">
        <f>+G45*tab!$C$57</f>
        <v>1114.5</v>
      </c>
      <c r="W45" s="78">
        <f>+H45*tab!$D$57</f>
        <v>1116</v>
      </c>
      <c r="X45" s="78">
        <f>+I45*tab!$D$57</f>
        <v>1116</v>
      </c>
      <c r="Y45" s="78">
        <f>+J45*tab!$D$57</f>
        <v>1116</v>
      </c>
      <c r="Z45" s="81"/>
      <c r="AA45" s="77">
        <v>0</v>
      </c>
      <c r="AB45" s="182">
        <f t="shared" si="3"/>
        <v>0</v>
      </c>
      <c r="AC45" s="141">
        <f t="shared" si="6"/>
        <v>0</v>
      </c>
      <c r="AD45" s="141">
        <f t="shared" si="6"/>
        <v>0</v>
      </c>
      <c r="AE45" s="102"/>
      <c r="AF45" s="154"/>
    </row>
    <row r="46" spans="2:32" s="134" customFormat="1" x14ac:dyDescent="0.2">
      <c r="B46" s="153"/>
      <c r="C46" s="174"/>
      <c r="D46" s="60">
        <v>34</v>
      </c>
      <c r="E46" s="179" t="s">
        <v>528</v>
      </c>
      <c r="F46" s="180" t="s">
        <v>495</v>
      </c>
      <c r="G46" s="181">
        <v>150</v>
      </c>
      <c r="H46" s="181">
        <f t="shared" si="7"/>
        <v>150</v>
      </c>
      <c r="I46" s="140">
        <f t="shared" si="7"/>
        <v>150</v>
      </c>
      <c r="J46" s="140">
        <f t="shared" si="7"/>
        <v>150</v>
      </c>
      <c r="K46" s="81"/>
      <c r="L46" s="78">
        <f>ROUND(G46*tab!$C$38,2)</f>
        <v>23491.5</v>
      </c>
      <c r="M46" s="78">
        <f>ROUND(H46*tab!$C$38,2)</f>
        <v>23491.5</v>
      </c>
      <c r="N46" s="78">
        <f>ROUND(I46*tab!$C$38,2)</f>
        <v>23491.5</v>
      </c>
      <c r="O46" s="78">
        <f>ROUND(J46*tab!$C$38,2)</f>
        <v>23491.5</v>
      </c>
      <c r="P46" s="81"/>
      <c r="Q46" s="182">
        <v>0</v>
      </c>
      <c r="R46" s="141">
        <f t="shared" si="8"/>
        <v>0</v>
      </c>
      <c r="S46" s="141">
        <f t="shared" si="8"/>
        <v>0</v>
      </c>
      <c r="T46" s="141">
        <f t="shared" si="8"/>
        <v>0</v>
      </c>
      <c r="U46" s="81"/>
      <c r="V46" s="78">
        <f>+G46*tab!$C$57</f>
        <v>1114.5</v>
      </c>
      <c r="W46" s="78">
        <f>+H46*tab!$D$57</f>
        <v>1116</v>
      </c>
      <c r="X46" s="78">
        <f>+I46*tab!$D$57</f>
        <v>1116</v>
      </c>
      <c r="Y46" s="78">
        <f>+J46*tab!$D$57</f>
        <v>1116</v>
      </c>
      <c r="Z46" s="81"/>
      <c r="AA46" s="77">
        <v>0</v>
      </c>
      <c r="AB46" s="182">
        <f t="shared" si="3"/>
        <v>0</v>
      </c>
      <c r="AC46" s="141">
        <f t="shared" ref="AC46:AD65" si="9">AB46</f>
        <v>0</v>
      </c>
      <c r="AD46" s="141">
        <f t="shared" si="9"/>
        <v>0</v>
      </c>
      <c r="AE46" s="102"/>
      <c r="AF46" s="154"/>
    </row>
    <row r="47" spans="2:32" s="134" customFormat="1" x14ac:dyDescent="0.2">
      <c r="B47" s="153"/>
      <c r="C47" s="174"/>
      <c r="D47" s="60">
        <v>35</v>
      </c>
      <c r="E47" s="179" t="s">
        <v>529</v>
      </c>
      <c r="F47" s="180" t="s">
        <v>495</v>
      </c>
      <c r="G47" s="181">
        <v>150</v>
      </c>
      <c r="H47" s="181">
        <f t="shared" si="7"/>
        <v>150</v>
      </c>
      <c r="I47" s="140">
        <f t="shared" si="7"/>
        <v>150</v>
      </c>
      <c r="J47" s="140">
        <f t="shared" si="7"/>
        <v>150</v>
      </c>
      <c r="K47" s="81"/>
      <c r="L47" s="78">
        <f>ROUND(G47*tab!$C$38,2)</f>
        <v>23491.5</v>
      </c>
      <c r="M47" s="78">
        <f>ROUND(H47*tab!$C$38,2)</f>
        <v>23491.5</v>
      </c>
      <c r="N47" s="78">
        <f>ROUND(I47*tab!$C$38,2)</f>
        <v>23491.5</v>
      </c>
      <c r="O47" s="78">
        <f>ROUND(J47*tab!$C$38,2)</f>
        <v>23491.5</v>
      </c>
      <c r="P47" s="81"/>
      <c r="Q47" s="182">
        <v>0</v>
      </c>
      <c r="R47" s="141">
        <f t="shared" si="8"/>
        <v>0</v>
      </c>
      <c r="S47" s="141">
        <f t="shared" si="8"/>
        <v>0</v>
      </c>
      <c r="T47" s="141">
        <f t="shared" si="8"/>
        <v>0</v>
      </c>
      <c r="U47" s="81"/>
      <c r="V47" s="78">
        <f>+G47*tab!$C$57</f>
        <v>1114.5</v>
      </c>
      <c r="W47" s="78">
        <f>+H47*tab!$D$57</f>
        <v>1116</v>
      </c>
      <c r="X47" s="78">
        <f>+I47*tab!$D$57</f>
        <v>1116</v>
      </c>
      <c r="Y47" s="78">
        <f>+J47*tab!$D$57</f>
        <v>1116</v>
      </c>
      <c r="Z47" s="81"/>
      <c r="AA47" s="77">
        <v>0</v>
      </c>
      <c r="AB47" s="182">
        <f t="shared" si="3"/>
        <v>0</v>
      </c>
      <c r="AC47" s="141">
        <f t="shared" si="9"/>
        <v>0</v>
      </c>
      <c r="AD47" s="141">
        <f t="shared" si="9"/>
        <v>0</v>
      </c>
      <c r="AE47" s="102"/>
      <c r="AF47" s="154"/>
    </row>
    <row r="48" spans="2:32" s="134" customFormat="1" x14ac:dyDescent="0.2">
      <c r="B48" s="153"/>
      <c r="C48" s="174"/>
      <c r="D48" s="60">
        <v>36</v>
      </c>
      <c r="E48" s="179" t="s">
        <v>530</v>
      </c>
      <c r="F48" s="180" t="s">
        <v>495</v>
      </c>
      <c r="G48" s="181">
        <v>150</v>
      </c>
      <c r="H48" s="181">
        <f t="shared" si="7"/>
        <v>150</v>
      </c>
      <c r="I48" s="140">
        <f t="shared" si="7"/>
        <v>150</v>
      </c>
      <c r="J48" s="140">
        <f t="shared" si="7"/>
        <v>150</v>
      </c>
      <c r="K48" s="81"/>
      <c r="L48" s="78">
        <f>ROUND(G48*tab!$C$38,2)</f>
        <v>23491.5</v>
      </c>
      <c r="M48" s="78">
        <f>ROUND(H48*tab!$C$38,2)</f>
        <v>23491.5</v>
      </c>
      <c r="N48" s="78">
        <f>ROUND(I48*tab!$C$38,2)</f>
        <v>23491.5</v>
      </c>
      <c r="O48" s="78">
        <f>ROUND(J48*tab!$C$38,2)</f>
        <v>23491.5</v>
      </c>
      <c r="P48" s="81"/>
      <c r="Q48" s="182">
        <v>0</v>
      </c>
      <c r="R48" s="141">
        <f t="shared" si="8"/>
        <v>0</v>
      </c>
      <c r="S48" s="141">
        <f t="shared" si="8"/>
        <v>0</v>
      </c>
      <c r="T48" s="141">
        <f t="shared" si="8"/>
        <v>0</v>
      </c>
      <c r="U48" s="81"/>
      <c r="V48" s="78">
        <f>+G48*tab!$C$57</f>
        <v>1114.5</v>
      </c>
      <c r="W48" s="78">
        <f>+H48*tab!$D$57</f>
        <v>1116</v>
      </c>
      <c r="X48" s="78">
        <f>+I48*tab!$D$57</f>
        <v>1116</v>
      </c>
      <c r="Y48" s="78">
        <f>+J48*tab!$D$57</f>
        <v>1116</v>
      </c>
      <c r="Z48" s="81"/>
      <c r="AA48" s="77">
        <v>0</v>
      </c>
      <c r="AB48" s="182">
        <f t="shared" si="3"/>
        <v>0</v>
      </c>
      <c r="AC48" s="141">
        <f t="shared" si="9"/>
        <v>0</v>
      </c>
      <c r="AD48" s="141">
        <f t="shared" si="9"/>
        <v>0</v>
      </c>
      <c r="AE48" s="102"/>
      <c r="AF48" s="154"/>
    </row>
    <row r="49" spans="2:32" s="134" customFormat="1" x14ac:dyDescent="0.2">
      <c r="B49" s="153"/>
      <c r="C49" s="174"/>
      <c r="D49" s="60">
        <v>37</v>
      </c>
      <c r="E49" s="179" t="s">
        <v>531</v>
      </c>
      <c r="F49" s="180" t="s">
        <v>495</v>
      </c>
      <c r="G49" s="181">
        <v>150</v>
      </c>
      <c r="H49" s="181">
        <f t="shared" si="7"/>
        <v>150</v>
      </c>
      <c r="I49" s="140">
        <f t="shared" si="7"/>
        <v>150</v>
      </c>
      <c r="J49" s="140">
        <f t="shared" si="7"/>
        <v>150</v>
      </c>
      <c r="K49" s="81"/>
      <c r="L49" s="78">
        <f>ROUND(G49*tab!$C$38,2)</f>
        <v>23491.5</v>
      </c>
      <c r="M49" s="78">
        <f>ROUND(H49*tab!$C$38,2)</f>
        <v>23491.5</v>
      </c>
      <c r="N49" s="78">
        <f>ROUND(I49*tab!$C$38,2)</f>
        <v>23491.5</v>
      </c>
      <c r="O49" s="78">
        <f>ROUND(J49*tab!$C$38,2)</f>
        <v>23491.5</v>
      </c>
      <c r="P49" s="81"/>
      <c r="Q49" s="182">
        <v>0</v>
      </c>
      <c r="R49" s="141">
        <f t="shared" si="8"/>
        <v>0</v>
      </c>
      <c r="S49" s="141">
        <f t="shared" si="8"/>
        <v>0</v>
      </c>
      <c r="T49" s="141">
        <f t="shared" si="8"/>
        <v>0</v>
      </c>
      <c r="U49" s="81"/>
      <c r="V49" s="78">
        <f>+G49*tab!$C$57</f>
        <v>1114.5</v>
      </c>
      <c r="W49" s="78">
        <f>+H49*tab!$D$57</f>
        <v>1116</v>
      </c>
      <c r="X49" s="78">
        <f>+I49*tab!$D$57</f>
        <v>1116</v>
      </c>
      <c r="Y49" s="78">
        <f>+J49*tab!$D$57</f>
        <v>1116</v>
      </c>
      <c r="Z49" s="81"/>
      <c r="AA49" s="77">
        <v>0</v>
      </c>
      <c r="AB49" s="182">
        <f t="shared" si="3"/>
        <v>0</v>
      </c>
      <c r="AC49" s="141">
        <f t="shared" si="9"/>
        <v>0</v>
      </c>
      <c r="AD49" s="141">
        <f t="shared" si="9"/>
        <v>0</v>
      </c>
      <c r="AE49" s="102"/>
      <c r="AF49" s="154"/>
    </row>
    <row r="50" spans="2:32" s="134" customFormat="1" x14ac:dyDescent="0.2">
      <c r="B50" s="153"/>
      <c r="C50" s="174"/>
      <c r="D50" s="60">
        <v>38</v>
      </c>
      <c r="E50" s="179" t="s">
        <v>532</v>
      </c>
      <c r="F50" s="180" t="s">
        <v>495</v>
      </c>
      <c r="G50" s="181">
        <v>150</v>
      </c>
      <c r="H50" s="181">
        <f t="shared" si="7"/>
        <v>150</v>
      </c>
      <c r="I50" s="140">
        <f t="shared" si="7"/>
        <v>150</v>
      </c>
      <c r="J50" s="140">
        <f t="shared" si="7"/>
        <v>150</v>
      </c>
      <c r="K50" s="81"/>
      <c r="L50" s="78">
        <f>ROUND(G50*tab!$C$38,2)</f>
        <v>23491.5</v>
      </c>
      <c r="M50" s="78">
        <f>ROUND(H50*tab!$C$38,2)</f>
        <v>23491.5</v>
      </c>
      <c r="N50" s="78">
        <f>ROUND(I50*tab!$C$38,2)</f>
        <v>23491.5</v>
      </c>
      <c r="O50" s="78">
        <f>ROUND(J50*tab!$C$38,2)</f>
        <v>23491.5</v>
      </c>
      <c r="P50" s="81"/>
      <c r="Q50" s="182">
        <v>0</v>
      </c>
      <c r="R50" s="141">
        <f t="shared" si="8"/>
        <v>0</v>
      </c>
      <c r="S50" s="141">
        <f t="shared" si="8"/>
        <v>0</v>
      </c>
      <c r="T50" s="141">
        <f t="shared" si="8"/>
        <v>0</v>
      </c>
      <c r="U50" s="81"/>
      <c r="V50" s="78">
        <f>+G50*tab!$C$57</f>
        <v>1114.5</v>
      </c>
      <c r="W50" s="78">
        <f>+H50*tab!$D$57</f>
        <v>1116</v>
      </c>
      <c r="X50" s="78">
        <f>+I50*tab!$D$57</f>
        <v>1116</v>
      </c>
      <c r="Y50" s="78">
        <f>+J50*tab!$D$57</f>
        <v>1116</v>
      </c>
      <c r="Z50" s="81"/>
      <c r="AA50" s="77">
        <v>0</v>
      </c>
      <c r="AB50" s="182">
        <f t="shared" si="3"/>
        <v>0</v>
      </c>
      <c r="AC50" s="141">
        <f t="shared" si="9"/>
        <v>0</v>
      </c>
      <c r="AD50" s="141">
        <f t="shared" si="9"/>
        <v>0</v>
      </c>
      <c r="AE50" s="102"/>
      <c r="AF50" s="154"/>
    </row>
    <row r="51" spans="2:32" s="134" customFormat="1" x14ac:dyDescent="0.2">
      <c r="B51" s="153"/>
      <c r="C51" s="174"/>
      <c r="D51" s="60">
        <v>39</v>
      </c>
      <c r="E51" s="179" t="s">
        <v>533</v>
      </c>
      <c r="F51" s="180" t="s">
        <v>495</v>
      </c>
      <c r="G51" s="181">
        <v>150</v>
      </c>
      <c r="H51" s="181">
        <f t="shared" si="7"/>
        <v>150</v>
      </c>
      <c r="I51" s="140">
        <f t="shared" si="7"/>
        <v>150</v>
      </c>
      <c r="J51" s="140">
        <f t="shared" si="7"/>
        <v>150</v>
      </c>
      <c r="K51" s="81"/>
      <c r="L51" s="78">
        <f>ROUND(G51*tab!$C$38,2)</f>
        <v>23491.5</v>
      </c>
      <c r="M51" s="78">
        <f>ROUND(H51*tab!$C$38,2)</f>
        <v>23491.5</v>
      </c>
      <c r="N51" s="78">
        <f>ROUND(I51*tab!$C$38,2)</f>
        <v>23491.5</v>
      </c>
      <c r="O51" s="78">
        <f>ROUND(J51*tab!$C$38,2)</f>
        <v>23491.5</v>
      </c>
      <c r="P51" s="81"/>
      <c r="Q51" s="182">
        <v>0</v>
      </c>
      <c r="R51" s="141">
        <f t="shared" si="8"/>
        <v>0</v>
      </c>
      <c r="S51" s="141">
        <f t="shared" si="8"/>
        <v>0</v>
      </c>
      <c r="T51" s="141">
        <f t="shared" si="8"/>
        <v>0</v>
      </c>
      <c r="U51" s="81"/>
      <c r="V51" s="78">
        <f>+G51*tab!$C$57</f>
        <v>1114.5</v>
      </c>
      <c r="W51" s="78">
        <f>+H51*tab!$D$57</f>
        <v>1116</v>
      </c>
      <c r="X51" s="78">
        <f>+I51*tab!$D$57</f>
        <v>1116</v>
      </c>
      <c r="Y51" s="78">
        <f>+J51*tab!$D$57</f>
        <v>1116</v>
      </c>
      <c r="Z51" s="81"/>
      <c r="AA51" s="77">
        <v>0</v>
      </c>
      <c r="AB51" s="182">
        <f t="shared" si="3"/>
        <v>0</v>
      </c>
      <c r="AC51" s="141">
        <f t="shared" si="9"/>
        <v>0</v>
      </c>
      <c r="AD51" s="141">
        <f t="shared" si="9"/>
        <v>0</v>
      </c>
      <c r="AE51" s="102"/>
      <c r="AF51" s="154"/>
    </row>
    <row r="52" spans="2:32" s="134" customFormat="1" x14ac:dyDescent="0.2">
      <c r="B52" s="153"/>
      <c r="C52" s="174"/>
      <c r="D52" s="60">
        <v>40</v>
      </c>
      <c r="E52" s="179" t="s">
        <v>534</v>
      </c>
      <c r="F52" s="180" t="s">
        <v>495</v>
      </c>
      <c r="G52" s="181">
        <v>150</v>
      </c>
      <c r="H52" s="181">
        <f t="shared" si="7"/>
        <v>150</v>
      </c>
      <c r="I52" s="140">
        <f t="shared" si="7"/>
        <v>150</v>
      </c>
      <c r="J52" s="140">
        <f t="shared" si="7"/>
        <v>150</v>
      </c>
      <c r="K52" s="81"/>
      <c r="L52" s="78">
        <f>ROUND(G52*tab!$C$38,2)</f>
        <v>23491.5</v>
      </c>
      <c r="M52" s="78">
        <f>ROUND(H52*tab!$C$38,2)</f>
        <v>23491.5</v>
      </c>
      <c r="N52" s="78">
        <f>ROUND(I52*tab!$C$38,2)</f>
        <v>23491.5</v>
      </c>
      <c r="O52" s="78">
        <f>ROUND(J52*tab!$C$38,2)</f>
        <v>23491.5</v>
      </c>
      <c r="P52" s="81"/>
      <c r="Q52" s="182">
        <v>0</v>
      </c>
      <c r="R52" s="141">
        <f t="shared" si="8"/>
        <v>0</v>
      </c>
      <c r="S52" s="141">
        <f t="shared" si="8"/>
        <v>0</v>
      </c>
      <c r="T52" s="141">
        <f t="shared" si="8"/>
        <v>0</v>
      </c>
      <c r="U52" s="81"/>
      <c r="V52" s="78">
        <f>+G52*tab!$C$57</f>
        <v>1114.5</v>
      </c>
      <c r="W52" s="78">
        <f>+H52*tab!$D$57</f>
        <v>1116</v>
      </c>
      <c r="X52" s="78">
        <f>+I52*tab!$D$57</f>
        <v>1116</v>
      </c>
      <c r="Y52" s="78">
        <f>+J52*tab!$D$57</f>
        <v>1116</v>
      </c>
      <c r="Z52" s="81"/>
      <c r="AA52" s="77">
        <v>0</v>
      </c>
      <c r="AB52" s="182">
        <f t="shared" si="3"/>
        <v>0</v>
      </c>
      <c r="AC52" s="141">
        <f t="shared" si="9"/>
        <v>0</v>
      </c>
      <c r="AD52" s="141">
        <f t="shared" si="9"/>
        <v>0</v>
      </c>
      <c r="AE52" s="102"/>
      <c r="AF52" s="154"/>
    </row>
    <row r="53" spans="2:32" s="134" customFormat="1" x14ac:dyDescent="0.2">
      <c r="B53" s="153"/>
      <c r="C53" s="174"/>
      <c r="D53" s="60">
        <v>41</v>
      </c>
      <c r="E53" s="179" t="s">
        <v>541</v>
      </c>
      <c r="F53" s="180" t="s">
        <v>495</v>
      </c>
      <c r="G53" s="181">
        <v>151</v>
      </c>
      <c r="H53" s="181">
        <f t="shared" ref="H53:J72" si="10">G53</f>
        <v>151</v>
      </c>
      <c r="I53" s="140">
        <f t="shared" si="10"/>
        <v>151</v>
      </c>
      <c r="J53" s="140">
        <f t="shared" si="10"/>
        <v>151</v>
      </c>
      <c r="K53" s="81"/>
      <c r="L53" s="78">
        <f>ROUND(G53*tab!$C$38,2)</f>
        <v>23648.11</v>
      </c>
      <c r="M53" s="78">
        <f>ROUND(H53*tab!$C$38,2)</f>
        <v>23648.11</v>
      </c>
      <c r="N53" s="78">
        <f>ROUND(I53*tab!$C$38,2)</f>
        <v>23648.11</v>
      </c>
      <c r="O53" s="78">
        <f>ROUND(J53*tab!$C$38,2)</f>
        <v>23648.11</v>
      </c>
      <c r="P53" s="81"/>
      <c r="Q53" s="182">
        <v>0</v>
      </c>
      <c r="R53" s="141">
        <f t="shared" ref="R53:T72" si="11">Q53</f>
        <v>0</v>
      </c>
      <c r="S53" s="141">
        <f t="shared" si="11"/>
        <v>0</v>
      </c>
      <c r="T53" s="141">
        <f t="shared" si="11"/>
        <v>0</v>
      </c>
      <c r="U53" s="81"/>
      <c r="V53" s="78">
        <f>+G53*tab!$C$57</f>
        <v>1121.93</v>
      </c>
      <c r="W53" s="78">
        <f>+H53*tab!$D$57</f>
        <v>1123.44</v>
      </c>
      <c r="X53" s="78">
        <f>+I53*tab!$D$57</f>
        <v>1123.44</v>
      </c>
      <c r="Y53" s="78">
        <f>+J53*tab!$D$57</f>
        <v>1123.44</v>
      </c>
      <c r="Z53" s="81"/>
      <c r="AA53" s="77">
        <v>0</v>
      </c>
      <c r="AB53" s="182">
        <f t="shared" si="3"/>
        <v>0</v>
      </c>
      <c r="AC53" s="141">
        <f t="shared" si="9"/>
        <v>0</v>
      </c>
      <c r="AD53" s="141">
        <f t="shared" si="9"/>
        <v>0</v>
      </c>
      <c r="AE53" s="102"/>
      <c r="AF53" s="154"/>
    </row>
    <row r="54" spans="2:32" s="134" customFormat="1" x14ac:dyDescent="0.2">
      <c r="B54" s="153"/>
      <c r="C54" s="174"/>
      <c r="D54" s="60">
        <v>42</v>
      </c>
      <c r="E54" s="179" t="s">
        <v>542</v>
      </c>
      <c r="F54" s="180" t="s">
        <v>495</v>
      </c>
      <c r="G54" s="181">
        <v>152</v>
      </c>
      <c r="H54" s="181">
        <f t="shared" si="10"/>
        <v>152</v>
      </c>
      <c r="I54" s="140">
        <f t="shared" si="10"/>
        <v>152</v>
      </c>
      <c r="J54" s="140">
        <f t="shared" si="10"/>
        <v>152</v>
      </c>
      <c r="K54" s="81"/>
      <c r="L54" s="78">
        <f>ROUND(G54*tab!$C$38,2)</f>
        <v>23804.720000000001</v>
      </c>
      <c r="M54" s="78">
        <f>ROUND(H54*tab!$C$38,2)</f>
        <v>23804.720000000001</v>
      </c>
      <c r="N54" s="78">
        <f>ROUND(I54*tab!$C$38,2)</f>
        <v>23804.720000000001</v>
      </c>
      <c r="O54" s="78">
        <f>ROUND(J54*tab!$C$38,2)</f>
        <v>23804.720000000001</v>
      </c>
      <c r="P54" s="81"/>
      <c r="Q54" s="182">
        <v>0</v>
      </c>
      <c r="R54" s="141">
        <f t="shared" si="11"/>
        <v>0</v>
      </c>
      <c r="S54" s="141">
        <f t="shared" si="11"/>
        <v>0</v>
      </c>
      <c r="T54" s="141">
        <f t="shared" si="11"/>
        <v>0</v>
      </c>
      <c r="U54" s="81"/>
      <c r="V54" s="78">
        <f>+G54*tab!$C$57</f>
        <v>1129.3599999999999</v>
      </c>
      <c r="W54" s="78">
        <f>+H54*tab!$D$57</f>
        <v>1130.8800000000001</v>
      </c>
      <c r="X54" s="78">
        <f>+I54*tab!$D$57</f>
        <v>1130.8800000000001</v>
      </c>
      <c r="Y54" s="78">
        <f>+J54*tab!$D$57</f>
        <v>1130.8800000000001</v>
      </c>
      <c r="Z54" s="81"/>
      <c r="AA54" s="77">
        <v>0</v>
      </c>
      <c r="AB54" s="182">
        <f t="shared" si="3"/>
        <v>0</v>
      </c>
      <c r="AC54" s="141">
        <f t="shared" si="9"/>
        <v>0</v>
      </c>
      <c r="AD54" s="141">
        <f t="shared" si="9"/>
        <v>0</v>
      </c>
      <c r="AE54" s="102"/>
      <c r="AF54" s="154"/>
    </row>
    <row r="55" spans="2:32" s="134" customFormat="1" x14ac:dyDescent="0.2">
      <c r="B55" s="153"/>
      <c r="C55" s="174"/>
      <c r="D55" s="60">
        <v>43</v>
      </c>
      <c r="E55" s="179" t="s">
        <v>543</v>
      </c>
      <c r="F55" s="180" t="s">
        <v>495</v>
      </c>
      <c r="G55" s="181">
        <v>153</v>
      </c>
      <c r="H55" s="181">
        <f t="shared" si="10"/>
        <v>153</v>
      </c>
      <c r="I55" s="140">
        <f t="shared" si="10"/>
        <v>153</v>
      </c>
      <c r="J55" s="140">
        <f t="shared" si="10"/>
        <v>153</v>
      </c>
      <c r="K55" s="81"/>
      <c r="L55" s="78">
        <f>ROUND(G55*tab!$C$38,2)</f>
        <v>23961.33</v>
      </c>
      <c r="M55" s="78">
        <f>ROUND(H55*tab!$C$38,2)</f>
        <v>23961.33</v>
      </c>
      <c r="N55" s="78">
        <f>ROUND(I55*tab!$C$38,2)</f>
        <v>23961.33</v>
      </c>
      <c r="O55" s="78">
        <f>ROUND(J55*tab!$C$38,2)</f>
        <v>23961.33</v>
      </c>
      <c r="P55" s="81"/>
      <c r="Q55" s="182">
        <v>0</v>
      </c>
      <c r="R55" s="141">
        <f t="shared" si="11"/>
        <v>0</v>
      </c>
      <c r="S55" s="141">
        <f t="shared" si="11"/>
        <v>0</v>
      </c>
      <c r="T55" s="141">
        <f t="shared" si="11"/>
        <v>0</v>
      </c>
      <c r="U55" s="81"/>
      <c r="V55" s="78">
        <f>+G55*tab!$C$57</f>
        <v>1136.79</v>
      </c>
      <c r="W55" s="78">
        <f>+H55*tab!$D$57</f>
        <v>1138.3200000000002</v>
      </c>
      <c r="X55" s="78">
        <f>+I55*tab!$D$57</f>
        <v>1138.3200000000002</v>
      </c>
      <c r="Y55" s="78">
        <f>+J55*tab!$D$57</f>
        <v>1138.3200000000002</v>
      </c>
      <c r="Z55" s="81"/>
      <c r="AA55" s="77">
        <v>0</v>
      </c>
      <c r="AB55" s="182">
        <f t="shared" si="3"/>
        <v>0</v>
      </c>
      <c r="AC55" s="141">
        <f t="shared" si="9"/>
        <v>0</v>
      </c>
      <c r="AD55" s="141">
        <f t="shared" si="9"/>
        <v>0</v>
      </c>
      <c r="AE55" s="102"/>
      <c r="AF55" s="154"/>
    </row>
    <row r="56" spans="2:32" s="134" customFormat="1" x14ac:dyDescent="0.2">
      <c r="B56" s="153"/>
      <c r="C56" s="174"/>
      <c r="D56" s="60">
        <v>44</v>
      </c>
      <c r="E56" s="179" t="s">
        <v>544</v>
      </c>
      <c r="F56" s="180" t="s">
        <v>495</v>
      </c>
      <c r="G56" s="181">
        <v>154</v>
      </c>
      <c r="H56" s="181">
        <f t="shared" si="10"/>
        <v>154</v>
      </c>
      <c r="I56" s="140">
        <f t="shared" si="10"/>
        <v>154</v>
      </c>
      <c r="J56" s="140">
        <f t="shared" si="10"/>
        <v>154</v>
      </c>
      <c r="K56" s="81"/>
      <c r="L56" s="78">
        <f>ROUND(G56*tab!$C$38,2)</f>
        <v>24117.94</v>
      </c>
      <c r="M56" s="78">
        <f>ROUND(H56*tab!$C$38,2)</f>
        <v>24117.94</v>
      </c>
      <c r="N56" s="78">
        <f>ROUND(I56*tab!$C$38,2)</f>
        <v>24117.94</v>
      </c>
      <c r="O56" s="78">
        <f>ROUND(J56*tab!$C$38,2)</f>
        <v>24117.94</v>
      </c>
      <c r="P56" s="81"/>
      <c r="Q56" s="182">
        <v>0</v>
      </c>
      <c r="R56" s="141">
        <f t="shared" si="11"/>
        <v>0</v>
      </c>
      <c r="S56" s="141">
        <f t="shared" si="11"/>
        <v>0</v>
      </c>
      <c r="T56" s="141">
        <f t="shared" si="11"/>
        <v>0</v>
      </c>
      <c r="U56" s="81"/>
      <c r="V56" s="78">
        <f>+G56*tab!$C$57</f>
        <v>1144.22</v>
      </c>
      <c r="W56" s="78">
        <f>+H56*tab!$D$57</f>
        <v>1145.76</v>
      </c>
      <c r="X56" s="78">
        <f>+I56*tab!$D$57</f>
        <v>1145.76</v>
      </c>
      <c r="Y56" s="78">
        <f>+J56*tab!$D$57</f>
        <v>1145.76</v>
      </c>
      <c r="Z56" s="81"/>
      <c r="AA56" s="77">
        <v>0</v>
      </c>
      <c r="AB56" s="182">
        <f t="shared" si="3"/>
        <v>0</v>
      </c>
      <c r="AC56" s="141">
        <f t="shared" si="9"/>
        <v>0</v>
      </c>
      <c r="AD56" s="141">
        <f t="shared" si="9"/>
        <v>0</v>
      </c>
      <c r="AE56" s="102"/>
      <c r="AF56" s="154"/>
    </row>
    <row r="57" spans="2:32" s="134" customFormat="1" x14ac:dyDescent="0.2">
      <c r="B57" s="153"/>
      <c r="C57" s="174"/>
      <c r="D57" s="60">
        <v>45</v>
      </c>
      <c r="E57" s="179" t="s">
        <v>545</v>
      </c>
      <c r="F57" s="180" t="s">
        <v>495</v>
      </c>
      <c r="G57" s="181">
        <v>155</v>
      </c>
      <c r="H57" s="181">
        <f t="shared" si="10"/>
        <v>155</v>
      </c>
      <c r="I57" s="140">
        <f t="shared" si="10"/>
        <v>155</v>
      </c>
      <c r="J57" s="140">
        <f t="shared" si="10"/>
        <v>155</v>
      </c>
      <c r="K57" s="81"/>
      <c r="L57" s="78">
        <f>ROUND(G57*tab!$C$38,2)</f>
        <v>24274.55</v>
      </c>
      <c r="M57" s="78">
        <f>ROUND(H57*tab!$C$38,2)</f>
        <v>24274.55</v>
      </c>
      <c r="N57" s="78">
        <f>ROUND(I57*tab!$C$38,2)</f>
        <v>24274.55</v>
      </c>
      <c r="O57" s="78">
        <f>ROUND(J57*tab!$C$38,2)</f>
        <v>24274.55</v>
      </c>
      <c r="P57" s="81"/>
      <c r="Q57" s="182">
        <v>0</v>
      </c>
      <c r="R57" s="141">
        <f t="shared" si="11"/>
        <v>0</v>
      </c>
      <c r="S57" s="141">
        <f t="shared" si="11"/>
        <v>0</v>
      </c>
      <c r="T57" s="141">
        <f t="shared" si="11"/>
        <v>0</v>
      </c>
      <c r="U57" s="81"/>
      <c r="V57" s="78">
        <f>+G57*tab!$C$57</f>
        <v>1151.6499999999999</v>
      </c>
      <c r="W57" s="78">
        <f>+H57*tab!$D$57</f>
        <v>1153.2</v>
      </c>
      <c r="X57" s="78">
        <f>+I57*tab!$D$57</f>
        <v>1153.2</v>
      </c>
      <c r="Y57" s="78">
        <f>+J57*tab!$D$57</f>
        <v>1153.2</v>
      </c>
      <c r="Z57" s="81"/>
      <c r="AA57" s="77">
        <v>0</v>
      </c>
      <c r="AB57" s="182">
        <f t="shared" si="3"/>
        <v>0</v>
      </c>
      <c r="AC57" s="141">
        <f t="shared" si="9"/>
        <v>0</v>
      </c>
      <c r="AD57" s="141">
        <f t="shared" si="9"/>
        <v>0</v>
      </c>
      <c r="AE57" s="102"/>
      <c r="AF57" s="154"/>
    </row>
    <row r="58" spans="2:32" s="134" customFormat="1" x14ac:dyDescent="0.2">
      <c r="B58" s="153"/>
      <c r="C58" s="174"/>
      <c r="D58" s="60">
        <v>46</v>
      </c>
      <c r="E58" s="179" t="s">
        <v>546</v>
      </c>
      <c r="F58" s="180" t="s">
        <v>495</v>
      </c>
      <c r="G58" s="181">
        <v>156</v>
      </c>
      <c r="H58" s="181">
        <f t="shared" si="10"/>
        <v>156</v>
      </c>
      <c r="I58" s="140">
        <f t="shared" si="10"/>
        <v>156</v>
      </c>
      <c r="J58" s="140">
        <f t="shared" si="10"/>
        <v>156</v>
      </c>
      <c r="K58" s="81"/>
      <c r="L58" s="78">
        <f>ROUND(G58*tab!$C$38,2)</f>
        <v>24431.16</v>
      </c>
      <c r="M58" s="78">
        <f>ROUND(H58*tab!$C$38,2)</f>
        <v>24431.16</v>
      </c>
      <c r="N58" s="78">
        <f>ROUND(I58*tab!$C$38,2)</f>
        <v>24431.16</v>
      </c>
      <c r="O58" s="78">
        <f>ROUND(J58*tab!$C$38,2)</f>
        <v>24431.16</v>
      </c>
      <c r="P58" s="81"/>
      <c r="Q58" s="182">
        <v>0</v>
      </c>
      <c r="R58" s="141">
        <f t="shared" si="11"/>
        <v>0</v>
      </c>
      <c r="S58" s="141">
        <f t="shared" si="11"/>
        <v>0</v>
      </c>
      <c r="T58" s="141">
        <f t="shared" si="11"/>
        <v>0</v>
      </c>
      <c r="U58" s="81"/>
      <c r="V58" s="78">
        <f>+G58*tab!$C$57</f>
        <v>1159.08</v>
      </c>
      <c r="W58" s="78">
        <f>+H58*tab!$D$57</f>
        <v>1160.6400000000001</v>
      </c>
      <c r="X58" s="78">
        <f>+I58*tab!$D$57</f>
        <v>1160.6400000000001</v>
      </c>
      <c r="Y58" s="78">
        <f>+J58*tab!$D$57</f>
        <v>1160.6400000000001</v>
      </c>
      <c r="Z58" s="81"/>
      <c r="AA58" s="77">
        <v>0</v>
      </c>
      <c r="AB58" s="182">
        <f t="shared" si="3"/>
        <v>0</v>
      </c>
      <c r="AC58" s="141">
        <f t="shared" si="9"/>
        <v>0</v>
      </c>
      <c r="AD58" s="141">
        <f t="shared" si="9"/>
        <v>0</v>
      </c>
      <c r="AE58" s="102"/>
      <c r="AF58" s="154"/>
    </row>
    <row r="59" spans="2:32" s="134" customFormat="1" x14ac:dyDescent="0.2">
      <c r="B59" s="153"/>
      <c r="C59" s="174"/>
      <c r="D59" s="60">
        <v>47</v>
      </c>
      <c r="E59" s="179" t="s">
        <v>547</v>
      </c>
      <c r="F59" s="180" t="s">
        <v>495</v>
      </c>
      <c r="G59" s="181">
        <v>157</v>
      </c>
      <c r="H59" s="181">
        <f t="shared" si="10"/>
        <v>157</v>
      </c>
      <c r="I59" s="140">
        <f t="shared" si="10"/>
        <v>157</v>
      </c>
      <c r="J59" s="140">
        <f t="shared" si="10"/>
        <v>157</v>
      </c>
      <c r="K59" s="81"/>
      <c r="L59" s="78">
        <f>ROUND(G59*tab!$C$38,2)</f>
        <v>24587.77</v>
      </c>
      <c r="M59" s="78">
        <f>ROUND(H59*tab!$C$38,2)</f>
        <v>24587.77</v>
      </c>
      <c r="N59" s="78">
        <f>ROUND(I59*tab!$C$38,2)</f>
        <v>24587.77</v>
      </c>
      <c r="O59" s="78">
        <f>ROUND(J59*tab!$C$38,2)</f>
        <v>24587.77</v>
      </c>
      <c r="P59" s="81"/>
      <c r="Q59" s="182">
        <v>0</v>
      </c>
      <c r="R59" s="141">
        <f t="shared" si="11"/>
        <v>0</v>
      </c>
      <c r="S59" s="141">
        <f t="shared" si="11"/>
        <v>0</v>
      </c>
      <c r="T59" s="141">
        <f t="shared" si="11"/>
        <v>0</v>
      </c>
      <c r="U59" s="81"/>
      <c r="V59" s="78">
        <f>+G59*tab!$C$57</f>
        <v>1166.51</v>
      </c>
      <c r="W59" s="78">
        <f>+H59*tab!$D$57</f>
        <v>1168.0800000000002</v>
      </c>
      <c r="X59" s="78">
        <f>+I59*tab!$D$57</f>
        <v>1168.0800000000002</v>
      </c>
      <c r="Y59" s="78">
        <f>+J59*tab!$D$57</f>
        <v>1168.0800000000002</v>
      </c>
      <c r="Z59" s="81"/>
      <c r="AA59" s="77">
        <v>0</v>
      </c>
      <c r="AB59" s="182">
        <f t="shared" si="3"/>
        <v>0</v>
      </c>
      <c r="AC59" s="141">
        <f t="shared" si="9"/>
        <v>0</v>
      </c>
      <c r="AD59" s="141">
        <f t="shared" si="9"/>
        <v>0</v>
      </c>
      <c r="AE59" s="102"/>
      <c r="AF59" s="154"/>
    </row>
    <row r="60" spans="2:32" s="134" customFormat="1" x14ac:dyDescent="0.2">
      <c r="B60" s="153"/>
      <c r="C60" s="174"/>
      <c r="D60" s="60">
        <v>48</v>
      </c>
      <c r="E60" s="179" t="s">
        <v>548</v>
      </c>
      <c r="F60" s="180" t="s">
        <v>495</v>
      </c>
      <c r="G60" s="181">
        <v>158</v>
      </c>
      <c r="H60" s="181">
        <f t="shared" si="10"/>
        <v>158</v>
      </c>
      <c r="I60" s="140">
        <f t="shared" si="10"/>
        <v>158</v>
      </c>
      <c r="J60" s="140">
        <f t="shared" si="10"/>
        <v>158</v>
      </c>
      <c r="K60" s="81"/>
      <c r="L60" s="78">
        <f>ROUND(G60*tab!$C$38,2)</f>
        <v>24744.38</v>
      </c>
      <c r="M60" s="78">
        <f>ROUND(H60*tab!$C$38,2)</f>
        <v>24744.38</v>
      </c>
      <c r="N60" s="78">
        <f>ROUND(I60*tab!$C$38,2)</f>
        <v>24744.38</v>
      </c>
      <c r="O60" s="78">
        <f>ROUND(J60*tab!$C$38,2)</f>
        <v>24744.38</v>
      </c>
      <c r="P60" s="81"/>
      <c r="Q60" s="182">
        <v>0</v>
      </c>
      <c r="R60" s="141">
        <f t="shared" si="11"/>
        <v>0</v>
      </c>
      <c r="S60" s="141">
        <f t="shared" si="11"/>
        <v>0</v>
      </c>
      <c r="T60" s="141">
        <f t="shared" si="11"/>
        <v>0</v>
      </c>
      <c r="U60" s="81"/>
      <c r="V60" s="78">
        <f>+G60*tab!$C$57</f>
        <v>1173.94</v>
      </c>
      <c r="W60" s="78">
        <f>+H60*tab!$D$57</f>
        <v>1175.52</v>
      </c>
      <c r="X60" s="78">
        <f>+I60*tab!$D$57</f>
        <v>1175.52</v>
      </c>
      <c r="Y60" s="78">
        <f>+J60*tab!$D$57</f>
        <v>1175.52</v>
      </c>
      <c r="Z60" s="81"/>
      <c r="AA60" s="77">
        <v>0</v>
      </c>
      <c r="AB60" s="182">
        <f t="shared" si="3"/>
        <v>0</v>
      </c>
      <c r="AC60" s="141">
        <f t="shared" si="9"/>
        <v>0</v>
      </c>
      <c r="AD60" s="141">
        <f t="shared" si="9"/>
        <v>0</v>
      </c>
      <c r="AE60" s="102"/>
      <c r="AF60" s="154"/>
    </row>
    <row r="61" spans="2:32" s="134" customFormat="1" x14ac:dyDescent="0.2">
      <c r="B61" s="153"/>
      <c r="C61" s="174"/>
      <c r="D61" s="60">
        <v>49</v>
      </c>
      <c r="E61" s="179" t="s">
        <v>549</v>
      </c>
      <c r="F61" s="180" t="s">
        <v>495</v>
      </c>
      <c r="G61" s="181">
        <v>159</v>
      </c>
      <c r="H61" s="181">
        <f t="shared" si="10"/>
        <v>159</v>
      </c>
      <c r="I61" s="140">
        <f t="shared" si="10"/>
        <v>159</v>
      </c>
      <c r="J61" s="140">
        <f t="shared" si="10"/>
        <v>159</v>
      </c>
      <c r="K61" s="81"/>
      <c r="L61" s="78">
        <f>ROUND(G61*tab!$C$38,2)</f>
        <v>24900.99</v>
      </c>
      <c r="M61" s="78">
        <f>ROUND(H61*tab!$C$38,2)</f>
        <v>24900.99</v>
      </c>
      <c r="N61" s="78">
        <f>ROUND(I61*tab!$C$38,2)</f>
        <v>24900.99</v>
      </c>
      <c r="O61" s="78">
        <f>ROUND(J61*tab!$C$38,2)</f>
        <v>24900.99</v>
      </c>
      <c r="P61" s="81"/>
      <c r="Q61" s="182">
        <v>0</v>
      </c>
      <c r="R61" s="141">
        <f t="shared" si="11"/>
        <v>0</v>
      </c>
      <c r="S61" s="141">
        <f t="shared" si="11"/>
        <v>0</v>
      </c>
      <c r="T61" s="141">
        <f t="shared" si="11"/>
        <v>0</v>
      </c>
      <c r="U61" s="81"/>
      <c r="V61" s="78">
        <f>+G61*tab!$C$57</f>
        <v>1181.3699999999999</v>
      </c>
      <c r="W61" s="78">
        <f>+H61*tab!$D$57</f>
        <v>1182.96</v>
      </c>
      <c r="X61" s="78">
        <f>+I61*tab!$D$57</f>
        <v>1182.96</v>
      </c>
      <c r="Y61" s="78">
        <f>+J61*tab!$D$57</f>
        <v>1182.96</v>
      </c>
      <c r="Z61" s="81"/>
      <c r="AA61" s="77">
        <v>0</v>
      </c>
      <c r="AB61" s="182">
        <f t="shared" si="3"/>
        <v>0</v>
      </c>
      <c r="AC61" s="141">
        <f t="shared" si="9"/>
        <v>0</v>
      </c>
      <c r="AD61" s="141">
        <f t="shared" si="9"/>
        <v>0</v>
      </c>
      <c r="AE61" s="102"/>
      <c r="AF61" s="154"/>
    </row>
    <row r="62" spans="2:32" s="134" customFormat="1" x14ac:dyDescent="0.2">
      <c r="B62" s="153"/>
      <c r="C62" s="174"/>
      <c r="D62" s="60">
        <v>50</v>
      </c>
      <c r="E62" s="179" t="s">
        <v>550</v>
      </c>
      <c r="F62" s="180" t="s">
        <v>495</v>
      </c>
      <c r="G62" s="181">
        <v>160</v>
      </c>
      <c r="H62" s="181">
        <f t="shared" si="10"/>
        <v>160</v>
      </c>
      <c r="I62" s="140">
        <f t="shared" si="10"/>
        <v>160</v>
      </c>
      <c r="J62" s="140">
        <f t="shared" si="10"/>
        <v>160</v>
      </c>
      <c r="K62" s="81"/>
      <c r="L62" s="78">
        <f>ROUND(G62*tab!$C$38,2)</f>
        <v>25057.599999999999</v>
      </c>
      <c r="M62" s="78">
        <f>ROUND(H62*tab!$C$38,2)</f>
        <v>25057.599999999999</v>
      </c>
      <c r="N62" s="78">
        <f>ROUND(I62*tab!$C$38,2)</f>
        <v>25057.599999999999</v>
      </c>
      <c r="O62" s="78">
        <f>ROUND(J62*tab!$C$38,2)</f>
        <v>25057.599999999999</v>
      </c>
      <c r="P62" s="81"/>
      <c r="Q62" s="182">
        <v>0</v>
      </c>
      <c r="R62" s="141">
        <f t="shared" si="11"/>
        <v>0</v>
      </c>
      <c r="S62" s="141">
        <f t="shared" si="11"/>
        <v>0</v>
      </c>
      <c r="T62" s="141">
        <f t="shared" si="11"/>
        <v>0</v>
      </c>
      <c r="U62" s="81"/>
      <c r="V62" s="78">
        <f>+G62*tab!$C$57</f>
        <v>1188.8</v>
      </c>
      <c r="W62" s="78">
        <f>+H62*tab!$D$57</f>
        <v>1190.4000000000001</v>
      </c>
      <c r="X62" s="78">
        <f>+I62*tab!$D$57</f>
        <v>1190.4000000000001</v>
      </c>
      <c r="Y62" s="78">
        <f>+J62*tab!$D$57</f>
        <v>1190.4000000000001</v>
      </c>
      <c r="Z62" s="81"/>
      <c r="AA62" s="77">
        <v>0</v>
      </c>
      <c r="AB62" s="182">
        <f t="shared" si="3"/>
        <v>0</v>
      </c>
      <c r="AC62" s="141">
        <f t="shared" si="9"/>
        <v>0</v>
      </c>
      <c r="AD62" s="141">
        <f t="shared" si="9"/>
        <v>0</v>
      </c>
      <c r="AE62" s="102"/>
      <c r="AF62" s="154"/>
    </row>
    <row r="63" spans="2:32" s="134" customFormat="1" x14ac:dyDescent="0.2">
      <c r="B63" s="153"/>
      <c r="C63" s="174"/>
      <c r="D63" s="60">
        <v>51</v>
      </c>
      <c r="E63" s="179" t="s">
        <v>551</v>
      </c>
      <c r="F63" s="180" t="s">
        <v>495</v>
      </c>
      <c r="G63" s="181">
        <v>161</v>
      </c>
      <c r="H63" s="181">
        <f t="shared" si="10"/>
        <v>161</v>
      </c>
      <c r="I63" s="140">
        <f t="shared" si="10"/>
        <v>161</v>
      </c>
      <c r="J63" s="140">
        <f t="shared" si="10"/>
        <v>161</v>
      </c>
      <c r="K63" s="81"/>
      <c r="L63" s="78">
        <f>ROUND(G63*tab!$C$38,2)</f>
        <v>25214.21</v>
      </c>
      <c r="M63" s="78">
        <f>ROUND(H63*tab!$C$38,2)</f>
        <v>25214.21</v>
      </c>
      <c r="N63" s="78">
        <f>ROUND(I63*tab!$C$38,2)</f>
        <v>25214.21</v>
      </c>
      <c r="O63" s="78">
        <f>ROUND(J63*tab!$C$38,2)</f>
        <v>25214.21</v>
      </c>
      <c r="P63" s="81"/>
      <c r="Q63" s="182">
        <v>0</v>
      </c>
      <c r="R63" s="141">
        <f t="shared" si="11"/>
        <v>0</v>
      </c>
      <c r="S63" s="141">
        <f t="shared" si="11"/>
        <v>0</v>
      </c>
      <c r="T63" s="141">
        <f t="shared" si="11"/>
        <v>0</v>
      </c>
      <c r="U63" s="81"/>
      <c r="V63" s="78">
        <f>+G63*tab!$C$57</f>
        <v>1196.23</v>
      </c>
      <c r="W63" s="78">
        <f>+H63*tab!$D$57</f>
        <v>1197.8400000000001</v>
      </c>
      <c r="X63" s="78">
        <f>+I63*tab!$D$57</f>
        <v>1197.8400000000001</v>
      </c>
      <c r="Y63" s="78">
        <f>+J63*tab!$D$57</f>
        <v>1197.8400000000001</v>
      </c>
      <c r="Z63" s="81"/>
      <c r="AA63" s="77">
        <v>0</v>
      </c>
      <c r="AB63" s="182">
        <f t="shared" si="3"/>
        <v>0</v>
      </c>
      <c r="AC63" s="141">
        <f t="shared" si="9"/>
        <v>0</v>
      </c>
      <c r="AD63" s="141">
        <f t="shared" si="9"/>
        <v>0</v>
      </c>
      <c r="AE63" s="102"/>
      <c r="AF63" s="154"/>
    </row>
    <row r="64" spans="2:32" s="134" customFormat="1" x14ac:dyDescent="0.2">
      <c r="B64" s="153"/>
      <c r="C64" s="174"/>
      <c r="D64" s="60">
        <v>52</v>
      </c>
      <c r="E64" s="179" t="s">
        <v>552</v>
      </c>
      <c r="F64" s="180" t="s">
        <v>495</v>
      </c>
      <c r="G64" s="181">
        <v>162</v>
      </c>
      <c r="H64" s="181">
        <f t="shared" si="10"/>
        <v>162</v>
      </c>
      <c r="I64" s="140">
        <f t="shared" si="10"/>
        <v>162</v>
      </c>
      <c r="J64" s="140">
        <f t="shared" si="10"/>
        <v>162</v>
      </c>
      <c r="K64" s="81"/>
      <c r="L64" s="78">
        <f>ROUND(G64*tab!$C$38,2)</f>
        <v>25370.82</v>
      </c>
      <c r="M64" s="78">
        <f>ROUND(H64*tab!$C$38,2)</f>
        <v>25370.82</v>
      </c>
      <c r="N64" s="78">
        <f>ROUND(I64*tab!$C$38,2)</f>
        <v>25370.82</v>
      </c>
      <c r="O64" s="78">
        <f>ROUND(J64*tab!$C$38,2)</f>
        <v>25370.82</v>
      </c>
      <c r="P64" s="81"/>
      <c r="Q64" s="182">
        <v>0</v>
      </c>
      <c r="R64" s="141">
        <f t="shared" si="11"/>
        <v>0</v>
      </c>
      <c r="S64" s="141">
        <f t="shared" si="11"/>
        <v>0</v>
      </c>
      <c r="T64" s="141">
        <f t="shared" si="11"/>
        <v>0</v>
      </c>
      <c r="U64" s="81"/>
      <c r="V64" s="78">
        <f>+G64*tab!$C$57</f>
        <v>1203.6599999999999</v>
      </c>
      <c r="W64" s="78">
        <f>+H64*tab!$D$57</f>
        <v>1205.28</v>
      </c>
      <c r="X64" s="78">
        <f>+I64*tab!$D$57</f>
        <v>1205.28</v>
      </c>
      <c r="Y64" s="78">
        <f>+J64*tab!$D$57</f>
        <v>1205.28</v>
      </c>
      <c r="Z64" s="81"/>
      <c r="AA64" s="77">
        <v>0</v>
      </c>
      <c r="AB64" s="182">
        <f t="shared" si="3"/>
        <v>0</v>
      </c>
      <c r="AC64" s="141">
        <f t="shared" si="9"/>
        <v>0</v>
      </c>
      <c r="AD64" s="141">
        <f t="shared" si="9"/>
        <v>0</v>
      </c>
      <c r="AE64" s="102"/>
      <c r="AF64" s="154"/>
    </row>
    <row r="65" spans="2:32" s="134" customFormat="1" x14ac:dyDescent="0.2">
      <c r="B65" s="153"/>
      <c r="C65" s="174"/>
      <c r="D65" s="60">
        <v>53</v>
      </c>
      <c r="E65" s="179" t="s">
        <v>553</v>
      </c>
      <c r="F65" s="180" t="s">
        <v>495</v>
      </c>
      <c r="G65" s="181">
        <v>163</v>
      </c>
      <c r="H65" s="181">
        <f t="shared" si="10"/>
        <v>163</v>
      </c>
      <c r="I65" s="140">
        <f t="shared" si="10"/>
        <v>163</v>
      </c>
      <c r="J65" s="140">
        <f t="shared" si="10"/>
        <v>163</v>
      </c>
      <c r="K65" s="81"/>
      <c r="L65" s="78">
        <f>ROUND(G65*tab!$C$38,2)</f>
        <v>25527.43</v>
      </c>
      <c r="M65" s="78">
        <f>ROUND(H65*tab!$C$38,2)</f>
        <v>25527.43</v>
      </c>
      <c r="N65" s="78">
        <f>ROUND(I65*tab!$C$38,2)</f>
        <v>25527.43</v>
      </c>
      <c r="O65" s="78">
        <f>ROUND(J65*tab!$C$38,2)</f>
        <v>25527.43</v>
      </c>
      <c r="P65" s="81"/>
      <c r="Q65" s="182">
        <v>0</v>
      </c>
      <c r="R65" s="141">
        <f t="shared" si="11"/>
        <v>0</v>
      </c>
      <c r="S65" s="141">
        <f t="shared" si="11"/>
        <v>0</v>
      </c>
      <c r="T65" s="141">
        <f t="shared" si="11"/>
        <v>0</v>
      </c>
      <c r="U65" s="81"/>
      <c r="V65" s="78">
        <f>+G65*tab!$C$57</f>
        <v>1211.0899999999999</v>
      </c>
      <c r="W65" s="78">
        <f>+H65*tab!$D$57</f>
        <v>1212.72</v>
      </c>
      <c r="X65" s="78">
        <f>+I65*tab!$D$57</f>
        <v>1212.72</v>
      </c>
      <c r="Y65" s="78">
        <f>+J65*tab!$D$57</f>
        <v>1212.72</v>
      </c>
      <c r="Z65" s="81"/>
      <c r="AA65" s="77">
        <v>0</v>
      </c>
      <c r="AB65" s="182">
        <f t="shared" si="3"/>
        <v>0</v>
      </c>
      <c r="AC65" s="141">
        <f t="shared" si="9"/>
        <v>0</v>
      </c>
      <c r="AD65" s="141">
        <f t="shared" si="9"/>
        <v>0</v>
      </c>
      <c r="AE65" s="102"/>
      <c r="AF65" s="154"/>
    </row>
    <row r="66" spans="2:32" s="134" customFormat="1" x14ac:dyDescent="0.2">
      <c r="B66" s="153"/>
      <c r="C66" s="174"/>
      <c r="D66" s="60">
        <v>54</v>
      </c>
      <c r="E66" s="179" t="s">
        <v>554</v>
      </c>
      <c r="F66" s="180" t="s">
        <v>495</v>
      </c>
      <c r="G66" s="181">
        <v>164</v>
      </c>
      <c r="H66" s="181">
        <f t="shared" si="10"/>
        <v>164</v>
      </c>
      <c r="I66" s="140">
        <f t="shared" si="10"/>
        <v>164</v>
      </c>
      <c r="J66" s="140">
        <f t="shared" si="10"/>
        <v>164</v>
      </c>
      <c r="K66" s="81"/>
      <c r="L66" s="78">
        <f>ROUND(G66*tab!$C$38,2)</f>
        <v>25684.04</v>
      </c>
      <c r="M66" s="78">
        <f>ROUND(H66*tab!$C$38,2)</f>
        <v>25684.04</v>
      </c>
      <c r="N66" s="78">
        <f>ROUND(I66*tab!$C$38,2)</f>
        <v>25684.04</v>
      </c>
      <c r="O66" s="78">
        <f>ROUND(J66*tab!$C$38,2)</f>
        <v>25684.04</v>
      </c>
      <c r="P66" s="81"/>
      <c r="Q66" s="182">
        <v>0</v>
      </c>
      <c r="R66" s="141">
        <f t="shared" si="11"/>
        <v>0</v>
      </c>
      <c r="S66" s="141">
        <f t="shared" si="11"/>
        <v>0</v>
      </c>
      <c r="T66" s="141">
        <f t="shared" si="11"/>
        <v>0</v>
      </c>
      <c r="U66" s="81"/>
      <c r="V66" s="78">
        <f>+G66*tab!$C$57</f>
        <v>1218.52</v>
      </c>
      <c r="W66" s="78">
        <f>+H66*tab!$D$57</f>
        <v>1220.1600000000001</v>
      </c>
      <c r="X66" s="78">
        <f>+I66*tab!$D$57</f>
        <v>1220.1600000000001</v>
      </c>
      <c r="Y66" s="78">
        <f>+J66*tab!$D$57</f>
        <v>1220.1600000000001</v>
      </c>
      <c r="Z66" s="81"/>
      <c r="AA66" s="77">
        <v>0</v>
      </c>
      <c r="AB66" s="182">
        <f t="shared" si="3"/>
        <v>0</v>
      </c>
      <c r="AC66" s="141">
        <f t="shared" ref="AC66:AD85" si="12">AB66</f>
        <v>0</v>
      </c>
      <c r="AD66" s="141">
        <f t="shared" si="12"/>
        <v>0</v>
      </c>
      <c r="AE66" s="102"/>
      <c r="AF66" s="154"/>
    </row>
    <row r="67" spans="2:32" s="134" customFormat="1" x14ac:dyDescent="0.2">
      <c r="B67" s="153"/>
      <c r="C67" s="174"/>
      <c r="D67" s="60">
        <v>55</v>
      </c>
      <c r="E67" s="179" t="s">
        <v>555</v>
      </c>
      <c r="F67" s="180" t="s">
        <v>495</v>
      </c>
      <c r="G67" s="181">
        <v>165</v>
      </c>
      <c r="H67" s="181">
        <f t="shared" si="10"/>
        <v>165</v>
      </c>
      <c r="I67" s="140">
        <f t="shared" si="10"/>
        <v>165</v>
      </c>
      <c r="J67" s="140">
        <f t="shared" si="10"/>
        <v>165</v>
      </c>
      <c r="K67" s="81"/>
      <c r="L67" s="78">
        <f>ROUND(G67*tab!$C$38,2)</f>
        <v>25840.65</v>
      </c>
      <c r="M67" s="78">
        <f>ROUND(H67*tab!$C$38,2)</f>
        <v>25840.65</v>
      </c>
      <c r="N67" s="78">
        <f>ROUND(I67*tab!$C$38,2)</f>
        <v>25840.65</v>
      </c>
      <c r="O67" s="78">
        <f>ROUND(J67*tab!$C$38,2)</f>
        <v>25840.65</v>
      </c>
      <c r="P67" s="81"/>
      <c r="Q67" s="182">
        <v>0</v>
      </c>
      <c r="R67" s="141">
        <f t="shared" si="11"/>
        <v>0</v>
      </c>
      <c r="S67" s="141">
        <f t="shared" si="11"/>
        <v>0</v>
      </c>
      <c r="T67" s="141">
        <f t="shared" si="11"/>
        <v>0</v>
      </c>
      <c r="U67" s="81"/>
      <c r="V67" s="78">
        <f>+G67*tab!$C$57</f>
        <v>1225.95</v>
      </c>
      <c r="W67" s="78">
        <f>+H67*tab!$D$57</f>
        <v>1227.6000000000001</v>
      </c>
      <c r="X67" s="78">
        <f>+I67*tab!$D$57</f>
        <v>1227.6000000000001</v>
      </c>
      <c r="Y67" s="78">
        <f>+J67*tab!$D$57</f>
        <v>1227.6000000000001</v>
      </c>
      <c r="Z67" s="81"/>
      <c r="AA67" s="77">
        <v>0</v>
      </c>
      <c r="AB67" s="182">
        <f t="shared" si="3"/>
        <v>0</v>
      </c>
      <c r="AC67" s="141">
        <f t="shared" si="12"/>
        <v>0</v>
      </c>
      <c r="AD67" s="141">
        <f t="shared" si="12"/>
        <v>0</v>
      </c>
      <c r="AE67" s="102"/>
      <c r="AF67" s="154"/>
    </row>
    <row r="68" spans="2:32" s="134" customFormat="1" x14ac:dyDescent="0.2">
      <c r="B68" s="153"/>
      <c r="C68" s="174"/>
      <c r="D68" s="60">
        <v>56</v>
      </c>
      <c r="E68" s="179" t="s">
        <v>556</v>
      </c>
      <c r="F68" s="180" t="s">
        <v>495</v>
      </c>
      <c r="G68" s="181">
        <v>166</v>
      </c>
      <c r="H68" s="181">
        <f t="shared" si="10"/>
        <v>166</v>
      </c>
      <c r="I68" s="140">
        <f t="shared" si="10"/>
        <v>166</v>
      </c>
      <c r="J68" s="140">
        <f t="shared" si="10"/>
        <v>166</v>
      </c>
      <c r="K68" s="81"/>
      <c r="L68" s="78">
        <f>ROUND(G68*tab!$C$38,2)</f>
        <v>25997.26</v>
      </c>
      <c r="M68" s="78">
        <f>ROUND(H68*tab!$C$38,2)</f>
        <v>25997.26</v>
      </c>
      <c r="N68" s="78">
        <f>ROUND(I68*tab!$C$38,2)</f>
        <v>25997.26</v>
      </c>
      <c r="O68" s="78">
        <f>ROUND(J68*tab!$C$38,2)</f>
        <v>25997.26</v>
      </c>
      <c r="P68" s="81"/>
      <c r="Q68" s="182">
        <v>0</v>
      </c>
      <c r="R68" s="141">
        <f t="shared" si="11"/>
        <v>0</v>
      </c>
      <c r="S68" s="141">
        <f t="shared" si="11"/>
        <v>0</v>
      </c>
      <c r="T68" s="141">
        <f t="shared" si="11"/>
        <v>0</v>
      </c>
      <c r="U68" s="81"/>
      <c r="V68" s="78">
        <f>+G68*tab!$C$57</f>
        <v>1233.3799999999999</v>
      </c>
      <c r="W68" s="78">
        <f>+H68*tab!$D$57</f>
        <v>1235.04</v>
      </c>
      <c r="X68" s="78">
        <f>+I68*tab!$D$57</f>
        <v>1235.04</v>
      </c>
      <c r="Y68" s="78">
        <f>+J68*tab!$D$57</f>
        <v>1235.04</v>
      </c>
      <c r="Z68" s="81"/>
      <c r="AA68" s="77">
        <v>0</v>
      </c>
      <c r="AB68" s="182">
        <f t="shared" si="3"/>
        <v>0</v>
      </c>
      <c r="AC68" s="141">
        <f t="shared" si="12"/>
        <v>0</v>
      </c>
      <c r="AD68" s="141">
        <f t="shared" si="12"/>
        <v>0</v>
      </c>
      <c r="AE68" s="102"/>
      <c r="AF68" s="154"/>
    </row>
    <row r="69" spans="2:32" s="134" customFormat="1" x14ac:dyDescent="0.2">
      <c r="B69" s="153"/>
      <c r="C69" s="174"/>
      <c r="D69" s="60">
        <v>57</v>
      </c>
      <c r="E69" s="179" t="s">
        <v>557</v>
      </c>
      <c r="F69" s="180" t="s">
        <v>495</v>
      </c>
      <c r="G69" s="181">
        <v>167</v>
      </c>
      <c r="H69" s="181">
        <f t="shared" si="10"/>
        <v>167</v>
      </c>
      <c r="I69" s="140">
        <f t="shared" si="10"/>
        <v>167</v>
      </c>
      <c r="J69" s="140">
        <f t="shared" si="10"/>
        <v>167</v>
      </c>
      <c r="K69" s="81"/>
      <c r="L69" s="78">
        <f>ROUND(G69*tab!$C$38,2)</f>
        <v>26153.87</v>
      </c>
      <c r="M69" s="78">
        <f>ROUND(H69*tab!$C$38,2)</f>
        <v>26153.87</v>
      </c>
      <c r="N69" s="78">
        <f>ROUND(I69*tab!$C$38,2)</f>
        <v>26153.87</v>
      </c>
      <c r="O69" s="78">
        <f>ROUND(J69*tab!$C$38,2)</f>
        <v>26153.87</v>
      </c>
      <c r="P69" s="81"/>
      <c r="Q69" s="182">
        <v>0</v>
      </c>
      <c r="R69" s="141">
        <f t="shared" si="11"/>
        <v>0</v>
      </c>
      <c r="S69" s="141">
        <f t="shared" si="11"/>
        <v>0</v>
      </c>
      <c r="T69" s="141">
        <f t="shared" si="11"/>
        <v>0</v>
      </c>
      <c r="U69" s="81"/>
      <c r="V69" s="78">
        <f>+G69*tab!$C$57</f>
        <v>1240.81</v>
      </c>
      <c r="W69" s="78">
        <f>+H69*tab!$D$57</f>
        <v>1242.48</v>
      </c>
      <c r="X69" s="78">
        <f>+I69*tab!$D$57</f>
        <v>1242.48</v>
      </c>
      <c r="Y69" s="78">
        <f>+J69*tab!$D$57</f>
        <v>1242.48</v>
      </c>
      <c r="Z69" s="81"/>
      <c r="AA69" s="77">
        <v>0</v>
      </c>
      <c r="AB69" s="182">
        <f t="shared" si="3"/>
        <v>0</v>
      </c>
      <c r="AC69" s="141">
        <f t="shared" si="12"/>
        <v>0</v>
      </c>
      <c r="AD69" s="141">
        <f t="shared" si="12"/>
        <v>0</v>
      </c>
      <c r="AE69" s="102"/>
      <c r="AF69" s="154"/>
    </row>
    <row r="70" spans="2:32" s="134" customFormat="1" x14ac:dyDescent="0.2">
      <c r="B70" s="153"/>
      <c r="C70" s="174"/>
      <c r="D70" s="60">
        <v>58</v>
      </c>
      <c r="E70" s="179" t="s">
        <v>558</v>
      </c>
      <c r="F70" s="180" t="s">
        <v>495</v>
      </c>
      <c r="G70" s="181">
        <v>168</v>
      </c>
      <c r="H70" s="181">
        <f t="shared" si="10"/>
        <v>168</v>
      </c>
      <c r="I70" s="140">
        <f t="shared" si="10"/>
        <v>168</v>
      </c>
      <c r="J70" s="140">
        <f t="shared" si="10"/>
        <v>168</v>
      </c>
      <c r="K70" s="81"/>
      <c r="L70" s="78">
        <f>ROUND(G70*tab!$C$38,2)</f>
        <v>26310.48</v>
      </c>
      <c r="M70" s="78">
        <f>ROUND(H70*tab!$C$38,2)</f>
        <v>26310.48</v>
      </c>
      <c r="N70" s="78">
        <f>ROUND(I70*tab!$C$38,2)</f>
        <v>26310.48</v>
      </c>
      <c r="O70" s="78">
        <f>ROUND(J70*tab!$C$38,2)</f>
        <v>26310.48</v>
      </c>
      <c r="P70" s="81"/>
      <c r="Q70" s="182">
        <v>0</v>
      </c>
      <c r="R70" s="141">
        <f t="shared" si="11"/>
        <v>0</v>
      </c>
      <c r="S70" s="141">
        <f t="shared" si="11"/>
        <v>0</v>
      </c>
      <c r="T70" s="141">
        <f t="shared" si="11"/>
        <v>0</v>
      </c>
      <c r="U70" s="81"/>
      <c r="V70" s="78">
        <f>+G70*tab!$C$57</f>
        <v>1248.24</v>
      </c>
      <c r="W70" s="78">
        <f>+H70*tab!$D$57</f>
        <v>1249.92</v>
      </c>
      <c r="X70" s="78">
        <f>+I70*tab!$D$57</f>
        <v>1249.92</v>
      </c>
      <c r="Y70" s="78">
        <f>+J70*tab!$D$57</f>
        <v>1249.92</v>
      </c>
      <c r="Z70" s="81"/>
      <c r="AA70" s="77">
        <v>0</v>
      </c>
      <c r="AB70" s="182">
        <f t="shared" si="3"/>
        <v>0</v>
      </c>
      <c r="AC70" s="141">
        <f t="shared" si="12"/>
        <v>0</v>
      </c>
      <c r="AD70" s="141">
        <f t="shared" si="12"/>
        <v>0</v>
      </c>
      <c r="AE70" s="102"/>
      <c r="AF70" s="154"/>
    </row>
    <row r="71" spans="2:32" s="134" customFormat="1" x14ac:dyDescent="0.2">
      <c r="B71" s="153"/>
      <c r="C71" s="174"/>
      <c r="D71" s="60">
        <v>59</v>
      </c>
      <c r="E71" s="179" t="s">
        <v>559</v>
      </c>
      <c r="F71" s="180" t="s">
        <v>495</v>
      </c>
      <c r="G71" s="181">
        <v>169</v>
      </c>
      <c r="H71" s="181">
        <f t="shared" si="10"/>
        <v>169</v>
      </c>
      <c r="I71" s="140">
        <f t="shared" si="10"/>
        <v>169</v>
      </c>
      <c r="J71" s="140">
        <f t="shared" si="10"/>
        <v>169</v>
      </c>
      <c r="K71" s="81"/>
      <c r="L71" s="78">
        <f>ROUND(G71*tab!$C$38,2)</f>
        <v>26467.09</v>
      </c>
      <c r="M71" s="78">
        <f>ROUND(H71*tab!$C$38,2)</f>
        <v>26467.09</v>
      </c>
      <c r="N71" s="78">
        <f>ROUND(I71*tab!$C$38,2)</f>
        <v>26467.09</v>
      </c>
      <c r="O71" s="78">
        <f>ROUND(J71*tab!$C$38,2)</f>
        <v>26467.09</v>
      </c>
      <c r="P71" s="81"/>
      <c r="Q71" s="182">
        <v>0</v>
      </c>
      <c r="R71" s="141">
        <f t="shared" si="11"/>
        <v>0</v>
      </c>
      <c r="S71" s="141">
        <f t="shared" si="11"/>
        <v>0</v>
      </c>
      <c r="T71" s="141">
        <f t="shared" si="11"/>
        <v>0</v>
      </c>
      <c r="U71" s="81"/>
      <c r="V71" s="78">
        <f>+G71*tab!$C$57</f>
        <v>1255.6699999999998</v>
      </c>
      <c r="W71" s="78">
        <f>+H71*tab!$D$57</f>
        <v>1257.3600000000001</v>
      </c>
      <c r="X71" s="78">
        <f>+I71*tab!$D$57</f>
        <v>1257.3600000000001</v>
      </c>
      <c r="Y71" s="78">
        <f>+J71*tab!$D$57</f>
        <v>1257.3600000000001</v>
      </c>
      <c r="Z71" s="81"/>
      <c r="AA71" s="77">
        <v>0</v>
      </c>
      <c r="AB71" s="182">
        <f t="shared" si="3"/>
        <v>0</v>
      </c>
      <c r="AC71" s="141">
        <f t="shared" si="12"/>
        <v>0</v>
      </c>
      <c r="AD71" s="141">
        <f t="shared" si="12"/>
        <v>0</v>
      </c>
      <c r="AE71" s="102"/>
      <c r="AF71" s="154"/>
    </row>
    <row r="72" spans="2:32" s="134" customFormat="1" x14ac:dyDescent="0.2">
      <c r="B72" s="153"/>
      <c r="C72" s="174"/>
      <c r="D72" s="60">
        <v>60</v>
      </c>
      <c r="E72" s="179" t="s">
        <v>560</v>
      </c>
      <c r="F72" s="180" t="s">
        <v>495</v>
      </c>
      <c r="G72" s="181">
        <v>170</v>
      </c>
      <c r="H72" s="181">
        <f t="shared" si="10"/>
        <v>170</v>
      </c>
      <c r="I72" s="140">
        <f t="shared" si="10"/>
        <v>170</v>
      </c>
      <c r="J72" s="140">
        <f t="shared" si="10"/>
        <v>170</v>
      </c>
      <c r="K72" s="81"/>
      <c r="L72" s="78">
        <f>ROUND(G72*tab!$C$38,2)</f>
        <v>26623.7</v>
      </c>
      <c r="M72" s="78">
        <f>ROUND(H72*tab!$C$38,2)</f>
        <v>26623.7</v>
      </c>
      <c r="N72" s="78">
        <f>ROUND(I72*tab!$C$38,2)</f>
        <v>26623.7</v>
      </c>
      <c r="O72" s="78">
        <f>ROUND(J72*tab!$C$38,2)</f>
        <v>26623.7</v>
      </c>
      <c r="P72" s="81"/>
      <c r="Q72" s="182">
        <v>0</v>
      </c>
      <c r="R72" s="141">
        <f t="shared" si="11"/>
        <v>0</v>
      </c>
      <c r="S72" s="141">
        <f t="shared" si="11"/>
        <v>0</v>
      </c>
      <c r="T72" s="141">
        <f t="shared" si="11"/>
        <v>0</v>
      </c>
      <c r="U72" s="81"/>
      <c r="V72" s="78">
        <f>+G72*tab!$C$57</f>
        <v>1263.0999999999999</v>
      </c>
      <c r="W72" s="78">
        <f>+H72*tab!$D$57</f>
        <v>1264.8</v>
      </c>
      <c r="X72" s="78">
        <f>+I72*tab!$D$57</f>
        <v>1264.8</v>
      </c>
      <c r="Y72" s="78">
        <f>+J72*tab!$D$57</f>
        <v>1264.8</v>
      </c>
      <c r="Z72" s="81"/>
      <c r="AA72" s="77">
        <v>0</v>
      </c>
      <c r="AB72" s="182">
        <f t="shared" si="3"/>
        <v>0</v>
      </c>
      <c r="AC72" s="141">
        <f t="shared" si="12"/>
        <v>0</v>
      </c>
      <c r="AD72" s="141">
        <f t="shared" si="12"/>
        <v>0</v>
      </c>
      <c r="AE72" s="102"/>
      <c r="AF72" s="154"/>
    </row>
    <row r="73" spans="2:32" s="134" customFormat="1" x14ac:dyDescent="0.2">
      <c r="B73" s="153"/>
      <c r="C73" s="174"/>
      <c r="D73" s="60">
        <v>61</v>
      </c>
      <c r="E73" s="179" t="s">
        <v>561</v>
      </c>
      <c r="F73" s="180" t="s">
        <v>495</v>
      </c>
      <c r="G73" s="181">
        <v>171</v>
      </c>
      <c r="H73" s="181">
        <f t="shared" ref="H73:J92" si="13">G73</f>
        <v>171</v>
      </c>
      <c r="I73" s="140">
        <f t="shared" si="13"/>
        <v>171</v>
      </c>
      <c r="J73" s="140">
        <f t="shared" si="13"/>
        <v>171</v>
      </c>
      <c r="K73" s="81"/>
      <c r="L73" s="78">
        <f>ROUND(G73*tab!$C$38,2)</f>
        <v>26780.31</v>
      </c>
      <c r="M73" s="78">
        <f>ROUND(H73*tab!$C$38,2)</f>
        <v>26780.31</v>
      </c>
      <c r="N73" s="78">
        <f>ROUND(I73*tab!$C$38,2)</f>
        <v>26780.31</v>
      </c>
      <c r="O73" s="78">
        <f>ROUND(J73*tab!$C$38,2)</f>
        <v>26780.31</v>
      </c>
      <c r="P73" s="81"/>
      <c r="Q73" s="182">
        <v>0</v>
      </c>
      <c r="R73" s="141">
        <f t="shared" ref="R73:T92" si="14">Q73</f>
        <v>0</v>
      </c>
      <c r="S73" s="141">
        <f t="shared" si="14"/>
        <v>0</v>
      </c>
      <c r="T73" s="141">
        <f t="shared" si="14"/>
        <v>0</v>
      </c>
      <c r="U73" s="81"/>
      <c r="V73" s="78">
        <f>+G73*tab!$C$57</f>
        <v>1270.53</v>
      </c>
      <c r="W73" s="78">
        <f>+H73*tab!$D$57</f>
        <v>1272.24</v>
      </c>
      <c r="X73" s="78">
        <f>+I73*tab!$D$57</f>
        <v>1272.24</v>
      </c>
      <c r="Y73" s="78">
        <f>+J73*tab!$D$57</f>
        <v>1272.24</v>
      </c>
      <c r="Z73" s="81"/>
      <c r="AA73" s="77">
        <v>0</v>
      </c>
      <c r="AB73" s="182">
        <f t="shared" si="3"/>
        <v>0</v>
      </c>
      <c r="AC73" s="141">
        <f t="shared" si="12"/>
        <v>0</v>
      </c>
      <c r="AD73" s="141">
        <f t="shared" si="12"/>
        <v>0</v>
      </c>
      <c r="AE73" s="102"/>
      <c r="AF73" s="154"/>
    </row>
    <row r="74" spans="2:32" s="134" customFormat="1" x14ac:dyDescent="0.2">
      <c r="B74" s="153"/>
      <c r="C74" s="174"/>
      <c r="D74" s="60">
        <v>62</v>
      </c>
      <c r="E74" s="179" t="s">
        <v>562</v>
      </c>
      <c r="F74" s="180" t="s">
        <v>495</v>
      </c>
      <c r="G74" s="181">
        <v>172</v>
      </c>
      <c r="H74" s="181">
        <f t="shared" si="13"/>
        <v>172</v>
      </c>
      <c r="I74" s="140">
        <f t="shared" si="13"/>
        <v>172</v>
      </c>
      <c r="J74" s="140">
        <f t="shared" si="13"/>
        <v>172</v>
      </c>
      <c r="K74" s="81"/>
      <c r="L74" s="78">
        <f>ROUND(G74*tab!$C$38,2)</f>
        <v>26936.92</v>
      </c>
      <c r="M74" s="78">
        <f>ROUND(H74*tab!$C$38,2)</f>
        <v>26936.92</v>
      </c>
      <c r="N74" s="78">
        <f>ROUND(I74*tab!$C$38,2)</f>
        <v>26936.92</v>
      </c>
      <c r="O74" s="78">
        <f>ROUND(J74*tab!$C$38,2)</f>
        <v>26936.92</v>
      </c>
      <c r="P74" s="81"/>
      <c r="Q74" s="182">
        <v>0</v>
      </c>
      <c r="R74" s="141">
        <f t="shared" si="14"/>
        <v>0</v>
      </c>
      <c r="S74" s="141">
        <f t="shared" si="14"/>
        <v>0</v>
      </c>
      <c r="T74" s="141">
        <f t="shared" si="14"/>
        <v>0</v>
      </c>
      <c r="U74" s="81"/>
      <c r="V74" s="78">
        <f>+G74*tab!$C$57</f>
        <v>1277.96</v>
      </c>
      <c r="W74" s="78">
        <f>+H74*tab!$D$57</f>
        <v>1279.68</v>
      </c>
      <c r="X74" s="78">
        <f>+I74*tab!$D$57</f>
        <v>1279.68</v>
      </c>
      <c r="Y74" s="78">
        <f>+J74*tab!$D$57</f>
        <v>1279.68</v>
      </c>
      <c r="Z74" s="81"/>
      <c r="AA74" s="77">
        <v>0</v>
      </c>
      <c r="AB74" s="182">
        <f t="shared" si="3"/>
        <v>0</v>
      </c>
      <c r="AC74" s="141">
        <f t="shared" si="12"/>
        <v>0</v>
      </c>
      <c r="AD74" s="141">
        <f t="shared" si="12"/>
        <v>0</v>
      </c>
      <c r="AE74" s="102"/>
      <c r="AF74" s="154"/>
    </row>
    <row r="75" spans="2:32" s="134" customFormat="1" x14ac:dyDescent="0.2">
      <c r="B75" s="153"/>
      <c r="C75" s="174"/>
      <c r="D75" s="60">
        <v>63</v>
      </c>
      <c r="E75" s="179" t="s">
        <v>563</v>
      </c>
      <c r="F75" s="180" t="s">
        <v>495</v>
      </c>
      <c r="G75" s="181">
        <v>173</v>
      </c>
      <c r="H75" s="181">
        <f t="shared" si="13"/>
        <v>173</v>
      </c>
      <c r="I75" s="140">
        <f t="shared" si="13"/>
        <v>173</v>
      </c>
      <c r="J75" s="140">
        <f t="shared" si="13"/>
        <v>173</v>
      </c>
      <c r="K75" s="81"/>
      <c r="L75" s="78">
        <f>ROUND(G75*tab!$C$38,2)</f>
        <v>27093.53</v>
      </c>
      <c r="M75" s="78">
        <f>ROUND(H75*tab!$C$38,2)</f>
        <v>27093.53</v>
      </c>
      <c r="N75" s="78">
        <f>ROUND(I75*tab!$C$38,2)</f>
        <v>27093.53</v>
      </c>
      <c r="O75" s="78">
        <f>ROUND(J75*tab!$C$38,2)</f>
        <v>27093.53</v>
      </c>
      <c r="P75" s="81"/>
      <c r="Q75" s="182">
        <v>0</v>
      </c>
      <c r="R75" s="141">
        <f t="shared" si="14"/>
        <v>0</v>
      </c>
      <c r="S75" s="141">
        <f t="shared" si="14"/>
        <v>0</v>
      </c>
      <c r="T75" s="141">
        <f t="shared" si="14"/>
        <v>0</v>
      </c>
      <c r="U75" s="81"/>
      <c r="V75" s="78">
        <f>+G75*tab!$C$57</f>
        <v>1285.3899999999999</v>
      </c>
      <c r="W75" s="78">
        <f>+H75*tab!$D$57</f>
        <v>1287.1200000000001</v>
      </c>
      <c r="X75" s="78">
        <f>+I75*tab!$D$57</f>
        <v>1287.1200000000001</v>
      </c>
      <c r="Y75" s="78">
        <f>+J75*tab!$D$57</f>
        <v>1287.1200000000001</v>
      </c>
      <c r="Z75" s="81"/>
      <c r="AA75" s="77">
        <v>0</v>
      </c>
      <c r="AB75" s="182">
        <f t="shared" si="3"/>
        <v>0</v>
      </c>
      <c r="AC75" s="141">
        <f t="shared" si="12"/>
        <v>0</v>
      </c>
      <c r="AD75" s="141">
        <f t="shared" si="12"/>
        <v>0</v>
      </c>
      <c r="AE75" s="102"/>
      <c r="AF75" s="154"/>
    </row>
    <row r="76" spans="2:32" s="134" customFormat="1" x14ac:dyDescent="0.2">
      <c r="B76" s="153"/>
      <c r="C76" s="174"/>
      <c r="D76" s="60">
        <v>64</v>
      </c>
      <c r="E76" s="179" t="s">
        <v>564</v>
      </c>
      <c r="F76" s="180" t="s">
        <v>495</v>
      </c>
      <c r="G76" s="181">
        <v>174</v>
      </c>
      <c r="H76" s="181">
        <f t="shared" si="13"/>
        <v>174</v>
      </c>
      <c r="I76" s="140">
        <f t="shared" si="13"/>
        <v>174</v>
      </c>
      <c r="J76" s="140">
        <f t="shared" si="13"/>
        <v>174</v>
      </c>
      <c r="K76" s="81"/>
      <c r="L76" s="78">
        <f>ROUND(G76*tab!$C$38,2)</f>
        <v>27250.14</v>
      </c>
      <c r="M76" s="78">
        <f>ROUND(H76*tab!$C$38,2)</f>
        <v>27250.14</v>
      </c>
      <c r="N76" s="78">
        <f>ROUND(I76*tab!$C$38,2)</f>
        <v>27250.14</v>
      </c>
      <c r="O76" s="78">
        <f>ROUND(J76*tab!$C$38,2)</f>
        <v>27250.14</v>
      </c>
      <c r="P76" s="81"/>
      <c r="Q76" s="182">
        <v>0</v>
      </c>
      <c r="R76" s="141">
        <f t="shared" si="14"/>
        <v>0</v>
      </c>
      <c r="S76" s="141">
        <f t="shared" si="14"/>
        <v>0</v>
      </c>
      <c r="T76" s="141">
        <f t="shared" si="14"/>
        <v>0</v>
      </c>
      <c r="U76" s="81"/>
      <c r="V76" s="78">
        <f>+G76*tab!$C$57</f>
        <v>1292.82</v>
      </c>
      <c r="W76" s="78">
        <f>+H76*tab!$D$57</f>
        <v>1294.5600000000002</v>
      </c>
      <c r="X76" s="78">
        <f>+I76*tab!$D$57</f>
        <v>1294.5600000000002</v>
      </c>
      <c r="Y76" s="78">
        <f>+J76*tab!$D$57</f>
        <v>1294.5600000000002</v>
      </c>
      <c r="Z76" s="81"/>
      <c r="AA76" s="77">
        <v>0</v>
      </c>
      <c r="AB76" s="182">
        <f t="shared" si="3"/>
        <v>0</v>
      </c>
      <c r="AC76" s="141">
        <f t="shared" si="12"/>
        <v>0</v>
      </c>
      <c r="AD76" s="141">
        <f t="shared" si="12"/>
        <v>0</v>
      </c>
      <c r="AE76" s="102"/>
      <c r="AF76" s="154"/>
    </row>
    <row r="77" spans="2:32" s="134" customFormat="1" x14ac:dyDescent="0.2">
      <c r="B77" s="153"/>
      <c r="C77" s="174"/>
      <c r="D77" s="60">
        <v>65</v>
      </c>
      <c r="E77" s="179" t="s">
        <v>565</v>
      </c>
      <c r="F77" s="180" t="s">
        <v>495</v>
      </c>
      <c r="G77" s="181">
        <v>175</v>
      </c>
      <c r="H77" s="181">
        <f t="shared" si="13"/>
        <v>175</v>
      </c>
      <c r="I77" s="140">
        <f t="shared" si="13"/>
        <v>175</v>
      </c>
      <c r="J77" s="140">
        <f t="shared" si="13"/>
        <v>175</v>
      </c>
      <c r="K77" s="81"/>
      <c r="L77" s="78">
        <f>ROUND(G77*tab!$C$38,2)</f>
        <v>27406.75</v>
      </c>
      <c r="M77" s="78">
        <f>ROUND(H77*tab!$C$38,2)</f>
        <v>27406.75</v>
      </c>
      <c r="N77" s="78">
        <f>ROUND(I77*tab!$C$38,2)</f>
        <v>27406.75</v>
      </c>
      <c r="O77" s="78">
        <f>ROUND(J77*tab!$C$38,2)</f>
        <v>27406.75</v>
      </c>
      <c r="P77" s="81"/>
      <c r="Q77" s="182">
        <v>0</v>
      </c>
      <c r="R77" s="141">
        <f t="shared" si="14"/>
        <v>0</v>
      </c>
      <c r="S77" s="141">
        <f t="shared" si="14"/>
        <v>0</v>
      </c>
      <c r="T77" s="141">
        <f t="shared" si="14"/>
        <v>0</v>
      </c>
      <c r="U77" s="81"/>
      <c r="V77" s="78">
        <f>+G77*tab!$C$57</f>
        <v>1300.25</v>
      </c>
      <c r="W77" s="78">
        <f>+H77*tab!$D$57</f>
        <v>1302</v>
      </c>
      <c r="X77" s="78">
        <f>+I77*tab!$D$57</f>
        <v>1302</v>
      </c>
      <c r="Y77" s="78">
        <f>+J77*tab!$D$57</f>
        <v>1302</v>
      </c>
      <c r="Z77" s="81"/>
      <c r="AA77" s="77">
        <v>0</v>
      </c>
      <c r="AB77" s="182">
        <f t="shared" si="3"/>
        <v>0</v>
      </c>
      <c r="AC77" s="141">
        <f t="shared" si="12"/>
        <v>0</v>
      </c>
      <c r="AD77" s="141">
        <f t="shared" si="12"/>
        <v>0</v>
      </c>
      <c r="AE77" s="102"/>
      <c r="AF77" s="154"/>
    </row>
    <row r="78" spans="2:32" s="134" customFormat="1" x14ac:dyDescent="0.2">
      <c r="B78" s="153"/>
      <c r="C78" s="174"/>
      <c r="D78" s="60">
        <v>66</v>
      </c>
      <c r="E78" s="179" t="s">
        <v>566</v>
      </c>
      <c r="F78" s="180" t="s">
        <v>495</v>
      </c>
      <c r="G78" s="181">
        <v>176</v>
      </c>
      <c r="H78" s="181">
        <f t="shared" si="13"/>
        <v>176</v>
      </c>
      <c r="I78" s="140">
        <f t="shared" si="13"/>
        <v>176</v>
      </c>
      <c r="J78" s="140">
        <f t="shared" si="13"/>
        <v>176</v>
      </c>
      <c r="K78" s="81"/>
      <c r="L78" s="78">
        <f>ROUND(G78*tab!$C$38,2)</f>
        <v>27563.360000000001</v>
      </c>
      <c r="M78" s="78">
        <f>ROUND(H78*tab!$C$38,2)</f>
        <v>27563.360000000001</v>
      </c>
      <c r="N78" s="78">
        <f>ROUND(I78*tab!$C$38,2)</f>
        <v>27563.360000000001</v>
      </c>
      <c r="O78" s="78">
        <f>ROUND(J78*tab!$C$38,2)</f>
        <v>27563.360000000001</v>
      </c>
      <c r="P78" s="81"/>
      <c r="Q78" s="182">
        <v>0</v>
      </c>
      <c r="R78" s="141">
        <f t="shared" si="14"/>
        <v>0</v>
      </c>
      <c r="S78" s="141">
        <f t="shared" si="14"/>
        <v>0</v>
      </c>
      <c r="T78" s="141">
        <f t="shared" si="14"/>
        <v>0</v>
      </c>
      <c r="U78" s="81"/>
      <c r="V78" s="78">
        <f>+G78*tab!$C$57</f>
        <v>1307.6799999999998</v>
      </c>
      <c r="W78" s="78">
        <f>+H78*tab!$D$57</f>
        <v>1309.44</v>
      </c>
      <c r="X78" s="78">
        <f>+I78*tab!$D$57</f>
        <v>1309.44</v>
      </c>
      <c r="Y78" s="78">
        <f>+J78*tab!$D$57</f>
        <v>1309.44</v>
      </c>
      <c r="Z78" s="81"/>
      <c r="AA78" s="77">
        <v>0</v>
      </c>
      <c r="AB78" s="182">
        <f t="shared" si="3"/>
        <v>0</v>
      </c>
      <c r="AC78" s="141">
        <f t="shared" si="12"/>
        <v>0</v>
      </c>
      <c r="AD78" s="141">
        <f t="shared" si="12"/>
        <v>0</v>
      </c>
      <c r="AE78" s="102"/>
      <c r="AF78" s="154"/>
    </row>
    <row r="79" spans="2:32" s="134" customFormat="1" x14ac:dyDescent="0.2">
      <c r="B79" s="153"/>
      <c r="C79" s="174"/>
      <c r="D79" s="60">
        <v>67</v>
      </c>
      <c r="E79" s="179" t="s">
        <v>567</v>
      </c>
      <c r="F79" s="180" t="s">
        <v>495</v>
      </c>
      <c r="G79" s="181">
        <v>177</v>
      </c>
      <c r="H79" s="181">
        <f t="shared" si="13"/>
        <v>177</v>
      </c>
      <c r="I79" s="140">
        <f t="shared" si="13"/>
        <v>177</v>
      </c>
      <c r="J79" s="140">
        <f t="shared" si="13"/>
        <v>177</v>
      </c>
      <c r="K79" s="81"/>
      <c r="L79" s="78">
        <f>ROUND(G79*tab!$C$38,2)</f>
        <v>27719.97</v>
      </c>
      <c r="M79" s="78">
        <f>ROUND(H79*tab!$C$38,2)</f>
        <v>27719.97</v>
      </c>
      <c r="N79" s="78">
        <f>ROUND(I79*tab!$C$38,2)</f>
        <v>27719.97</v>
      </c>
      <c r="O79" s="78">
        <f>ROUND(J79*tab!$C$38,2)</f>
        <v>27719.97</v>
      </c>
      <c r="P79" s="81"/>
      <c r="Q79" s="182">
        <v>0</v>
      </c>
      <c r="R79" s="141">
        <f t="shared" si="14"/>
        <v>0</v>
      </c>
      <c r="S79" s="141">
        <f t="shared" si="14"/>
        <v>0</v>
      </c>
      <c r="T79" s="141">
        <f t="shared" si="14"/>
        <v>0</v>
      </c>
      <c r="U79" s="81"/>
      <c r="V79" s="78">
        <f>+G79*tab!$C$57</f>
        <v>1315.11</v>
      </c>
      <c r="W79" s="78">
        <f>+H79*tab!$D$57</f>
        <v>1316.88</v>
      </c>
      <c r="X79" s="78">
        <f>+I79*tab!$D$57</f>
        <v>1316.88</v>
      </c>
      <c r="Y79" s="78">
        <f>+J79*tab!$D$57</f>
        <v>1316.88</v>
      </c>
      <c r="Z79" s="81"/>
      <c r="AA79" s="77">
        <v>0</v>
      </c>
      <c r="AB79" s="182">
        <f t="shared" si="3"/>
        <v>0</v>
      </c>
      <c r="AC79" s="141">
        <f t="shared" si="12"/>
        <v>0</v>
      </c>
      <c r="AD79" s="141">
        <f t="shared" si="12"/>
        <v>0</v>
      </c>
      <c r="AE79" s="102"/>
      <c r="AF79" s="154"/>
    </row>
    <row r="80" spans="2:32" s="134" customFormat="1" x14ac:dyDescent="0.2">
      <c r="B80" s="153"/>
      <c r="C80" s="174"/>
      <c r="D80" s="60">
        <v>68</v>
      </c>
      <c r="E80" s="179" t="s">
        <v>568</v>
      </c>
      <c r="F80" s="180" t="s">
        <v>495</v>
      </c>
      <c r="G80" s="181">
        <v>178</v>
      </c>
      <c r="H80" s="181">
        <f t="shared" si="13"/>
        <v>178</v>
      </c>
      <c r="I80" s="140">
        <f t="shared" si="13"/>
        <v>178</v>
      </c>
      <c r="J80" s="140">
        <f t="shared" si="13"/>
        <v>178</v>
      </c>
      <c r="K80" s="81"/>
      <c r="L80" s="78">
        <f>ROUND(G80*tab!$C$38,2)</f>
        <v>27876.58</v>
      </c>
      <c r="M80" s="78">
        <f>ROUND(H80*tab!$C$38,2)</f>
        <v>27876.58</v>
      </c>
      <c r="N80" s="78">
        <f>ROUND(I80*tab!$C$38,2)</f>
        <v>27876.58</v>
      </c>
      <c r="O80" s="78">
        <f>ROUND(J80*tab!$C$38,2)</f>
        <v>27876.58</v>
      </c>
      <c r="P80" s="81"/>
      <c r="Q80" s="182">
        <v>0</v>
      </c>
      <c r="R80" s="141">
        <f t="shared" si="14"/>
        <v>0</v>
      </c>
      <c r="S80" s="141">
        <f t="shared" si="14"/>
        <v>0</v>
      </c>
      <c r="T80" s="141">
        <f t="shared" si="14"/>
        <v>0</v>
      </c>
      <c r="U80" s="81"/>
      <c r="V80" s="78">
        <f>+G80*tab!$C$57</f>
        <v>1322.54</v>
      </c>
      <c r="W80" s="78">
        <f>+H80*tab!$D$57</f>
        <v>1324.3200000000002</v>
      </c>
      <c r="X80" s="78">
        <f>+I80*tab!$D$57</f>
        <v>1324.3200000000002</v>
      </c>
      <c r="Y80" s="78">
        <f>+J80*tab!$D$57</f>
        <v>1324.3200000000002</v>
      </c>
      <c r="Z80" s="81"/>
      <c r="AA80" s="77">
        <v>0</v>
      </c>
      <c r="AB80" s="182">
        <f t="shared" si="3"/>
        <v>0</v>
      </c>
      <c r="AC80" s="141">
        <f t="shared" si="12"/>
        <v>0</v>
      </c>
      <c r="AD80" s="141">
        <f t="shared" si="12"/>
        <v>0</v>
      </c>
      <c r="AE80" s="102"/>
      <c r="AF80" s="154"/>
    </row>
    <row r="81" spans="2:32" s="134" customFormat="1" x14ac:dyDescent="0.2">
      <c r="B81" s="153"/>
      <c r="C81" s="174"/>
      <c r="D81" s="60">
        <v>69</v>
      </c>
      <c r="E81" s="179" t="s">
        <v>569</v>
      </c>
      <c r="F81" s="180" t="s">
        <v>495</v>
      </c>
      <c r="G81" s="181">
        <v>179</v>
      </c>
      <c r="H81" s="181">
        <f t="shared" si="13"/>
        <v>179</v>
      </c>
      <c r="I81" s="140">
        <f t="shared" si="13"/>
        <v>179</v>
      </c>
      <c r="J81" s="140">
        <f t="shared" si="13"/>
        <v>179</v>
      </c>
      <c r="K81" s="81"/>
      <c r="L81" s="78">
        <f>ROUND(G81*tab!$C$38,2)</f>
        <v>28033.19</v>
      </c>
      <c r="M81" s="78">
        <f>ROUND(H81*tab!$C$38,2)</f>
        <v>28033.19</v>
      </c>
      <c r="N81" s="78">
        <f>ROUND(I81*tab!$C$38,2)</f>
        <v>28033.19</v>
      </c>
      <c r="O81" s="78">
        <f>ROUND(J81*tab!$C$38,2)</f>
        <v>28033.19</v>
      </c>
      <c r="P81" s="81"/>
      <c r="Q81" s="182">
        <v>0</v>
      </c>
      <c r="R81" s="141">
        <f t="shared" si="14"/>
        <v>0</v>
      </c>
      <c r="S81" s="141">
        <f t="shared" si="14"/>
        <v>0</v>
      </c>
      <c r="T81" s="141">
        <f t="shared" si="14"/>
        <v>0</v>
      </c>
      <c r="U81" s="81"/>
      <c r="V81" s="78">
        <f>+G81*tab!$C$57</f>
        <v>1329.97</v>
      </c>
      <c r="W81" s="78">
        <f>+H81*tab!$D$57</f>
        <v>1331.76</v>
      </c>
      <c r="X81" s="78">
        <f>+I81*tab!$D$57</f>
        <v>1331.76</v>
      </c>
      <c r="Y81" s="78">
        <f>+J81*tab!$D$57</f>
        <v>1331.76</v>
      </c>
      <c r="Z81" s="81"/>
      <c r="AA81" s="77">
        <v>0</v>
      </c>
      <c r="AB81" s="182">
        <f t="shared" si="3"/>
        <v>0</v>
      </c>
      <c r="AC81" s="141">
        <f t="shared" si="12"/>
        <v>0</v>
      </c>
      <c r="AD81" s="141">
        <f t="shared" si="12"/>
        <v>0</v>
      </c>
      <c r="AE81" s="102"/>
      <c r="AF81" s="154"/>
    </row>
    <row r="82" spans="2:32" s="134" customFormat="1" x14ac:dyDescent="0.2">
      <c r="B82" s="153"/>
      <c r="C82" s="174"/>
      <c r="D82" s="60">
        <v>70</v>
      </c>
      <c r="E82" s="179" t="s">
        <v>570</v>
      </c>
      <c r="F82" s="180" t="s">
        <v>495</v>
      </c>
      <c r="G82" s="181">
        <v>180</v>
      </c>
      <c r="H82" s="181">
        <f t="shared" si="13"/>
        <v>180</v>
      </c>
      <c r="I82" s="140">
        <f t="shared" si="13"/>
        <v>180</v>
      </c>
      <c r="J82" s="140">
        <f t="shared" si="13"/>
        <v>180</v>
      </c>
      <c r="K82" s="81"/>
      <c r="L82" s="78">
        <f>ROUND(G82*tab!$C$38,2)</f>
        <v>28189.8</v>
      </c>
      <c r="M82" s="78">
        <f>ROUND(H82*tab!$C$38,2)</f>
        <v>28189.8</v>
      </c>
      <c r="N82" s="78">
        <f>ROUND(I82*tab!$C$38,2)</f>
        <v>28189.8</v>
      </c>
      <c r="O82" s="78">
        <f>ROUND(J82*tab!$C$38,2)</f>
        <v>28189.8</v>
      </c>
      <c r="P82" s="81"/>
      <c r="Q82" s="182">
        <v>0</v>
      </c>
      <c r="R82" s="141">
        <f t="shared" si="14"/>
        <v>0</v>
      </c>
      <c r="S82" s="141">
        <f t="shared" si="14"/>
        <v>0</v>
      </c>
      <c r="T82" s="141">
        <f t="shared" si="14"/>
        <v>0</v>
      </c>
      <c r="U82" s="81"/>
      <c r="V82" s="78">
        <f>+G82*tab!$C$57</f>
        <v>1337.3999999999999</v>
      </c>
      <c r="W82" s="78">
        <f>+H82*tab!$D$57</f>
        <v>1339.2</v>
      </c>
      <c r="X82" s="78">
        <f>+I82*tab!$D$57</f>
        <v>1339.2</v>
      </c>
      <c r="Y82" s="78">
        <f>+J82*tab!$D$57</f>
        <v>1339.2</v>
      </c>
      <c r="Z82" s="81"/>
      <c r="AA82" s="77">
        <v>0</v>
      </c>
      <c r="AB82" s="182">
        <f t="shared" si="3"/>
        <v>0</v>
      </c>
      <c r="AC82" s="141">
        <f t="shared" si="12"/>
        <v>0</v>
      </c>
      <c r="AD82" s="141">
        <f t="shared" si="12"/>
        <v>0</v>
      </c>
      <c r="AE82" s="102"/>
      <c r="AF82" s="154"/>
    </row>
    <row r="83" spans="2:32" s="134" customFormat="1" x14ac:dyDescent="0.2">
      <c r="B83" s="153"/>
      <c r="C83" s="174"/>
      <c r="D83" s="60">
        <v>71</v>
      </c>
      <c r="E83" s="179" t="s">
        <v>571</v>
      </c>
      <c r="F83" s="180" t="s">
        <v>495</v>
      </c>
      <c r="G83" s="181">
        <v>181</v>
      </c>
      <c r="H83" s="181">
        <f t="shared" si="13"/>
        <v>181</v>
      </c>
      <c r="I83" s="140">
        <f t="shared" si="13"/>
        <v>181</v>
      </c>
      <c r="J83" s="140">
        <f t="shared" si="13"/>
        <v>181</v>
      </c>
      <c r="K83" s="81"/>
      <c r="L83" s="78">
        <f>ROUND(G83*tab!$C$38,2)</f>
        <v>28346.41</v>
      </c>
      <c r="M83" s="78">
        <f>ROUND(H83*tab!$C$38,2)</f>
        <v>28346.41</v>
      </c>
      <c r="N83" s="78">
        <f>ROUND(I83*tab!$C$38,2)</f>
        <v>28346.41</v>
      </c>
      <c r="O83" s="78">
        <f>ROUND(J83*tab!$C$38,2)</f>
        <v>28346.41</v>
      </c>
      <c r="P83" s="81"/>
      <c r="Q83" s="182">
        <v>0</v>
      </c>
      <c r="R83" s="141">
        <f t="shared" si="14"/>
        <v>0</v>
      </c>
      <c r="S83" s="141">
        <f t="shared" si="14"/>
        <v>0</v>
      </c>
      <c r="T83" s="141">
        <f t="shared" si="14"/>
        <v>0</v>
      </c>
      <c r="U83" s="81"/>
      <c r="V83" s="78">
        <f>+G83*tab!$C$57</f>
        <v>1344.83</v>
      </c>
      <c r="W83" s="78">
        <f>+H83*tab!$D$57</f>
        <v>1346.64</v>
      </c>
      <c r="X83" s="78">
        <f>+I83*tab!$D$57</f>
        <v>1346.64</v>
      </c>
      <c r="Y83" s="78">
        <f>+J83*tab!$D$57</f>
        <v>1346.64</v>
      </c>
      <c r="Z83" s="81"/>
      <c r="AA83" s="77">
        <v>0</v>
      </c>
      <c r="AB83" s="182">
        <f t="shared" si="3"/>
        <v>0</v>
      </c>
      <c r="AC83" s="141">
        <f t="shared" si="12"/>
        <v>0</v>
      </c>
      <c r="AD83" s="141">
        <f t="shared" si="12"/>
        <v>0</v>
      </c>
      <c r="AE83" s="102"/>
      <c r="AF83" s="154"/>
    </row>
    <row r="84" spans="2:32" s="134" customFormat="1" x14ac:dyDescent="0.2">
      <c r="B84" s="153"/>
      <c r="C84" s="174"/>
      <c r="D84" s="60">
        <v>72</v>
      </c>
      <c r="E84" s="179" t="s">
        <v>572</v>
      </c>
      <c r="F84" s="180" t="s">
        <v>495</v>
      </c>
      <c r="G84" s="181">
        <v>182</v>
      </c>
      <c r="H84" s="181">
        <f t="shared" si="13"/>
        <v>182</v>
      </c>
      <c r="I84" s="140">
        <f t="shared" si="13"/>
        <v>182</v>
      </c>
      <c r="J84" s="140">
        <f t="shared" si="13"/>
        <v>182</v>
      </c>
      <c r="K84" s="81"/>
      <c r="L84" s="78">
        <f>ROUND(G84*tab!$C$38,2)</f>
        <v>28503.02</v>
      </c>
      <c r="M84" s="78">
        <f>ROUND(H84*tab!$C$38,2)</f>
        <v>28503.02</v>
      </c>
      <c r="N84" s="78">
        <f>ROUND(I84*tab!$C$38,2)</f>
        <v>28503.02</v>
      </c>
      <c r="O84" s="78">
        <f>ROUND(J84*tab!$C$38,2)</f>
        <v>28503.02</v>
      </c>
      <c r="P84" s="81"/>
      <c r="Q84" s="182">
        <v>0</v>
      </c>
      <c r="R84" s="141">
        <f t="shared" si="14"/>
        <v>0</v>
      </c>
      <c r="S84" s="141">
        <f t="shared" si="14"/>
        <v>0</v>
      </c>
      <c r="T84" s="141">
        <f t="shared" si="14"/>
        <v>0</v>
      </c>
      <c r="U84" s="81"/>
      <c r="V84" s="78">
        <f>+G84*tab!$C$57</f>
        <v>1352.26</v>
      </c>
      <c r="W84" s="78">
        <f>+H84*tab!$D$57</f>
        <v>1354.0800000000002</v>
      </c>
      <c r="X84" s="78">
        <f>+I84*tab!$D$57</f>
        <v>1354.0800000000002</v>
      </c>
      <c r="Y84" s="78">
        <f>+J84*tab!$D$57</f>
        <v>1354.0800000000002</v>
      </c>
      <c r="Z84" s="81"/>
      <c r="AA84" s="77">
        <v>0</v>
      </c>
      <c r="AB84" s="182">
        <f t="shared" si="3"/>
        <v>0</v>
      </c>
      <c r="AC84" s="141">
        <f t="shared" si="12"/>
        <v>0</v>
      </c>
      <c r="AD84" s="141">
        <f t="shared" si="12"/>
        <v>0</v>
      </c>
      <c r="AE84" s="102"/>
      <c r="AF84" s="154"/>
    </row>
    <row r="85" spans="2:32" s="134" customFormat="1" x14ac:dyDescent="0.2">
      <c r="B85" s="153"/>
      <c r="C85" s="174"/>
      <c r="D85" s="60">
        <v>73</v>
      </c>
      <c r="E85" s="179" t="s">
        <v>573</v>
      </c>
      <c r="F85" s="180" t="s">
        <v>495</v>
      </c>
      <c r="G85" s="181">
        <v>183</v>
      </c>
      <c r="H85" s="181">
        <f t="shared" si="13"/>
        <v>183</v>
      </c>
      <c r="I85" s="140">
        <f t="shared" si="13"/>
        <v>183</v>
      </c>
      <c r="J85" s="140">
        <f t="shared" si="13"/>
        <v>183</v>
      </c>
      <c r="K85" s="81"/>
      <c r="L85" s="78">
        <f>ROUND(G85*tab!$C$38,2)</f>
        <v>28659.63</v>
      </c>
      <c r="M85" s="78">
        <f>ROUND(H85*tab!$C$38,2)</f>
        <v>28659.63</v>
      </c>
      <c r="N85" s="78">
        <f>ROUND(I85*tab!$C$38,2)</f>
        <v>28659.63</v>
      </c>
      <c r="O85" s="78">
        <f>ROUND(J85*tab!$C$38,2)</f>
        <v>28659.63</v>
      </c>
      <c r="P85" s="81"/>
      <c r="Q85" s="182">
        <v>0</v>
      </c>
      <c r="R85" s="141">
        <f t="shared" si="14"/>
        <v>0</v>
      </c>
      <c r="S85" s="141">
        <f t="shared" si="14"/>
        <v>0</v>
      </c>
      <c r="T85" s="141">
        <f t="shared" si="14"/>
        <v>0</v>
      </c>
      <c r="U85" s="81"/>
      <c r="V85" s="78">
        <f>+G85*tab!$C$57</f>
        <v>1359.69</v>
      </c>
      <c r="W85" s="78">
        <f>+H85*tab!$D$57</f>
        <v>1361.52</v>
      </c>
      <c r="X85" s="78">
        <f>+I85*tab!$D$57</f>
        <v>1361.52</v>
      </c>
      <c r="Y85" s="78">
        <f>+J85*tab!$D$57</f>
        <v>1361.52</v>
      </c>
      <c r="Z85" s="81"/>
      <c r="AA85" s="77">
        <v>0</v>
      </c>
      <c r="AB85" s="182">
        <f t="shared" si="3"/>
        <v>0</v>
      </c>
      <c r="AC85" s="141">
        <f t="shared" si="12"/>
        <v>0</v>
      </c>
      <c r="AD85" s="141">
        <f t="shared" si="12"/>
        <v>0</v>
      </c>
      <c r="AE85" s="102"/>
      <c r="AF85" s="154"/>
    </row>
    <row r="86" spans="2:32" s="134" customFormat="1" x14ac:dyDescent="0.2">
      <c r="B86" s="153"/>
      <c r="C86" s="174"/>
      <c r="D86" s="60">
        <v>74</v>
      </c>
      <c r="E86" s="179" t="s">
        <v>574</v>
      </c>
      <c r="F86" s="180" t="s">
        <v>495</v>
      </c>
      <c r="G86" s="181">
        <v>184</v>
      </c>
      <c r="H86" s="181">
        <f t="shared" si="13"/>
        <v>184</v>
      </c>
      <c r="I86" s="140">
        <f t="shared" si="13"/>
        <v>184</v>
      </c>
      <c r="J86" s="140">
        <f t="shared" si="13"/>
        <v>184</v>
      </c>
      <c r="K86" s="81"/>
      <c r="L86" s="78">
        <f>ROUND(G86*tab!$C$38,2)</f>
        <v>28816.240000000002</v>
      </c>
      <c r="M86" s="78">
        <f>ROUND(H86*tab!$C$38,2)</f>
        <v>28816.240000000002</v>
      </c>
      <c r="N86" s="78">
        <f>ROUND(I86*tab!$C$38,2)</f>
        <v>28816.240000000002</v>
      </c>
      <c r="O86" s="78">
        <f>ROUND(J86*tab!$C$38,2)</f>
        <v>28816.240000000002</v>
      </c>
      <c r="P86" s="81"/>
      <c r="Q86" s="182">
        <v>0</v>
      </c>
      <c r="R86" s="141">
        <f t="shared" si="14"/>
        <v>0</v>
      </c>
      <c r="S86" s="141">
        <f t="shared" si="14"/>
        <v>0</v>
      </c>
      <c r="T86" s="141">
        <f t="shared" si="14"/>
        <v>0</v>
      </c>
      <c r="U86" s="81"/>
      <c r="V86" s="78">
        <f>+G86*tab!$C$57</f>
        <v>1367.12</v>
      </c>
      <c r="W86" s="78">
        <f>+H86*tab!$D$57</f>
        <v>1368.96</v>
      </c>
      <c r="X86" s="78">
        <f>+I86*tab!$D$57</f>
        <v>1368.96</v>
      </c>
      <c r="Y86" s="78">
        <f>+J86*tab!$D$57</f>
        <v>1368.96</v>
      </c>
      <c r="Z86" s="81"/>
      <c r="AA86" s="77">
        <v>0</v>
      </c>
      <c r="AB86" s="182">
        <f t="shared" si="3"/>
        <v>0</v>
      </c>
      <c r="AC86" s="141">
        <f t="shared" ref="AC86:AD105" si="15">AB86</f>
        <v>0</v>
      </c>
      <c r="AD86" s="141">
        <f t="shared" si="15"/>
        <v>0</v>
      </c>
      <c r="AE86" s="102"/>
      <c r="AF86" s="154"/>
    </row>
    <row r="87" spans="2:32" s="134" customFormat="1" x14ac:dyDescent="0.2">
      <c r="B87" s="153"/>
      <c r="C87" s="174"/>
      <c r="D87" s="60">
        <v>75</v>
      </c>
      <c r="E87" s="179" t="s">
        <v>575</v>
      </c>
      <c r="F87" s="180" t="s">
        <v>495</v>
      </c>
      <c r="G87" s="181">
        <v>185</v>
      </c>
      <c r="H87" s="181">
        <f t="shared" si="13"/>
        <v>185</v>
      </c>
      <c r="I87" s="140">
        <f t="shared" si="13"/>
        <v>185</v>
      </c>
      <c r="J87" s="140">
        <f t="shared" si="13"/>
        <v>185</v>
      </c>
      <c r="K87" s="81"/>
      <c r="L87" s="78">
        <f>ROUND(G87*tab!$C$38,2)</f>
        <v>28972.85</v>
      </c>
      <c r="M87" s="78">
        <f>ROUND(H87*tab!$C$38,2)</f>
        <v>28972.85</v>
      </c>
      <c r="N87" s="78">
        <f>ROUND(I87*tab!$C$38,2)</f>
        <v>28972.85</v>
      </c>
      <c r="O87" s="78">
        <f>ROUND(J87*tab!$C$38,2)</f>
        <v>28972.85</v>
      </c>
      <c r="P87" s="81"/>
      <c r="Q87" s="182">
        <v>0</v>
      </c>
      <c r="R87" s="141">
        <f t="shared" si="14"/>
        <v>0</v>
      </c>
      <c r="S87" s="141">
        <f t="shared" si="14"/>
        <v>0</v>
      </c>
      <c r="T87" s="141">
        <f t="shared" si="14"/>
        <v>0</v>
      </c>
      <c r="U87" s="81"/>
      <c r="V87" s="78">
        <f>+G87*tab!$C$57</f>
        <v>1374.55</v>
      </c>
      <c r="W87" s="78">
        <f>+H87*tab!$D$57</f>
        <v>1376.4</v>
      </c>
      <c r="X87" s="78">
        <f>+I87*tab!$D$57</f>
        <v>1376.4</v>
      </c>
      <c r="Y87" s="78">
        <f>+J87*tab!$D$57</f>
        <v>1376.4</v>
      </c>
      <c r="Z87" s="81"/>
      <c r="AA87" s="77">
        <v>0</v>
      </c>
      <c r="AB87" s="182">
        <f t="shared" si="3"/>
        <v>0</v>
      </c>
      <c r="AC87" s="141">
        <f t="shared" si="15"/>
        <v>0</v>
      </c>
      <c r="AD87" s="141">
        <f t="shared" si="15"/>
        <v>0</v>
      </c>
      <c r="AE87" s="102"/>
      <c r="AF87" s="154"/>
    </row>
    <row r="88" spans="2:32" s="134" customFormat="1" x14ac:dyDescent="0.2">
      <c r="B88" s="153"/>
      <c r="C88" s="174"/>
      <c r="D88" s="60">
        <v>76</v>
      </c>
      <c r="E88" s="179" t="s">
        <v>576</v>
      </c>
      <c r="F88" s="180" t="s">
        <v>495</v>
      </c>
      <c r="G88" s="181">
        <v>186</v>
      </c>
      <c r="H88" s="181">
        <f t="shared" si="13"/>
        <v>186</v>
      </c>
      <c r="I88" s="140">
        <f t="shared" si="13"/>
        <v>186</v>
      </c>
      <c r="J88" s="140">
        <f t="shared" si="13"/>
        <v>186</v>
      </c>
      <c r="K88" s="81"/>
      <c r="L88" s="78">
        <f>ROUND(G88*tab!$C$38,2)</f>
        <v>29129.46</v>
      </c>
      <c r="M88" s="78">
        <f>ROUND(H88*tab!$C$38,2)</f>
        <v>29129.46</v>
      </c>
      <c r="N88" s="78">
        <f>ROUND(I88*tab!$C$38,2)</f>
        <v>29129.46</v>
      </c>
      <c r="O88" s="78">
        <f>ROUND(J88*tab!$C$38,2)</f>
        <v>29129.46</v>
      </c>
      <c r="P88" s="81"/>
      <c r="Q88" s="182">
        <v>0</v>
      </c>
      <c r="R88" s="141">
        <f t="shared" si="14"/>
        <v>0</v>
      </c>
      <c r="S88" s="141">
        <f t="shared" si="14"/>
        <v>0</v>
      </c>
      <c r="T88" s="141">
        <f t="shared" si="14"/>
        <v>0</v>
      </c>
      <c r="U88" s="81"/>
      <c r="V88" s="78">
        <f>+G88*tab!$C$57</f>
        <v>1381.98</v>
      </c>
      <c r="W88" s="78">
        <f>+H88*tab!$D$57</f>
        <v>1383.8400000000001</v>
      </c>
      <c r="X88" s="78">
        <f>+I88*tab!$D$57</f>
        <v>1383.8400000000001</v>
      </c>
      <c r="Y88" s="78">
        <f>+J88*tab!$D$57</f>
        <v>1383.8400000000001</v>
      </c>
      <c r="Z88" s="81"/>
      <c r="AA88" s="77">
        <v>0</v>
      </c>
      <c r="AB88" s="182">
        <f t="shared" si="3"/>
        <v>0</v>
      </c>
      <c r="AC88" s="141">
        <f t="shared" si="15"/>
        <v>0</v>
      </c>
      <c r="AD88" s="141">
        <f t="shared" si="15"/>
        <v>0</v>
      </c>
      <c r="AE88" s="102"/>
      <c r="AF88" s="154"/>
    </row>
    <row r="89" spans="2:32" s="134" customFormat="1" x14ac:dyDescent="0.2">
      <c r="B89" s="153"/>
      <c r="C89" s="174"/>
      <c r="D89" s="60">
        <v>77</v>
      </c>
      <c r="E89" s="179" t="s">
        <v>577</v>
      </c>
      <c r="F89" s="180" t="s">
        <v>495</v>
      </c>
      <c r="G89" s="181">
        <v>187</v>
      </c>
      <c r="H89" s="181">
        <f t="shared" si="13"/>
        <v>187</v>
      </c>
      <c r="I89" s="140">
        <f t="shared" si="13"/>
        <v>187</v>
      </c>
      <c r="J89" s="140">
        <f t="shared" si="13"/>
        <v>187</v>
      </c>
      <c r="K89" s="81"/>
      <c r="L89" s="78">
        <f>ROUND(G89*tab!$C$38,2)</f>
        <v>29286.07</v>
      </c>
      <c r="M89" s="78">
        <f>ROUND(H89*tab!$C$38,2)</f>
        <v>29286.07</v>
      </c>
      <c r="N89" s="78">
        <f>ROUND(I89*tab!$C$38,2)</f>
        <v>29286.07</v>
      </c>
      <c r="O89" s="78">
        <f>ROUND(J89*tab!$C$38,2)</f>
        <v>29286.07</v>
      </c>
      <c r="P89" s="81"/>
      <c r="Q89" s="182">
        <v>0</v>
      </c>
      <c r="R89" s="141">
        <f t="shared" si="14"/>
        <v>0</v>
      </c>
      <c r="S89" s="141">
        <f t="shared" si="14"/>
        <v>0</v>
      </c>
      <c r="T89" s="141">
        <f t="shared" si="14"/>
        <v>0</v>
      </c>
      <c r="U89" s="81"/>
      <c r="V89" s="78">
        <f>+G89*tab!$C$57</f>
        <v>1389.4099999999999</v>
      </c>
      <c r="W89" s="78">
        <f>+H89*tab!$D$57</f>
        <v>1391.28</v>
      </c>
      <c r="X89" s="78">
        <f>+I89*tab!$D$57</f>
        <v>1391.28</v>
      </c>
      <c r="Y89" s="78">
        <f>+J89*tab!$D$57</f>
        <v>1391.28</v>
      </c>
      <c r="Z89" s="81"/>
      <c r="AA89" s="77">
        <v>0</v>
      </c>
      <c r="AB89" s="182">
        <f t="shared" si="3"/>
        <v>0</v>
      </c>
      <c r="AC89" s="141">
        <f t="shared" si="15"/>
        <v>0</v>
      </c>
      <c r="AD89" s="141">
        <f t="shared" si="15"/>
        <v>0</v>
      </c>
      <c r="AE89" s="102"/>
      <c r="AF89" s="154"/>
    </row>
    <row r="90" spans="2:32" s="134" customFormat="1" x14ac:dyDescent="0.2">
      <c r="B90" s="153"/>
      <c r="C90" s="174"/>
      <c r="D90" s="60">
        <v>78</v>
      </c>
      <c r="E90" s="179" t="s">
        <v>578</v>
      </c>
      <c r="F90" s="180" t="s">
        <v>495</v>
      </c>
      <c r="G90" s="181">
        <v>188</v>
      </c>
      <c r="H90" s="181">
        <f t="shared" si="13"/>
        <v>188</v>
      </c>
      <c r="I90" s="140">
        <f t="shared" si="13"/>
        <v>188</v>
      </c>
      <c r="J90" s="140">
        <f t="shared" si="13"/>
        <v>188</v>
      </c>
      <c r="K90" s="81"/>
      <c r="L90" s="78">
        <f>ROUND(G90*tab!$C$38,2)</f>
        <v>29442.68</v>
      </c>
      <c r="M90" s="78">
        <f>ROUND(H90*tab!$C$38,2)</f>
        <v>29442.68</v>
      </c>
      <c r="N90" s="78">
        <f>ROUND(I90*tab!$C$38,2)</f>
        <v>29442.68</v>
      </c>
      <c r="O90" s="78">
        <f>ROUND(J90*tab!$C$38,2)</f>
        <v>29442.68</v>
      </c>
      <c r="P90" s="81"/>
      <c r="Q90" s="182">
        <v>0</v>
      </c>
      <c r="R90" s="141">
        <f t="shared" si="14"/>
        <v>0</v>
      </c>
      <c r="S90" s="141">
        <f t="shared" si="14"/>
        <v>0</v>
      </c>
      <c r="T90" s="141">
        <f t="shared" si="14"/>
        <v>0</v>
      </c>
      <c r="U90" s="81"/>
      <c r="V90" s="78">
        <f>+G90*tab!$C$57</f>
        <v>1396.84</v>
      </c>
      <c r="W90" s="78">
        <f>+H90*tab!$D$57</f>
        <v>1398.72</v>
      </c>
      <c r="X90" s="78">
        <f>+I90*tab!$D$57</f>
        <v>1398.72</v>
      </c>
      <c r="Y90" s="78">
        <f>+J90*tab!$D$57</f>
        <v>1398.72</v>
      </c>
      <c r="Z90" s="81"/>
      <c r="AA90" s="77">
        <v>0</v>
      </c>
      <c r="AB90" s="182">
        <f t="shared" si="3"/>
        <v>0</v>
      </c>
      <c r="AC90" s="141">
        <f t="shared" si="15"/>
        <v>0</v>
      </c>
      <c r="AD90" s="141">
        <f t="shared" si="15"/>
        <v>0</v>
      </c>
      <c r="AE90" s="102"/>
      <c r="AF90" s="154"/>
    </row>
    <row r="91" spans="2:32" s="134" customFormat="1" x14ac:dyDescent="0.2">
      <c r="B91" s="153"/>
      <c r="C91" s="174"/>
      <c r="D91" s="60">
        <v>79</v>
      </c>
      <c r="E91" s="179" t="s">
        <v>579</v>
      </c>
      <c r="F91" s="180" t="s">
        <v>495</v>
      </c>
      <c r="G91" s="181">
        <v>189</v>
      </c>
      <c r="H91" s="181">
        <f t="shared" si="13"/>
        <v>189</v>
      </c>
      <c r="I91" s="140">
        <f t="shared" si="13"/>
        <v>189</v>
      </c>
      <c r="J91" s="140">
        <f t="shared" si="13"/>
        <v>189</v>
      </c>
      <c r="K91" s="81"/>
      <c r="L91" s="78">
        <f>ROUND(G91*tab!$C$38,2)</f>
        <v>29599.29</v>
      </c>
      <c r="M91" s="78">
        <f>ROUND(H91*tab!$C$38,2)</f>
        <v>29599.29</v>
      </c>
      <c r="N91" s="78">
        <f>ROUND(I91*tab!$C$38,2)</f>
        <v>29599.29</v>
      </c>
      <c r="O91" s="78">
        <f>ROUND(J91*tab!$C$38,2)</f>
        <v>29599.29</v>
      </c>
      <c r="P91" s="81"/>
      <c r="Q91" s="182">
        <v>0</v>
      </c>
      <c r="R91" s="141">
        <f t="shared" si="14"/>
        <v>0</v>
      </c>
      <c r="S91" s="141">
        <f t="shared" si="14"/>
        <v>0</v>
      </c>
      <c r="T91" s="141">
        <f t="shared" si="14"/>
        <v>0</v>
      </c>
      <c r="U91" s="81"/>
      <c r="V91" s="78">
        <f>+G91*tab!$C$57</f>
        <v>1404.27</v>
      </c>
      <c r="W91" s="78">
        <f>+H91*tab!$D$57</f>
        <v>1406.16</v>
      </c>
      <c r="X91" s="78">
        <f>+I91*tab!$D$57</f>
        <v>1406.16</v>
      </c>
      <c r="Y91" s="78">
        <f>+J91*tab!$D$57</f>
        <v>1406.16</v>
      </c>
      <c r="Z91" s="81"/>
      <c r="AA91" s="77">
        <v>0</v>
      </c>
      <c r="AB91" s="182">
        <f t="shared" si="3"/>
        <v>0</v>
      </c>
      <c r="AC91" s="141">
        <f t="shared" si="15"/>
        <v>0</v>
      </c>
      <c r="AD91" s="141">
        <f t="shared" si="15"/>
        <v>0</v>
      </c>
      <c r="AE91" s="102"/>
      <c r="AF91" s="154"/>
    </row>
    <row r="92" spans="2:32" s="134" customFormat="1" x14ac:dyDescent="0.2">
      <c r="B92" s="153"/>
      <c r="C92" s="174"/>
      <c r="D92" s="60">
        <v>80</v>
      </c>
      <c r="E92" s="179" t="s">
        <v>580</v>
      </c>
      <c r="F92" s="180" t="s">
        <v>495</v>
      </c>
      <c r="G92" s="181">
        <v>190</v>
      </c>
      <c r="H92" s="181">
        <f t="shared" si="13"/>
        <v>190</v>
      </c>
      <c r="I92" s="140">
        <f t="shared" si="13"/>
        <v>190</v>
      </c>
      <c r="J92" s="140">
        <f t="shared" si="13"/>
        <v>190</v>
      </c>
      <c r="K92" s="81"/>
      <c r="L92" s="78">
        <f>ROUND(G92*tab!$C$38,2)</f>
        <v>29755.9</v>
      </c>
      <c r="M92" s="78">
        <f>ROUND(H92*tab!$C$38,2)</f>
        <v>29755.9</v>
      </c>
      <c r="N92" s="78">
        <f>ROUND(I92*tab!$C$38,2)</f>
        <v>29755.9</v>
      </c>
      <c r="O92" s="78">
        <f>ROUND(J92*tab!$C$38,2)</f>
        <v>29755.9</v>
      </c>
      <c r="P92" s="81"/>
      <c r="Q92" s="182">
        <v>0</v>
      </c>
      <c r="R92" s="141">
        <f t="shared" si="14"/>
        <v>0</v>
      </c>
      <c r="S92" s="141">
        <f t="shared" si="14"/>
        <v>0</v>
      </c>
      <c r="T92" s="141">
        <f t="shared" si="14"/>
        <v>0</v>
      </c>
      <c r="U92" s="81"/>
      <c r="V92" s="78">
        <f>+G92*tab!$C$57</f>
        <v>1411.7</v>
      </c>
      <c r="W92" s="78">
        <f>+H92*tab!$D$57</f>
        <v>1413.6000000000001</v>
      </c>
      <c r="X92" s="78">
        <f>+I92*tab!$D$57</f>
        <v>1413.6000000000001</v>
      </c>
      <c r="Y92" s="78">
        <f>+J92*tab!$D$57</f>
        <v>1413.6000000000001</v>
      </c>
      <c r="Z92" s="81"/>
      <c r="AA92" s="77">
        <v>0</v>
      </c>
      <c r="AB92" s="182">
        <f t="shared" si="3"/>
        <v>0</v>
      </c>
      <c r="AC92" s="141">
        <f t="shared" si="15"/>
        <v>0</v>
      </c>
      <c r="AD92" s="141">
        <f t="shared" si="15"/>
        <v>0</v>
      </c>
      <c r="AE92" s="102"/>
      <c r="AF92" s="154"/>
    </row>
    <row r="93" spans="2:32" s="134" customFormat="1" x14ac:dyDescent="0.2">
      <c r="B93" s="153"/>
      <c r="C93" s="174"/>
      <c r="D93" s="60">
        <v>81</v>
      </c>
      <c r="E93" s="179" t="s">
        <v>581</v>
      </c>
      <c r="F93" s="180" t="s">
        <v>495</v>
      </c>
      <c r="G93" s="181">
        <v>191</v>
      </c>
      <c r="H93" s="181">
        <f t="shared" ref="H93:J112" si="16">G93</f>
        <v>191</v>
      </c>
      <c r="I93" s="140">
        <f t="shared" si="16"/>
        <v>191</v>
      </c>
      <c r="J93" s="140">
        <f t="shared" si="16"/>
        <v>191</v>
      </c>
      <c r="K93" s="81"/>
      <c r="L93" s="78">
        <f>ROUND(G93*tab!$C$38,2)</f>
        <v>29912.51</v>
      </c>
      <c r="M93" s="78">
        <f>ROUND(H93*tab!$C$38,2)</f>
        <v>29912.51</v>
      </c>
      <c r="N93" s="78">
        <f>ROUND(I93*tab!$C$38,2)</f>
        <v>29912.51</v>
      </c>
      <c r="O93" s="78">
        <f>ROUND(J93*tab!$C$38,2)</f>
        <v>29912.51</v>
      </c>
      <c r="P93" s="81"/>
      <c r="Q93" s="182">
        <v>0</v>
      </c>
      <c r="R93" s="141">
        <f t="shared" ref="R93:T112" si="17">Q93</f>
        <v>0</v>
      </c>
      <c r="S93" s="141">
        <f t="shared" si="17"/>
        <v>0</v>
      </c>
      <c r="T93" s="141">
        <f t="shared" si="17"/>
        <v>0</v>
      </c>
      <c r="U93" s="81"/>
      <c r="V93" s="78">
        <f>+G93*tab!$C$57</f>
        <v>1419.1299999999999</v>
      </c>
      <c r="W93" s="78">
        <f>+H93*tab!$D$57</f>
        <v>1421.04</v>
      </c>
      <c r="X93" s="78">
        <f>+I93*tab!$D$57</f>
        <v>1421.04</v>
      </c>
      <c r="Y93" s="78">
        <f>+J93*tab!$D$57</f>
        <v>1421.04</v>
      </c>
      <c r="Z93" s="81"/>
      <c r="AA93" s="77">
        <v>0</v>
      </c>
      <c r="AB93" s="182">
        <f t="shared" si="3"/>
        <v>0</v>
      </c>
      <c r="AC93" s="141">
        <f t="shared" si="15"/>
        <v>0</v>
      </c>
      <c r="AD93" s="141">
        <f t="shared" si="15"/>
        <v>0</v>
      </c>
      <c r="AE93" s="102"/>
      <c r="AF93" s="154"/>
    </row>
    <row r="94" spans="2:32" s="134" customFormat="1" x14ac:dyDescent="0.2">
      <c r="B94" s="153"/>
      <c r="C94" s="174"/>
      <c r="D94" s="60">
        <v>82</v>
      </c>
      <c r="E94" s="179" t="s">
        <v>582</v>
      </c>
      <c r="F94" s="180" t="s">
        <v>495</v>
      </c>
      <c r="G94" s="181">
        <v>192</v>
      </c>
      <c r="H94" s="181">
        <f t="shared" si="16"/>
        <v>192</v>
      </c>
      <c r="I94" s="140">
        <f t="shared" si="16"/>
        <v>192</v>
      </c>
      <c r="J94" s="140">
        <f t="shared" si="16"/>
        <v>192</v>
      </c>
      <c r="K94" s="81"/>
      <c r="L94" s="78">
        <f>ROUND(G94*tab!$C$38,2)</f>
        <v>30069.119999999999</v>
      </c>
      <c r="M94" s="78">
        <f>ROUND(H94*tab!$C$38,2)</f>
        <v>30069.119999999999</v>
      </c>
      <c r="N94" s="78">
        <f>ROUND(I94*tab!$C$38,2)</f>
        <v>30069.119999999999</v>
      </c>
      <c r="O94" s="78">
        <f>ROUND(J94*tab!$C$38,2)</f>
        <v>30069.119999999999</v>
      </c>
      <c r="P94" s="81"/>
      <c r="Q94" s="182">
        <v>0</v>
      </c>
      <c r="R94" s="141">
        <f t="shared" si="17"/>
        <v>0</v>
      </c>
      <c r="S94" s="141">
        <f t="shared" si="17"/>
        <v>0</v>
      </c>
      <c r="T94" s="141">
        <f t="shared" si="17"/>
        <v>0</v>
      </c>
      <c r="U94" s="81"/>
      <c r="V94" s="78">
        <f>+G94*tab!$C$57</f>
        <v>1426.56</v>
      </c>
      <c r="W94" s="78">
        <f>+H94*tab!$D$57</f>
        <v>1428.48</v>
      </c>
      <c r="X94" s="78">
        <f>+I94*tab!$D$57</f>
        <v>1428.48</v>
      </c>
      <c r="Y94" s="78">
        <f>+J94*tab!$D$57</f>
        <v>1428.48</v>
      </c>
      <c r="Z94" s="81"/>
      <c r="AA94" s="77">
        <v>0</v>
      </c>
      <c r="AB94" s="182">
        <f t="shared" si="3"/>
        <v>0</v>
      </c>
      <c r="AC94" s="141">
        <f t="shared" si="15"/>
        <v>0</v>
      </c>
      <c r="AD94" s="141">
        <f t="shared" si="15"/>
        <v>0</v>
      </c>
      <c r="AE94" s="102"/>
      <c r="AF94" s="154"/>
    </row>
    <row r="95" spans="2:32" s="134" customFormat="1" x14ac:dyDescent="0.2">
      <c r="B95" s="153"/>
      <c r="C95" s="174"/>
      <c r="D95" s="60">
        <v>83</v>
      </c>
      <c r="E95" s="179" t="s">
        <v>583</v>
      </c>
      <c r="F95" s="180" t="s">
        <v>495</v>
      </c>
      <c r="G95" s="181">
        <v>193</v>
      </c>
      <c r="H95" s="181">
        <f t="shared" si="16"/>
        <v>193</v>
      </c>
      <c r="I95" s="140">
        <f t="shared" si="16"/>
        <v>193</v>
      </c>
      <c r="J95" s="140">
        <f t="shared" si="16"/>
        <v>193</v>
      </c>
      <c r="K95" s="81"/>
      <c r="L95" s="78">
        <f>ROUND(G95*tab!$C$38,2)</f>
        <v>30225.73</v>
      </c>
      <c r="M95" s="78">
        <f>ROUND(H95*tab!$C$38,2)</f>
        <v>30225.73</v>
      </c>
      <c r="N95" s="78">
        <f>ROUND(I95*tab!$C$38,2)</f>
        <v>30225.73</v>
      </c>
      <c r="O95" s="78">
        <f>ROUND(J95*tab!$C$38,2)</f>
        <v>30225.73</v>
      </c>
      <c r="P95" s="81"/>
      <c r="Q95" s="182">
        <v>0</v>
      </c>
      <c r="R95" s="141">
        <f t="shared" si="17"/>
        <v>0</v>
      </c>
      <c r="S95" s="141">
        <f t="shared" si="17"/>
        <v>0</v>
      </c>
      <c r="T95" s="141">
        <f t="shared" si="17"/>
        <v>0</v>
      </c>
      <c r="U95" s="81"/>
      <c r="V95" s="78">
        <f>+G95*tab!$C$57</f>
        <v>1433.99</v>
      </c>
      <c r="W95" s="78">
        <f>+H95*tab!$D$57</f>
        <v>1435.92</v>
      </c>
      <c r="X95" s="78">
        <f>+I95*tab!$D$57</f>
        <v>1435.92</v>
      </c>
      <c r="Y95" s="78">
        <f>+J95*tab!$D$57</f>
        <v>1435.92</v>
      </c>
      <c r="Z95" s="81"/>
      <c r="AA95" s="77">
        <v>0</v>
      </c>
      <c r="AB95" s="182">
        <f t="shared" si="3"/>
        <v>0</v>
      </c>
      <c r="AC95" s="141">
        <f t="shared" si="15"/>
        <v>0</v>
      </c>
      <c r="AD95" s="141">
        <f t="shared" si="15"/>
        <v>0</v>
      </c>
      <c r="AE95" s="102"/>
      <c r="AF95" s="154"/>
    </row>
    <row r="96" spans="2:32" s="134" customFormat="1" x14ac:dyDescent="0.2">
      <c r="B96" s="153"/>
      <c r="C96" s="174"/>
      <c r="D96" s="60">
        <v>84</v>
      </c>
      <c r="E96" s="179" t="s">
        <v>584</v>
      </c>
      <c r="F96" s="180" t="s">
        <v>495</v>
      </c>
      <c r="G96" s="181">
        <v>194</v>
      </c>
      <c r="H96" s="181">
        <f t="shared" si="16"/>
        <v>194</v>
      </c>
      <c r="I96" s="140">
        <f t="shared" si="16"/>
        <v>194</v>
      </c>
      <c r="J96" s="140">
        <f t="shared" si="16"/>
        <v>194</v>
      </c>
      <c r="K96" s="81"/>
      <c r="L96" s="78">
        <f>ROUND(G96*tab!$C$38,2)</f>
        <v>30382.34</v>
      </c>
      <c r="M96" s="78">
        <f>ROUND(H96*tab!$C$38,2)</f>
        <v>30382.34</v>
      </c>
      <c r="N96" s="78">
        <f>ROUND(I96*tab!$C$38,2)</f>
        <v>30382.34</v>
      </c>
      <c r="O96" s="78">
        <f>ROUND(J96*tab!$C$38,2)</f>
        <v>30382.34</v>
      </c>
      <c r="P96" s="81"/>
      <c r="Q96" s="182">
        <v>0</v>
      </c>
      <c r="R96" s="141">
        <f t="shared" si="17"/>
        <v>0</v>
      </c>
      <c r="S96" s="141">
        <f t="shared" si="17"/>
        <v>0</v>
      </c>
      <c r="T96" s="141">
        <f t="shared" si="17"/>
        <v>0</v>
      </c>
      <c r="U96" s="81"/>
      <c r="V96" s="78">
        <f>+G96*tab!$C$57</f>
        <v>1441.4199999999998</v>
      </c>
      <c r="W96" s="78">
        <f>+H96*tab!$D$57</f>
        <v>1443.3600000000001</v>
      </c>
      <c r="X96" s="78">
        <f>+I96*tab!$D$57</f>
        <v>1443.3600000000001</v>
      </c>
      <c r="Y96" s="78">
        <f>+J96*tab!$D$57</f>
        <v>1443.3600000000001</v>
      </c>
      <c r="Z96" s="81"/>
      <c r="AA96" s="77">
        <v>0</v>
      </c>
      <c r="AB96" s="182">
        <f t="shared" si="3"/>
        <v>0</v>
      </c>
      <c r="AC96" s="141">
        <f t="shared" si="15"/>
        <v>0</v>
      </c>
      <c r="AD96" s="141">
        <f t="shared" si="15"/>
        <v>0</v>
      </c>
      <c r="AE96" s="102"/>
      <c r="AF96" s="154"/>
    </row>
    <row r="97" spans="2:32" s="134" customFormat="1" x14ac:dyDescent="0.2">
      <c r="B97" s="153"/>
      <c r="C97" s="174"/>
      <c r="D97" s="60">
        <v>85</v>
      </c>
      <c r="E97" s="179" t="s">
        <v>585</v>
      </c>
      <c r="F97" s="180" t="s">
        <v>495</v>
      </c>
      <c r="G97" s="181">
        <v>195</v>
      </c>
      <c r="H97" s="181">
        <f t="shared" si="16"/>
        <v>195</v>
      </c>
      <c r="I97" s="140">
        <f t="shared" si="16"/>
        <v>195</v>
      </c>
      <c r="J97" s="140">
        <f t="shared" si="16"/>
        <v>195</v>
      </c>
      <c r="K97" s="81"/>
      <c r="L97" s="78">
        <f>ROUND(G97*tab!$C$38,2)</f>
        <v>30538.95</v>
      </c>
      <c r="M97" s="78">
        <f>ROUND(H97*tab!$C$38,2)</f>
        <v>30538.95</v>
      </c>
      <c r="N97" s="78">
        <f>ROUND(I97*tab!$C$38,2)</f>
        <v>30538.95</v>
      </c>
      <c r="O97" s="78">
        <f>ROUND(J97*tab!$C$38,2)</f>
        <v>30538.95</v>
      </c>
      <c r="P97" s="81"/>
      <c r="Q97" s="182">
        <v>0</v>
      </c>
      <c r="R97" s="141">
        <f t="shared" si="17"/>
        <v>0</v>
      </c>
      <c r="S97" s="141">
        <f t="shared" si="17"/>
        <v>0</v>
      </c>
      <c r="T97" s="141">
        <f t="shared" si="17"/>
        <v>0</v>
      </c>
      <c r="U97" s="81"/>
      <c r="V97" s="78">
        <f>+G97*tab!$C$57</f>
        <v>1448.85</v>
      </c>
      <c r="W97" s="78">
        <f>+H97*tab!$D$57</f>
        <v>1450.8000000000002</v>
      </c>
      <c r="X97" s="78">
        <f>+I97*tab!$D$57</f>
        <v>1450.8000000000002</v>
      </c>
      <c r="Y97" s="78">
        <f>+J97*tab!$D$57</f>
        <v>1450.8000000000002</v>
      </c>
      <c r="Z97" s="81"/>
      <c r="AA97" s="77">
        <v>0</v>
      </c>
      <c r="AB97" s="182">
        <f t="shared" si="3"/>
        <v>0</v>
      </c>
      <c r="AC97" s="141">
        <f t="shared" si="15"/>
        <v>0</v>
      </c>
      <c r="AD97" s="141">
        <f t="shared" si="15"/>
        <v>0</v>
      </c>
      <c r="AE97" s="102"/>
      <c r="AF97" s="154"/>
    </row>
    <row r="98" spans="2:32" s="134" customFormat="1" x14ac:dyDescent="0.2">
      <c r="B98" s="153"/>
      <c r="C98" s="174"/>
      <c r="D98" s="60">
        <v>86</v>
      </c>
      <c r="E98" s="179" t="s">
        <v>586</v>
      </c>
      <c r="F98" s="180" t="s">
        <v>495</v>
      </c>
      <c r="G98" s="181">
        <v>196</v>
      </c>
      <c r="H98" s="181">
        <f t="shared" si="16"/>
        <v>196</v>
      </c>
      <c r="I98" s="140">
        <f t="shared" si="16"/>
        <v>196</v>
      </c>
      <c r="J98" s="140">
        <f t="shared" si="16"/>
        <v>196</v>
      </c>
      <c r="K98" s="81"/>
      <c r="L98" s="78">
        <f>ROUND(G98*tab!$C$38,2)</f>
        <v>30695.56</v>
      </c>
      <c r="M98" s="78">
        <f>ROUND(H98*tab!$C$38,2)</f>
        <v>30695.56</v>
      </c>
      <c r="N98" s="78">
        <f>ROUND(I98*tab!$C$38,2)</f>
        <v>30695.56</v>
      </c>
      <c r="O98" s="78">
        <f>ROUND(J98*tab!$C$38,2)</f>
        <v>30695.56</v>
      </c>
      <c r="P98" s="81"/>
      <c r="Q98" s="182">
        <v>0</v>
      </c>
      <c r="R98" s="141">
        <f t="shared" si="17"/>
        <v>0</v>
      </c>
      <c r="S98" s="141">
        <f t="shared" si="17"/>
        <v>0</v>
      </c>
      <c r="T98" s="141">
        <f t="shared" si="17"/>
        <v>0</v>
      </c>
      <c r="U98" s="81"/>
      <c r="V98" s="78">
        <f>+G98*tab!$C$57</f>
        <v>1456.28</v>
      </c>
      <c r="W98" s="78">
        <f>+H98*tab!$D$57</f>
        <v>1458.24</v>
      </c>
      <c r="X98" s="78">
        <f>+I98*tab!$D$57</f>
        <v>1458.24</v>
      </c>
      <c r="Y98" s="78">
        <f>+J98*tab!$D$57</f>
        <v>1458.24</v>
      </c>
      <c r="Z98" s="81"/>
      <c r="AA98" s="77">
        <v>0</v>
      </c>
      <c r="AB98" s="182">
        <f t="shared" si="3"/>
        <v>0</v>
      </c>
      <c r="AC98" s="141">
        <f t="shared" si="15"/>
        <v>0</v>
      </c>
      <c r="AD98" s="141">
        <f t="shared" si="15"/>
        <v>0</v>
      </c>
      <c r="AE98" s="102"/>
      <c r="AF98" s="154"/>
    </row>
    <row r="99" spans="2:32" s="134" customFormat="1" x14ac:dyDescent="0.2">
      <c r="B99" s="153"/>
      <c r="C99" s="174"/>
      <c r="D99" s="60">
        <v>87</v>
      </c>
      <c r="E99" s="179" t="s">
        <v>587</v>
      </c>
      <c r="F99" s="180" t="s">
        <v>495</v>
      </c>
      <c r="G99" s="181">
        <v>197</v>
      </c>
      <c r="H99" s="181">
        <f t="shared" si="16"/>
        <v>197</v>
      </c>
      <c r="I99" s="140">
        <f t="shared" si="16"/>
        <v>197</v>
      </c>
      <c r="J99" s="140">
        <f t="shared" si="16"/>
        <v>197</v>
      </c>
      <c r="K99" s="81"/>
      <c r="L99" s="78">
        <f>ROUND(G99*tab!$C$38,2)</f>
        <v>30852.17</v>
      </c>
      <c r="M99" s="78">
        <f>ROUND(H99*tab!$C$38,2)</f>
        <v>30852.17</v>
      </c>
      <c r="N99" s="78">
        <f>ROUND(I99*tab!$C$38,2)</f>
        <v>30852.17</v>
      </c>
      <c r="O99" s="78">
        <f>ROUND(J99*tab!$C$38,2)</f>
        <v>30852.17</v>
      </c>
      <c r="P99" s="81"/>
      <c r="Q99" s="182">
        <v>0</v>
      </c>
      <c r="R99" s="141">
        <f t="shared" si="17"/>
        <v>0</v>
      </c>
      <c r="S99" s="141">
        <f t="shared" si="17"/>
        <v>0</v>
      </c>
      <c r="T99" s="141">
        <f t="shared" si="17"/>
        <v>0</v>
      </c>
      <c r="U99" s="81"/>
      <c r="V99" s="78">
        <f>+G99*tab!$C$57</f>
        <v>1463.71</v>
      </c>
      <c r="W99" s="78">
        <f>+H99*tab!$D$57</f>
        <v>1465.68</v>
      </c>
      <c r="X99" s="78">
        <f>+I99*tab!$D$57</f>
        <v>1465.68</v>
      </c>
      <c r="Y99" s="78">
        <f>+J99*tab!$D$57</f>
        <v>1465.68</v>
      </c>
      <c r="Z99" s="81"/>
      <c r="AA99" s="77">
        <v>0</v>
      </c>
      <c r="AB99" s="182">
        <f t="shared" si="3"/>
        <v>0</v>
      </c>
      <c r="AC99" s="141">
        <f t="shared" si="15"/>
        <v>0</v>
      </c>
      <c r="AD99" s="141">
        <f t="shared" si="15"/>
        <v>0</v>
      </c>
      <c r="AE99" s="102"/>
      <c r="AF99" s="154"/>
    </row>
    <row r="100" spans="2:32" s="134" customFormat="1" x14ac:dyDescent="0.2">
      <c r="B100" s="153"/>
      <c r="C100" s="174"/>
      <c r="D100" s="60">
        <v>88</v>
      </c>
      <c r="E100" s="179" t="s">
        <v>588</v>
      </c>
      <c r="F100" s="180" t="s">
        <v>495</v>
      </c>
      <c r="G100" s="181">
        <v>198</v>
      </c>
      <c r="H100" s="181">
        <f t="shared" si="16"/>
        <v>198</v>
      </c>
      <c r="I100" s="140">
        <f t="shared" si="16"/>
        <v>198</v>
      </c>
      <c r="J100" s="140">
        <f t="shared" si="16"/>
        <v>198</v>
      </c>
      <c r="K100" s="81"/>
      <c r="L100" s="78">
        <f>ROUND(G100*tab!$C$38,2)</f>
        <v>31008.78</v>
      </c>
      <c r="M100" s="78">
        <f>ROUND(H100*tab!$C$38,2)</f>
        <v>31008.78</v>
      </c>
      <c r="N100" s="78">
        <f>ROUND(I100*tab!$C$38,2)</f>
        <v>31008.78</v>
      </c>
      <c r="O100" s="78">
        <f>ROUND(J100*tab!$C$38,2)</f>
        <v>31008.78</v>
      </c>
      <c r="P100" s="81"/>
      <c r="Q100" s="182">
        <v>0</v>
      </c>
      <c r="R100" s="141">
        <f t="shared" si="17"/>
        <v>0</v>
      </c>
      <c r="S100" s="141">
        <f t="shared" si="17"/>
        <v>0</v>
      </c>
      <c r="T100" s="141">
        <f t="shared" si="17"/>
        <v>0</v>
      </c>
      <c r="U100" s="81"/>
      <c r="V100" s="78">
        <f>+G100*tab!$C$57</f>
        <v>1471.1399999999999</v>
      </c>
      <c r="W100" s="78">
        <f>+H100*tab!$D$57</f>
        <v>1473.1200000000001</v>
      </c>
      <c r="X100" s="78">
        <f>+I100*tab!$D$57</f>
        <v>1473.1200000000001</v>
      </c>
      <c r="Y100" s="78">
        <f>+J100*tab!$D$57</f>
        <v>1473.1200000000001</v>
      </c>
      <c r="Z100" s="81"/>
      <c r="AA100" s="77">
        <v>0</v>
      </c>
      <c r="AB100" s="182">
        <f t="shared" si="3"/>
        <v>0</v>
      </c>
      <c r="AC100" s="141">
        <f t="shared" si="15"/>
        <v>0</v>
      </c>
      <c r="AD100" s="141">
        <f t="shared" si="15"/>
        <v>0</v>
      </c>
      <c r="AE100" s="102"/>
      <c r="AF100" s="154"/>
    </row>
    <row r="101" spans="2:32" s="134" customFormat="1" x14ac:dyDescent="0.2">
      <c r="B101" s="153"/>
      <c r="C101" s="174"/>
      <c r="D101" s="60">
        <v>89</v>
      </c>
      <c r="E101" s="179" t="s">
        <v>589</v>
      </c>
      <c r="F101" s="180" t="s">
        <v>495</v>
      </c>
      <c r="G101" s="181">
        <v>199</v>
      </c>
      <c r="H101" s="181">
        <f t="shared" si="16"/>
        <v>199</v>
      </c>
      <c r="I101" s="140">
        <f t="shared" si="16"/>
        <v>199</v>
      </c>
      <c r="J101" s="140">
        <f t="shared" si="16"/>
        <v>199</v>
      </c>
      <c r="K101" s="81"/>
      <c r="L101" s="78">
        <f>ROUND(G101*tab!$C$38,2)</f>
        <v>31165.39</v>
      </c>
      <c r="M101" s="78">
        <f>ROUND(H101*tab!$C$38,2)</f>
        <v>31165.39</v>
      </c>
      <c r="N101" s="78">
        <f>ROUND(I101*tab!$C$38,2)</f>
        <v>31165.39</v>
      </c>
      <c r="O101" s="78">
        <f>ROUND(J101*tab!$C$38,2)</f>
        <v>31165.39</v>
      </c>
      <c r="P101" s="81"/>
      <c r="Q101" s="182">
        <v>0</v>
      </c>
      <c r="R101" s="141">
        <f t="shared" si="17"/>
        <v>0</v>
      </c>
      <c r="S101" s="141">
        <f t="shared" si="17"/>
        <v>0</v>
      </c>
      <c r="T101" s="141">
        <f t="shared" si="17"/>
        <v>0</v>
      </c>
      <c r="U101" s="81"/>
      <c r="V101" s="78">
        <f>+G101*tab!$C$57</f>
        <v>1478.57</v>
      </c>
      <c r="W101" s="78">
        <f>+H101*tab!$D$57</f>
        <v>1480.5600000000002</v>
      </c>
      <c r="X101" s="78">
        <f>+I101*tab!$D$57</f>
        <v>1480.5600000000002</v>
      </c>
      <c r="Y101" s="78">
        <f>+J101*tab!$D$57</f>
        <v>1480.5600000000002</v>
      </c>
      <c r="Z101" s="81"/>
      <c r="AA101" s="77">
        <v>0</v>
      </c>
      <c r="AB101" s="182">
        <f t="shared" si="3"/>
        <v>0</v>
      </c>
      <c r="AC101" s="141">
        <f t="shared" si="15"/>
        <v>0</v>
      </c>
      <c r="AD101" s="141">
        <f t="shared" si="15"/>
        <v>0</v>
      </c>
      <c r="AE101" s="102"/>
      <c r="AF101" s="154"/>
    </row>
    <row r="102" spans="2:32" s="134" customFormat="1" x14ac:dyDescent="0.2">
      <c r="B102" s="153"/>
      <c r="C102" s="174"/>
      <c r="D102" s="60">
        <v>90</v>
      </c>
      <c r="E102" s="179" t="s">
        <v>590</v>
      </c>
      <c r="F102" s="180" t="s">
        <v>495</v>
      </c>
      <c r="G102" s="181">
        <v>200</v>
      </c>
      <c r="H102" s="181">
        <f t="shared" si="16"/>
        <v>200</v>
      </c>
      <c r="I102" s="140">
        <f t="shared" si="16"/>
        <v>200</v>
      </c>
      <c r="J102" s="140">
        <f t="shared" si="16"/>
        <v>200</v>
      </c>
      <c r="K102" s="81"/>
      <c r="L102" s="78">
        <f>ROUND(G102*tab!$C$38,2)</f>
        <v>31322</v>
      </c>
      <c r="M102" s="78">
        <f>ROUND(H102*tab!$C$38,2)</f>
        <v>31322</v>
      </c>
      <c r="N102" s="78">
        <f>ROUND(I102*tab!$C$38,2)</f>
        <v>31322</v>
      </c>
      <c r="O102" s="78">
        <f>ROUND(J102*tab!$C$38,2)</f>
        <v>31322</v>
      </c>
      <c r="P102" s="81"/>
      <c r="Q102" s="182">
        <v>0</v>
      </c>
      <c r="R102" s="141">
        <f t="shared" si="17"/>
        <v>0</v>
      </c>
      <c r="S102" s="141">
        <f t="shared" si="17"/>
        <v>0</v>
      </c>
      <c r="T102" s="141">
        <f t="shared" si="17"/>
        <v>0</v>
      </c>
      <c r="U102" s="81"/>
      <c r="V102" s="78">
        <f>+G102*tab!$C$57</f>
        <v>1486</v>
      </c>
      <c r="W102" s="78">
        <f>+H102*tab!$D$57</f>
        <v>1488</v>
      </c>
      <c r="X102" s="78">
        <f>+I102*tab!$D$57</f>
        <v>1488</v>
      </c>
      <c r="Y102" s="78">
        <f>+J102*tab!$D$57</f>
        <v>1488</v>
      </c>
      <c r="Z102" s="81"/>
      <c r="AA102" s="77">
        <v>0</v>
      </c>
      <c r="AB102" s="182">
        <f t="shared" si="3"/>
        <v>0</v>
      </c>
      <c r="AC102" s="141">
        <f t="shared" si="15"/>
        <v>0</v>
      </c>
      <c r="AD102" s="141">
        <f t="shared" si="15"/>
        <v>0</v>
      </c>
      <c r="AE102" s="102"/>
      <c r="AF102" s="154"/>
    </row>
    <row r="103" spans="2:32" s="134" customFormat="1" x14ac:dyDescent="0.2">
      <c r="B103" s="153"/>
      <c r="C103" s="174"/>
      <c r="D103" s="60">
        <v>91</v>
      </c>
      <c r="E103" s="179" t="s">
        <v>591</v>
      </c>
      <c r="F103" s="180" t="s">
        <v>495</v>
      </c>
      <c r="G103" s="181">
        <v>201</v>
      </c>
      <c r="H103" s="181">
        <f t="shared" si="16"/>
        <v>201</v>
      </c>
      <c r="I103" s="140">
        <f t="shared" si="16"/>
        <v>201</v>
      </c>
      <c r="J103" s="140">
        <f t="shared" si="16"/>
        <v>201</v>
      </c>
      <c r="K103" s="81"/>
      <c r="L103" s="78">
        <f>ROUND(G103*tab!$C$38,2)</f>
        <v>31478.61</v>
      </c>
      <c r="M103" s="78">
        <f>ROUND(H103*tab!$C$38,2)</f>
        <v>31478.61</v>
      </c>
      <c r="N103" s="78">
        <f>ROUND(I103*tab!$C$38,2)</f>
        <v>31478.61</v>
      </c>
      <c r="O103" s="78">
        <f>ROUND(J103*tab!$C$38,2)</f>
        <v>31478.61</v>
      </c>
      <c r="P103" s="81"/>
      <c r="Q103" s="182">
        <v>0</v>
      </c>
      <c r="R103" s="141">
        <f t="shared" si="17"/>
        <v>0</v>
      </c>
      <c r="S103" s="141">
        <f t="shared" si="17"/>
        <v>0</v>
      </c>
      <c r="T103" s="141">
        <f t="shared" si="17"/>
        <v>0</v>
      </c>
      <c r="U103" s="81"/>
      <c r="V103" s="78">
        <f>+G103*tab!$C$57</f>
        <v>1493.4299999999998</v>
      </c>
      <c r="W103" s="78">
        <f>+H103*tab!$D$57</f>
        <v>1495.44</v>
      </c>
      <c r="X103" s="78">
        <f>+I103*tab!$D$57</f>
        <v>1495.44</v>
      </c>
      <c r="Y103" s="78">
        <f>+J103*tab!$D$57</f>
        <v>1495.44</v>
      </c>
      <c r="Z103" s="81"/>
      <c r="AA103" s="77">
        <v>0</v>
      </c>
      <c r="AB103" s="182">
        <f t="shared" si="3"/>
        <v>0</v>
      </c>
      <c r="AC103" s="141">
        <f t="shared" si="15"/>
        <v>0</v>
      </c>
      <c r="AD103" s="141">
        <f t="shared" si="15"/>
        <v>0</v>
      </c>
      <c r="AE103" s="102"/>
      <c r="AF103" s="154"/>
    </row>
    <row r="104" spans="2:32" s="134" customFormat="1" x14ac:dyDescent="0.2">
      <c r="B104" s="153"/>
      <c r="C104" s="174"/>
      <c r="D104" s="60">
        <v>92</v>
      </c>
      <c r="E104" s="179" t="s">
        <v>592</v>
      </c>
      <c r="F104" s="180" t="s">
        <v>495</v>
      </c>
      <c r="G104" s="181">
        <v>202</v>
      </c>
      <c r="H104" s="181">
        <f t="shared" si="16"/>
        <v>202</v>
      </c>
      <c r="I104" s="140">
        <f t="shared" si="16"/>
        <v>202</v>
      </c>
      <c r="J104" s="140">
        <f t="shared" si="16"/>
        <v>202</v>
      </c>
      <c r="K104" s="81"/>
      <c r="L104" s="78">
        <f>ROUND(G104*tab!$C$38,2)</f>
        <v>31635.22</v>
      </c>
      <c r="M104" s="78">
        <f>ROUND(H104*tab!$C$38,2)</f>
        <v>31635.22</v>
      </c>
      <c r="N104" s="78">
        <f>ROUND(I104*tab!$C$38,2)</f>
        <v>31635.22</v>
      </c>
      <c r="O104" s="78">
        <f>ROUND(J104*tab!$C$38,2)</f>
        <v>31635.22</v>
      </c>
      <c r="P104" s="81"/>
      <c r="Q104" s="182">
        <v>0</v>
      </c>
      <c r="R104" s="141">
        <f t="shared" si="17"/>
        <v>0</v>
      </c>
      <c r="S104" s="141">
        <f t="shared" si="17"/>
        <v>0</v>
      </c>
      <c r="T104" s="141">
        <f t="shared" si="17"/>
        <v>0</v>
      </c>
      <c r="U104" s="81"/>
      <c r="V104" s="78">
        <f>+G104*tab!$C$57</f>
        <v>1500.86</v>
      </c>
      <c r="W104" s="78">
        <f>+H104*tab!$D$57</f>
        <v>1502.88</v>
      </c>
      <c r="X104" s="78">
        <f>+I104*tab!$D$57</f>
        <v>1502.88</v>
      </c>
      <c r="Y104" s="78">
        <f>+J104*tab!$D$57</f>
        <v>1502.88</v>
      </c>
      <c r="Z104" s="81"/>
      <c r="AA104" s="77">
        <v>0</v>
      </c>
      <c r="AB104" s="182">
        <f t="shared" si="3"/>
        <v>0</v>
      </c>
      <c r="AC104" s="141">
        <f t="shared" si="15"/>
        <v>0</v>
      </c>
      <c r="AD104" s="141">
        <f t="shared" si="15"/>
        <v>0</v>
      </c>
      <c r="AE104" s="102"/>
      <c r="AF104" s="154"/>
    </row>
    <row r="105" spans="2:32" s="134" customFormat="1" x14ac:dyDescent="0.2">
      <c r="B105" s="153"/>
      <c r="C105" s="174"/>
      <c r="D105" s="60">
        <v>93</v>
      </c>
      <c r="E105" s="179" t="s">
        <v>593</v>
      </c>
      <c r="F105" s="180" t="s">
        <v>495</v>
      </c>
      <c r="G105" s="181">
        <v>203</v>
      </c>
      <c r="H105" s="181">
        <f t="shared" si="16"/>
        <v>203</v>
      </c>
      <c r="I105" s="140">
        <f t="shared" si="16"/>
        <v>203</v>
      </c>
      <c r="J105" s="140">
        <f t="shared" si="16"/>
        <v>203</v>
      </c>
      <c r="K105" s="81"/>
      <c r="L105" s="78">
        <f>ROUND(G105*tab!$C$38,2)</f>
        <v>31791.83</v>
      </c>
      <c r="M105" s="78">
        <f>ROUND(H105*tab!$C$38,2)</f>
        <v>31791.83</v>
      </c>
      <c r="N105" s="78">
        <f>ROUND(I105*tab!$C$38,2)</f>
        <v>31791.83</v>
      </c>
      <c r="O105" s="78">
        <f>ROUND(J105*tab!$C$38,2)</f>
        <v>31791.83</v>
      </c>
      <c r="P105" s="81"/>
      <c r="Q105" s="182">
        <v>0</v>
      </c>
      <c r="R105" s="141">
        <f t="shared" si="17"/>
        <v>0</v>
      </c>
      <c r="S105" s="141">
        <f t="shared" si="17"/>
        <v>0</v>
      </c>
      <c r="T105" s="141">
        <f t="shared" si="17"/>
        <v>0</v>
      </c>
      <c r="U105" s="81"/>
      <c r="V105" s="78">
        <f>+G105*tab!$C$57</f>
        <v>1508.29</v>
      </c>
      <c r="W105" s="78">
        <f>+H105*tab!$D$57</f>
        <v>1510.3200000000002</v>
      </c>
      <c r="X105" s="78">
        <f>+I105*tab!$D$57</f>
        <v>1510.3200000000002</v>
      </c>
      <c r="Y105" s="78">
        <f>+J105*tab!$D$57</f>
        <v>1510.3200000000002</v>
      </c>
      <c r="Z105" s="81"/>
      <c r="AA105" s="77">
        <v>0</v>
      </c>
      <c r="AB105" s="182">
        <f t="shared" si="3"/>
        <v>0</v>
      </c>
      <c r="AC105" s="141">
        <f t="shared" si="15"/>
        <v>0</v>
      </c>
      <c r="AD105" s="141">
        <f t="shared" si="15"/>
        <v>0</v>
      </c>
      <c r="AE105" s="102"/>
      <c r="AF105" s="154"/>
    </row>
    <row r="106" spans="2:32" s="134" customFormat="1" x14ac:dyDescent="0.2">
      <c r="B106" s="153"/>
      <c r="C106" s="174"/>
      <c r="D106" s="60">
        <v>94</v>
      </c>
      <c r="E106" s="179" t="s">
        <v>594</v>
      </c>
      <c r="F106" s="180" t="s">
        <v>495</v>
      </c>
      <c r="G106" s="181">
        <v>204</v>
      </c>
      <c r="H106" s="181">
        <f t="shared" si="16"/>
        <v>204</v>
      </c>
      <c r="I106" s="140">
        <f t="shared" si="16"/>
        <v>204</v>
      </c>
      <c r="J106" s="140">
        <f t="shared" si="16"/>
        <v>204</v>
      </c>
      <c r="K106" s="81"/>
      <c r="L106" s="78">
        <f>ROUND(G106*tab!$C$38,2)</f>
        <v>31948.44</v>
      </c>
      <c r="M106" s="78">
        <f>ROUND(H106*tab!$C$38,2)</f>
        <v>31948.44</v>
      </c>
      <c r="N106" s="78">
        <f>ROUND(I106*tab!$C$38,2)</f>
        <v>31948.44</v>
      </c>
      <c r="O106" s="78">
        <f>ROUND(J106*tab!$C$38,2)</f>
        <v>31948.44</v>
      </c>
      <c r="P106" s="81"/>
      <c r="Q106" s="182">
        <v>0</v>
      </c>
      <c r="R106" s="141">
        <f t="shared" si="17"/>
        <v>0</v>
      </c>
      <c r="S106" s="141">
        <f t="shared" si="17"/>
        <v>0</v>
      </c>
      <c r="T106" s="141">
        <f t="shared" si="17"/>
        <v>0</v>
      </c>
      <c r="U106" s="81"/>
      <c r="V106" s="78">
        <f>+G106*tab!$C$57</f>
        <v>1515.72</v>
      </c>
      <c r="W106" s="78">
        <f>+H106*tab!$D$57</f>
        <v>1517.76</v>
      </c>
      <c r="X106" s="78">
        <f>+I106*tab!$D$57</f>
        <v>1517.76</v>
      </c>
      <c r="Y106" s="78">
        <f>+J106*tab!$D$57</f>
        <v>1517.76</v>
      </c>
      <c r="Z106" s="81"/>
      <c r="AA106" s="77">
        <v>0</v>
      </c>
      <c r="AB106" s="182">
        <f t="shared" si="3"/>
        <v>0</v>
      </c>
      <c r="AC106" s="141">
        <f t="shared" ref="AC106:AD125" si="18">AB106</f>
        <v>0</v>
      </c>
      <c r="AD106" s="141">
        <f t="shared" si="18"/>
        <v>0</v>
      </c>
      <c r="AE106" s="102"/>
      <c r="AF106" s="154"/>
    </row>
    <row r="107" spans="2:32" s="134" customFormat="1" x14ac:dyDescent="0.2">
      <c r="B107" s="153"/>
      <c r="C107" s="174"/>
      <c r="D107" s="60">
        <v>95</v>
      </c>
      <c r="E107" s="179" t="s">
        <v>595</v>
      </c>
      <c r="F107" s="180" t="s">
        <v>495</v>
      </c>
      <c r="G107" s="181">
        <v>205</v>
      </c>
      <c r="H107" s="181">
        <f t="shared" si="16"/>
        <v>205</v>
      </c>
      <c r="I107" s="140">
        <f t="shared" si="16"/>
        <v>205</v>
      </c>
      <c r="J107" s="140">
        <f t="shared" si="16"/>
        <v>205</v>
      </c>
      <c r="K107" s="81"/>
      <c r="L107" s="78">
        <f>ROUND(G107*tab!$C$38,2)</f>
        <v>32105.05</v>
      </c>
      <c r="M107" s="78">
        <f>ROUND(H107*tab!$C$38,2)</f>
        <v>32105.05</v>
      </c>
      <c r="N107" s="78">
        <f>ROUND(I107*tab!$C$38,2)</f>
        <v>32105.05</v>
      </c>
      <c r="O107" s="78">
        <f>ROUND(J107*tab!$C$38,2)</f>
        <v>32105.05</v>
      </c>
      <c r="P107" s="81"/>
      <c r="Q107" s="182">
        <v>0</v>
      </c>
      <c r="R107" s="141">
        <f t="shared" si="17"/>
        <v>0</v>
      </c>
      <c r="S107" s="141">
        <f t="shared" si="17"/>
        <v>0</v>
      </c>
      <c r="T107" s="141">
        <f t="shared" si="17"/>
        <v>0</v>
      </c>
      <c r="U107" s="81"/>
      <c r="V107" s="78">
        <f>+G107*tab!$C$57</f>
        <v>1523.1499999999999</v>
      </c>
      <c r="W107" s="78">
        <f>+H107*tab!$D$57</f>
        <v>1525.2</v>
      </c>
      <c r="X107" s="78">
        <f>+I107*tab!$D$57</f>
        <v>1525.2</v>
      </c>
      <c r="Y107" s="78">
        <f>+J107*tab!$D$57</f>
        <v>1525.2</v>
      </c>
      <c r="Z107" s="81"/>
      <c r="AA107" s="77">
        <v>0</v>
      </c>
      <c r="AB107" s="182">
        <f t="shared" si="3"/>
        <v>0</v>
      </c>
      <c r="AC107" s="141">
        <f t="shared" si="18"/>
        <v>0</v>
      </c>
      <c r="AD107" s="141">
        <f t="shared" si="18"/>
        <v>0</v>
      </c>
      <c r="AE107" s="102"/>
      <c r="AF107" s="154"/>
    </row>
    <row r="108" spans="2:32" s="134" customFormat="1" x14ac:dyDescent="0.2">
      <c r="B108" s="153"/>
      <c r="C108" s="174"/>
      <c r="D108" s="60">
        <v>96</v>
      </c>
      <c r="E108" s="179" t="s">
        <v>596</v>
      </c>
      <c r="F108" s="180" t="s">
        <v>495</v>
      </c>
      <c r="G108" s="181">
        <v>206</v>
      </c>
      <c r="H108" s="181">
        <f t="shared" si="16"/>
        <v>206</v>
      </c>
      <c r="I108" s="140">
        <f t="shared" si="16"/>
        <v>206</v>
      </c>
      <c r="J108" s="140">
        <f t="shared" si="16"/>
        <v>206</v>
      </c>
      <c r="K108" s="81"/>
      <c r="L108" s="78">
        <f>ROUND(G108*tab!$C$38,2)</f>
        <v>32261.66</v>
      </c>
      <c r="M108" s="78">
        <f>ROUND(H108*tab!$C$38,2)</f>
        <v>32261.66</v>
      </c>
      <c r="N108" s="78">
        <f>ROUND(I108*tab!$C$38,2)</f>
        <v>32261.66</v>
      </c>
      <c r="O108" s="78">
        <f>ROUND(J108*tab!$C$38,2)</f>
        <v>32261.66</v>
      </c>
      <c r="P108" s="81"/>
      <c r="Q108" s="182">
        <v>0</v>
      </c>
      <c r="R108" s="141">
        <f t="shared" si="17"/>
        <v>0</v>
      </c>
      <c r="S108" s="141">
        <f t="shared" si="17"/>
        <v>0</v>
      </c>
      <c r="T108" s="141">
        <f t="shared" si="17"/>
        <v>0</v>
      </c>
      <c r="U108" s="81"/>
      <c r="V108" s="78">
        <f>+G108*tab!$C$57</f>
        <v>1530.58</v>
      </c>
      <c r="W108" s="78">
        <f>+H108*tab!$D$57</f>
        <v>1532.64</v>
      </c>
      <c r="X108" s="78">
        <f>+I108*tab!$D$57</f>
        <v>1532.64</v>
      </c>
      <c r="Y108" s="78">
        <f>+J108*tab!$D$57</f>
        <v>1532.64</v>
      </c>
      <c r="Z108" s="81"/>
      <c r="AA108" s="77">
        <v>0</v>
      </c>
      <c r="AB108" s="182">
        <f t="shared" si="3"/>
        <v>0</v>
      </c>
      <c r="AC108" s="141">
        <f t="shared" si="18"/>
        <v>0</v>
      </c>
      <c r="AD108" s="141">
        <f t="shared" si="18"/>
        <v>0</v>
      </c>
      <c r="AE108" s="102"/>
      <c r="AF108" s="154"/>
    </row>
    <row r="109" spans="2:32" s="134" customFormat="1" x14ac:dyDescent="0.2">
      <c r="B109" s="153"/>
      <c r="C109" s="174"/>
      <c r="D109" s="60">
        <v>97</v>
      </c>
      <c r="E109" s="179" t="s">
        <v>597</v>
      </c>
      <c r="F109" s="180" t="s">
        <v>495</v>
      </c>
      <c r="G109" s="181">
        <v>207</v>
      </c>
      <c r="H109" s="181">
        <f t="shared" si="16"/>
        <v>207</v>
      </c>
      <c r="I109" s="140">
        <f t="shared" si="16"/>
        <v>207</v>
      </c>
      <c r="J109" s="140">
        <f t="shared" si="16"/>
        <v>207</v>
      </c>
      <c r="K109" s="81"/>
      <c r="L109" s="78">
        <f>ROUND(G109*tab!$C$38,2)</f>
        <v>32418.27</v>
      </c>
      <c r="M109" s="78">
        <f>ROUND(H109*tab!$C$38,2)</f>
        <v>32418.27</v>
      </c>
      <c r="N109" s="78">
        <f>ROUND(I109*tab!$C$38,2)</f>
        <v>32418.27</v>
      </c>
      <c r="O109" s="78">
        <f>ROUND(J109*tab!$C$38,2)</f>
        <v>32418.27</v>
      </c>
      <c r="P109" s="81"/>
      <c r="Q109" s="182">
        <v>0</v>
      </c>
      <c r="R109" s="141">
        <f t="shared" si="17"/>
        <v>0</v>
      </c>
      <c r="S109" s="141">
        <f t="shared" si="17"/>
        <v>0</v>
      </c>
      <c r="T109" s="141">
        <f t="shared" si="17"/>
        <v>0</v>
      </c>
      <c r="U109" s="81"/>
      <c r="V109" s="78">
        <f>+G109*tab!$C$57</f>
        <v>1538.01</v>
      </c>
      <c r="W109" s="78">
        <f>+H109*tab!$D$57</f>
        <v>1540.0800000000002</v>
      </c>
      <c r="X109" s="78">
        <f>+I109*tab!$D$57</f>
        <v>1540.0800000000002</v>
      </c>
      <c r="Y109" s="78">
        <f>+J109*tab!$D$57</f>
        <v>1540.0800000000002</v>
      </c>
      <c r="Z109" s="81"/>
      <c r="AA109" s="77">
        <v>0</v>
      </c>
      <c r="AB109" s="182">
        <f t="shared" si="3"/>
        <v>0</v>
      </c>
      <c r="AC109" s="141">
        <f t="shared" si="18"/>
        <v>0</v>
      </c>
      <c r="AD109" s="141">
        <f t="shared" si="18"/>
        <v>0</v>
      </c>
      <c r="AE109" s="102"/>
      <c r="AF109" s="154"/>
    </row>
    <row r="110" spans="2:32" s="134" customFormat="1" x14ac:dyDescent="0.2">
      <c r="B110" s="153"/>
      <c r="C110" s="174"/>
      <c r="D110" s="60">
        <v>98</v>
      </c>
      <c r="E110" s="179" t="s">
        <v>598</v>
      </c>
      <c r="F110" s="180" t="s">
        <v>495</v>
      </c>
      <c r="G110" s="181">
        <v>208</v>
      </c>
      <c r="H110" s="181">
        <f t="shared" si="16"/>
        <v>208</v>
      </c>
      <c r="I110" s="140">
        <f t="shared" si="16"/>
        <v>208</v>
      </c>
      <c r="J110" s="140">
        <f t="shared" si="16"/>
        <v>208</v>
      </c>
      <c r="K110" s="81"/>
      <c r="L110" s="78">
        <f>ROUND(G110*tab!$C$38,2)</f>
        <v>32574.880000000001</v>
      </c>
      <c r="M110" s="78">
        <f>ROUND(H110*tab!$C$38,2)</f>
        <v>32574.880000000001</v>
      </c>
      <c r="N110" s="78">
        <f>ROUND(I110*tab!$C$38,2)</f>
        <v>32574.880000000001</v>
      </c>
      <c r="O110" s="78">
        <f>ROUND(J110*tab!$C$38,2)</f>
        <v>32574.880000000001</v>
      </c>
      <c r="P110" s="81"/>
      <c r="Q110" s="182">
        <v>0</v>
      </c>
      <c r="R110" s="141">
        <f t="shared" si="17"/>
        <v>0</v>
      </c>
      <c r="S110" s="141">
        <f t="shared" si="17"/>
        <v>0</v>
      </c>
      <c r="T110" s="141">
        <f t="shared" si="17"/>
        <v>0</v>
      </c>
      <c r="U110" s="81"/>
      <c r="V110" s="78">
        <f>+G110*tab!$C$57</f>
        <v>1545.44</v>
      </c>
      <c r="W110" s="78">
        <f>+H110*tab!$D$57</f>
        <v>1547.52</v>
      </c>
      <c r="X110" s="78">
        <f>+I110*tab!$D$57</f>
        <v>1547.52</v>
      </c>
      <c r="Y110" s="78">
        <f>+J110*tab!$D$57</f>
        <v>1547.52</v>
      </c>
      <c r="Z110" s="81"/>
      <c r="AA110" s="77">
        <v>0</v>
      </c>
      <c r="AB110" s="182">
        <f t="shared" si="3"/>
        <v>0</v>
      </c>
      <c r="AC110" s="141">
        <f t="shared" si="18"/>
        <v>0</v>
      </c>
      <c r="AD110" s="141">
        <f t="shared" si="18"/>
        <v>0</v>
      </c>
      <c r="AE110" s="102"/>
      <c r="AF110" s="154"/>
    </row>
    <row r="111" spans="2:32" s="134" customFormat="1" x14ac:dyDescent="0.2">
      <c r="B111" s="153"/>
      <c r="C111" s="174"/>
      <c r="D111" s="60">
        <v>99</v>
      </c>
      <c r="E111" s="179" t="s">
        <v>599</v>
      </c>
      <c r="F111" s="180" t="s">
        <v>495</v>
      </c>
      <c r="G111" s="181">
        <v>209</v>
      </c>
      <c r="H111" s="181">
        <f t="shared" si="16"/>
        <v>209</v>
      </c>
      <c r="I111" s="140">
        <f t="shared" si="16"/>
        <v>209</v>
      </c>
      <c r="J111" s="140">
        <f t="shared" si="16"/>
        <v>209</v>
      </c>
      <c r="K111" s="81"/>
      <c r="L111" s="78">
        <f>ROUND(G111*tab!$C$38,2)</f>
        <v>32731.49</v>
      </c>
      <c r="M111" s="78">
        <f>ROUND(H111*tab!$C$38,2)</f>
        <v>32731.49</v>
      </c>
      <c r="N111" s="78">
        <f>ROUND(I111*tab!$C$38,2)</f>
        <v>32731.49</v>
      </c>
      <c r="O111" s="78">
        <f>ROUND(J111*tab!$C$38,2)</f>
        <v>32731.49</v>
      </c>
      <c r="P111" s="81"/>
      <c r="Q111" s="182">
        <v>0</v>
      </c>
      <c r="R111" s="141">
        <f t="shared" si="17"/>
        <v>0</v>
      </c>
      <c r="S111" s="141">
        <f t="shared" si="17"/>
        <v>0</v>
      </c>
      <c r="T111" s="141">
        <f t="shared" si="17"/>
        <v>0</v>
      </c>
      <c r="U111" s="81"/>
      <c r="V111" s="78">
        <f>+G111*tab!$C$57</f>
        <v>1552.87</v>
      </c>
      <c r="W111" s="78">
        <f>+H111*tab!$D$57</f>
        <v>1554.96</v>
      </c>
      <c r="X111" s="78">
        <f>+I111*tab!$D$57</f>
        <v>1554.96</v>
      </c>
      <c r="Y111" s="78">
        <f>+J111*tab!$D$57</f>
        <v>1554.96</v>
      </c>
      <c r="Z111" s="81"/>
      <c r="AA111" s="77">
        <v>0</v>
      </c>
      <c r="AB111" s="182">
        <f t="shared" si="3"/>
        <v>0</v>
      </c>
      <c r="AC111" s="141">
        <f t="shared" si="18"/>
        <v>0</v>
      </c>
      <c r="AD111" s="141">
        <f t="shared" si="18"/>
        <v>0</v>
      </c>
      <c r="AE111" s="102"/>
      <c r="AF111" s="154"/>
    </row>
    <row r="112" spans="2:32" s="134" customFormat="1" x14ac:dyDescent="0.2">
      <c r="B112" s="153"/>
      <c r="C112" s="174"/>
      <c r="D112" s="60">
        <v>100</v>
      </c>
      <c r="E112" s="179" t="s">
        <v>600</v>
      </c>
      <c r="F112" s="180" t="s">
        <v>495</v>
      </c>
      <c r="G112" s="181">
        <v>210</v>
      </c>
      <c r="H112" s="181">
        <f t="shared" si="16"/>
        <v>210</v>
      </c>
      <c r="I112" s="140">
        <f t="shared" si="16"/>
        <v>210</v>
      </c>
      <c r="J112" s="140">
        <f t="shared" si="16"/>
        <v>210</v>
      </c>
      <c r="K112" s="81"/>
      <c r="L112" s="78">
        <f>ROUND(G112*tab!$C$38,2)</f>
        <v>32888.1</v>
      </c>
      <c r="M112" s="78">
        <f>ROUND(H112*tab!$C$38,2)</f>
        <v>32888.1</v>
      </c>
      <c r="N112" s="78">
        <f>ROUND(I112*tab!$C$38,2)</f>
        <v>32888.1</v>
      </c>
      <c r="O112" s="78">
        <f>ROUND(J112*tab!$C$38,2)</f>
        <v>32888.1</v>
      </c>
      <c r="P112" s="81"/>
      <c r="Q112" s="182">
        <v>0</v>
      </c>
      <c r="R112" s="141">
        <f t="shared" si="17"/>
        <v>0</v>
      </c>
      <c r="S112" s="141">
        <f t="shared" si="17"/>
        <v>0</v>
      </c>
      <c r="T112" s="141">
        <f t="shared" si="17"/>
        <v>0</v>
      </c>
      <c r="U112" s="81"/>
      <c r="V112" s="78">
        <f>+G112*tab!$C$57</f>
        <v>1560.3</v>
      </c>
      <c r="W112" s="78">
        <f>+H112*tab!$D$57</f>
        <v>1562.4</v>
      </c>
      <c r="X112" s="78">
        <f>+I112*tab!$D$57</f>
        <v>1562.4</v>
      </c>
      <c r="Y112" s="78">
        <f>+J112*tab!$D$57</f>
        <v>1562.4</v>
      </c>
      <c r="Z112" s="81"/>
      <c r="AA112" s="77">
        <v>0</v>
      </c>
      <c r="AB112" s="182">
        <f t="shared" si="3"/>
        <v>0</v>
      </c>
      <c r="AC112" s="141">
        <f t="shared" si="18"/>
        <v>0</v>
      </c>
      <c r="AD112" s="141">
        <f t="shared" si="18"/>
        <v>0</v>
      </c>
      <c r="AE112" s="102"/>
      <c r="AF112" s="154"/>
    </row>
    <row r="113" spans="2:32" s="134" customFormat="1" x14ac:dyDescent="0.2">
      <c r="B113" s="153"/>
      <c r="C113" s="174"/>
      <c r="D113" s="60">
        <v>101</v>
      </c>
      <c r="E113" s="179" t="s">
        <v>601</v>
      </c>
      <c r="F113" s="180" t="s">
        <v>495</v>
      </c>
      <c r="G113" s="181">
        <v>210</v>
      </c>
      <c r="H113" s="181">
        <f t="shared" ref="H113:J132" si="19">G113</f>
        <v>210</v>
      </c>
      <c r="I113" s="140">
        <f t="shared" si="19"/>
        <v>210</v>
      </c>
      <c r="J113" s="140">
        <f t="shared" si="19"/>
        <v>210</v>
      </c>
      <c r="K113" s="81"/>
      <c r="L113" s="78">
        <f>ROUND(G113*tab!$C$38,2)</f>
        <v>32888.1</v>
      </c>
      <c r="M113" s="78">
        <f>ROUND(H113*tab!$C$38,2)</f>
        <v>32888.1</v>
      </c>
      <c r="N113" s="78">
        <f>ROUND(I113*tab!$C$38,2)</f>
        <v>32888.1</v>
      </c>
      <c r="O113" s="78">
        <f>ROUND(J113*tab!$C$38,2)</f>
        <v>32888.1</v>
      </c>
      <c r="P113" s="81"/>
      <c r="Q113" s="182">
        <v>0</v>
      </c>
      <c r="R113" s="141">
        <f t="shared" ref="R113:T132" si="20">Q113</f>
        <v>0</v>
      </c>
      <c r="S113" s="141">
        <f t="shared" si="20"/>
        <v>0</v>
      </c>
      <c r="T113" s="141">
        <f t="shared" si="20"/>
        <v>0</v>
      </c>
      <c r="U113" s="81"/>
      <c r="V113" s="78">
        <f>+G113*tab!$C$57</f>
        <v>1560.3</v>
      </c>
      <c r="W113" s="78">
        <f>+H113*tab!$D$57</f>
        <v>1562.4</v>
      </c>
      <c r="X113" s="78">
        <f>+I113*tab!$D$57</f>
        <v>1562.4</v>
      </c>
      <c r="Y113" s="78">
        <f>+J113*tab!$D$57</f>
        <v>1562.4</v>
      </c>
      <c r="Z113" s="81"/>
      <c r="AA113" s="77">
        <v>0</v>
      </c>
      <c r="AB113" s="182">
        <f t="shared" si="3"/>
        <v>0</v>
      </c>
      <c r="AC113" s="141">
        <f t="shared" si="18"/>
        <v>0</v>
      </c>
      <c r="AD113" s="141">
        <f t="shared" si="18"/>
        <v>0</v>
      </c>
      <c r="AE113" s="102"/>
      <c r="AF113" s="154"/>
    </row>
    <row r="114" spans="2:32" s="134" customFormat="1" x14ac:dyDescent="0.2">
      <c r="B114" s="153"/>
      <c r="C114" s="174"/>
      <c r="D114" s="60">
        <v>102</v>
      </c>
      <c r="E114" s="179" t="s">
        <v>602</v>
      </c>
      <c r="F114" s="180" t="s">
        <v>495</v>
      </c>
      <c r="G114" s="181">
        <v>210</v>
      </c>
      <c r="H114" s="181">
        <f t="shared" si="19"/>
        <v>210</v>
      </c>
      <c r="I114" s="140">
        <f t="shared" si="19"/>
        <v>210</v>
      </c>
      <c r="J114" s="140">
        <f t="shared" si="19"/>
        <v>210</v>
      </c>
      <c r="K114" s="81"/>
      <c r="L114" s="78">
        <f>ROUND(G114*tab!$C$38,2)</f>
        <v>32888.1</v>
      </c>
      <c r="M114" s="78">
        <f>ROUND(H114*tab!$C$38,2)</f>
        <v>32888.1</v>
      </c>
      <c r="N114" s="78">
        <f>ROUND(I114*tab!$C$38,2)</f>
        <v>32888.1</v>
      </c>
      <c r="O114" s="78">
        <f>ROUND(J114*tab!$C$38,2)</f>
        <v>32888.1</v>
      </c>
      <c r="P114" s="81"/>
      <c r="Q114" s="182">
        <v>0</v>
      </c>
      <c r="R114" s="141">
        <f t="shared" si="20"/>
        <v>0</v>
      </c>
      <c r="S114" s="141">
        <f t="shared" si="20"/>
        <v>0</v>
      </c>
      <c r="T114" s="141">
        <f t="shared" si="20"/>
        <v>0</v>
      </c>
      <c r="U114" s="81"/>
      <c r="V114" s="78">
        <f>+G114*tab!$C$57</f>
        <v>1560.3</v>
      </c>
      <c r="W114" s="78">
        <f>+H114*tab!$D$57</f>
        <v>1562.4</v>
      </c>
      <c r="X114" s="78">
        <f>+I114*tab!$D$57</f>
        <v>1562.4</v>
      </c>
      <c r="Y114" s="78">
        <f>+J114*tab!$D$57</f>
        <v>1562.4</v>
      </c>
      <c r="Z114" s="81"/>
      <c r="AA114" s="77">
        <v>0</v>
      </c>
      <c r="AB114" s="182">
        <f t="shared" si="3"/>
        <v>0</v>
      </c>
      <c r="AC114" s="141">
        <f t="shared" si="18"/>
        <v>0</v>
      </c>
      <c r="AD114" s="141">
        <f t="shared" si="18"/>
        <v>0</v>
      </c>
      <c r="AE114" s="102"/>
      <c r="AF114" s="154"/>
    </row>
    <row r="115" spans="2:32" s="134" customFormat="1" x14ac:dyDescent="0.2">
      <c r="B115" s="153"/>
      <c r="C115" s="174"/>
      <c r="D115" s="60">
        <v>103</v>
      </c>
      <c r="E115" s="179" t="s">
        <v>603</v>
      </c>
      <c r="F115" s="180" t="s">
        <v>495</v>
      </c>
      <c r="G115" s="181">
        <v>210</v>
      </c>
      <c r="H115" s="181">
        <f t="shared" si="19"/>
        <v>210</v>
      </c>
      <c r="I115" s="140">
        <f t="shared" si="19"/>
        <v>210</v>
      </c>
      <c r="J115" s="140">
        <f t="shared" si="19"/>
        <v>210</v>
      </c>
      <c r="K115" s="81"/>
      <c r="L115" s="78">
        <f>ROUND(G115*tab!$C$38,2)</f>
        <v>32888.1</v>
      </c>
      <c r="M115" s="78">
        <f>ROUND(H115*tab!$C$38,2)</f>
        <v>32888.1</v>
      </c>
      <c r="N115" s="78">
        <f>ROUND(I115*tab!$C$38,2)</f>
        <v>32888.1</v>
      </c>
      <c r="O115" s="78">
        <f>ROUND(J115*tab!$C$38,2)</f>
        <v>32888.1</v>
      </c>
      <c r="P115" s="81"/>
      <c r="Q115" s="182">
        <v>0</v>
      </c>
      <c r="R115" s="141">
        <f t="shared" si="20"/>
        <v>0</v>
      </c>
      <c r="S115" s="141">
        <f t="shared" si="20"/>
        <v>0</v>
      </c>
      <c r="T115" s="141">
        <f t="shared" si="20"/>
        <v>0</v>
      </c>
      <c r="U115" s="81"/>
      <c r="V115" s="78">
        <f>+G115*tab!$C$57</f>
        <v>1560.3</v>
      </c>
      <c r="W115" s="78">
        <f>+H115*tab!$D$57</f>
        <v>1562.4</v>
      </c>
      <c r="X115" s="78">
        <f>+I115*tab!$D$57</f>
        <v>1562.4</v>
      </c>
      <c r="Y115" s="78">
        <f>+J115*tab!$D$57</f>
        <v>1562.4</v>
      </c>
      <c r="Z115" s="81"/>
      <c r="AA115" s="77">
        <v>0</v>
      </c>
      <c r="AB115" s="182">
        <f t="shared" si="3"/>
        <v>0</v>
      </c>
      <c r="AC115" s="141">
        <f t="shared" si="18"/>
        <v>0</v>
      </c>
      <c r="AD115" s="141">
        <f t="shared" si="18"/>
        <v>0</v>
      </c>
      <c r="AE115" s="102"/>
      <c r="AF115" s="154"/>
    </row>
    <row r="116" spans="2:32" s="134" customFormat="1" x14ac:dyDescent="0.2">
      <c r="B116" s="153"/>
      <c r="C116" s="174"/>
      <c r="D116" s="60">
        <v>104</v>
      </c>
      <c r="E116" s="179" t="s">
        <v>604</v>
      </c>
      <c r="F116" s="180" t="s">
        <v>495</v>
      </c>
      <c r="G116" s="181">
        <v>210</v>
      </c>
      <c r="H116" s="181">
        <f t="shared" si="19"/>
        <v>210</v>
      </c>
      <c r="I116" s="140">
        <f t="shared" si="19"/>
        <v>210</v>
      </c>
      <c r="J116" s="140">
        <f t="shared" si="19"/>
        <v>210</v>
      </c>
      <c r="K116" s="81"/>
      <c r="L116" s="78">
        <f>ROUND(G116*tab!$C$38,2)</f>
        <v>32888.1</v>
      </c>
      <c r="M116" s="78">
        <f>ROUND(H116*tab!$C$38,2)</f>
        <v>32888.1</v>
      </c>
      <c r="N116" s="78">
        <f>ROUND(I116*tab!$C$38,2)</f>
        <v>32888.1</v>
      </c>
      <c r="O116" s="78">
        <f>ROUND(J116*tab!$C$38,2)</f>
        <v>32888.1</v>
      </c>
      <c r="P116" s="81"/>
      <c r="Q116" s="182">
        <v>0</v>
      </c>
      <c r="R116" s="141">
        <f t="shared" si="20"/>
        <v>0</v>
      </c>
      <c r="S116" s="141">
        <f t="shared" si="20"/>
        <v>0</v>
      </c>
      <c r="T116" s="141">
        <f t="shared" si="20"/>
        <v>0</v>
      </c>
      <c r="U116" s="81"/>
      <c r="V116" s="78">
        <f>+G116*tab!$C$57</f>
        <v>1560.3</v>
      </c>
      <c r="W116" s="78">
        <f>+H116*tab!$D$57</f>
        <v>1562.4</v>
      </c>
      <c r="X116" s="78">
        <f>+I116*tab!$D$57</f>
        <v>1562.4</v>
      </c>
      <c r="Y116" s="78">
        <f>+J116*tab!$D$57</f>
        <v>1562.4</v>
      </c>
      <c r="Z116" s="81"/>
      <c r="AA116" s="77">
        <v>0</v>
      </c>
      <c r="AB116" s="182">
        <f t="shared" si="3"/>
        <v>0</v>
      </c>
      <c r="AC116" s="141">
        <f t="shared" si="18"/>
        <v>0</v>
      </c>
      <c r="AD116" s="141">
        <f t="shared" si="18"/>
        <v>0</v>
      </c>
      <c r="AE116" s="102"/>
      <c r="AF116" s="154"/>
    </row>
    <row r="117" spans="2:32" s="134" customFormat="1" x14ac:dyDescent="0.2">
      <c r="B117" s="153"/>
      <c r="C117" s="174"/>
      <c r="D117" s="60">
        <v>105</v>
      </c>
      <c r="E117" s="179" t="s">
        <v>605</v>
      </c>
      <c r="F117" s="180" t="s">
        <v>495</v>
      </c>
      <c r="G117" s="181">
        <v>210</v>
      </c>
      <c r="H117" s="181">
        <f t="shared" si="19"/>
        <v>210</v>
      </c>
      <c r="I117" s="140">
        <f t="shared" si="19"/>
        <v>210</v>
      </c>
      <c r="J117" s="140">
        <f t="shared" si="19"/>
        <v>210</v>
      </c>
      <c r="K117" s="81"/>
      <c r="L117" s="78">
        <f>ROUND(G117*tab!$C$38,2)</f>
        <v>32888.1</v>
      </c>
      <c r="M117" s="78">
        <f>ROUND(H117*tab!$C$38,2)</f>
        <v>32888.1</v>
      </c>
      <c r="N117" s="78">
        <f>ROUND(I117*tab!$C$38,2)</f>
        <v>32888.1</v>
      </c>
      <c r="O117" s="78">
        <f>ROUND(J117*tab!$C$38,2)</f>
        <v>32888.1</v>
      </c>
      <c r="P117" s="81"/>
      <c r="Q117" s="182">
        <v>0</v>
      </c>
      <c r="R117" s="141">
        <f t="shared" si="20"/>
        <v>0</v>
      </c>
      <c r="S117" s="141">
        <f t="shared" si="20"/>
        <v>0</v>
      </c>
      <c r="T117" s="141">
        <f t="shared" si="20"/>
        <v>0</v>
      </c>
      <c r="U117" s="81"/>
      <c r="V117" s="78">
        <f>+G117*tab!$C$57</f>
        <v>1560.3</v>
      </c>
      <c r="W117" s="78">
        <f>+H117*tab!$D$57</f>
        <v>1562.4</v>
      </c>
      <c r="X117" s="78">
        <f>+I117*tab!$D$57</f>
        <v>1562.4</v>
      </c>
      <c r="Y117" s="78">
        <f>+J117*tab!$D$57</f>
        <v>1562.4</v>
      </c>
      <c r="Z117" s="81"/>
      <c r="AA117" s="77">
        <v>0</v>
      </c>
      <c r="AB117" s="182">
        <f t="shared" si="3"/>
        <v>0</v>
      </c>
      <c r="AC117" s="141">
        <f t="shared" si="18"/>
        <v>0</v>
      </c>
      <c r="AD117" s="141">
        <f t="shared" si="18"/>
        <v>0</v>
      </c>
      <c r="AE117" s="102"/>
      <c r="AF117" s="154"/>
    </row>
    <row r="118" spans="2:32" s="134" customFormat="1" x14ac:dyDescent="0.2">
      <c r="B118" s="153"/>
      <c r="C118" s="174"/>
      <c r="D118" s="60">
        <v>106</v>
      </c>
      <c r="E118" s="179" t="s">
        <v>606</v>
      </c>
      <c r="F118" s="180" t="s">
        <v>495</v>
      </c>
      <c r="G118" s="181">
        <v>210</v>
      </c>
      <c r="H118" s="181">
        <f t="shared" si="19"/>
        <v>210</v>
      </c>
      <c r="I118" s="140">
        <f t="shared" si="19"/>
        <v>210</v>
      </c>
      <c r="J118" s="140">
        <f t="shared" si="19"/>
        <v>210</v>
      </c>
      <c r="K118" s="81"/>
      <c r="L118" s="78">
        <f>ROUND(G118*tab!$C$38,2)</f>
        <v>32888.1</v>
      </c>
      <c r="M118" s="78">
        <f>ROUND(H118*tab!$C$38,2)</f>
        <v>32888.1</v>
      </c>
      <c r="N118" s="78">
        <f>ROUND(I118*tab!$C$38,2)</f>
        <v>32888.1</v>
      </c>
      <c r="O118" s="78">
        <f>ROUND(J118*tab!$C$38,2)</f>
        <v>32888.1</v>
      </c>
      <c r="P118" s="81"/>
      <c r="Q118" s="182">
        <v>0</v>
      </c>
      <c r="R118" s="141">
        <f t="shared" si="20"/>
        <v>0</v>
      </c>
      <c r="S118" s="141">
        <f t="shared" si="20"/>
        <v>0</v>
      </c>
      <c r="T118" s="141">
        <f t="shared" si="20"/>
        <v>0</v>
      </c>
      <c r="U118" s="81"/>
      <c r="V118" s="78">
        <f>+G118*tab!$C$57</f>
        <v>1560.3</v>
      </c>
      <c r="W118" s="78">
        <f>+H118*tab!$D$57</f>
        <v>1562.4</v>
      </c>
      <c r="X118" s="78">
        <f>+I118*tab!$D$57</f>
        <v>1562.4</v>
      </c>
      <c r="Y118" s="78">
        <f>+J118*tab!$D$57</f>
        <v>1562.4</v>
      </c>
      <c r="Z118" s="81"/>
      <c r="AA118" s="77">
        <v>0</v>
      </c>
      <c r="AB118" s="182">
        <f t="shared" si="3"/>
        <v>0</v>
      </c>
      <c r="AC118" s="141">
        <f t="shared" si="18"/>
        <v>0</v>
      </c>
      <c r="AD118" s="141">
        <f t="shared" si="18"/>
        <v>0</v>
      </c>
      <c r="AE118" s="102"/>
      <c r="AF118" s="154"/>
    </row>
    <row r="119" spans="2:32" s="134" customFormat="1" x14ac:dyDescent="0.2">
      <c r="B119" s="153"/>
      <c r="C119" s="174"/>
      <c r="D119" s="60">
        <v>107</v>
      </c>
      <c r="E119" s="179" t="s">
        <v>607</v>
      </c>
      <c r="F119" s="180" t="s">
        <v>495</v>
      </c>
      <c r="G119" s="181">
        <v>210</v>
      </c>
      <c r="H119" s="181">
        <f t="shared" si="19"/>
        <v>210</v>
      </c>
      <c r="I119" s="140">
        <f t="shared" si="19"/>
        <v>210</v>
      </c>
      <c r="J119" s="140">
        <f t="shared" si="19"/>
        <v>210</v>
      </c>
      <c r="K119" s="81"/>
      <c r="L119" s="78">
        <f>ROUND(G119*tab!$C$38,2)</f>
        <v>32888.1</v>
      </c>
      <c r="M119" s="78">
        <f>ROUND(H119*tab!$C$38,2)</f>
        <v>32888.1</v>
      </c>
      <c r="N119" s="78">
        <f>ROUND(I119*tab!$C$38,2)</f>
        <v>32888.1</v>
      </c>
      <c r="O119" s="78">
        <f>ROUND(J119*tab!$C$38,2)</f>
        <v>32888.1</v>
      </c>
      <c r="P119" s="81"/>
      <c r="Q119" s="182">
        <v>0</v>
      </c>
      <c r="R119" s="141">
        <f t="shared" si="20"/>
        <v>0</v>
      </c>
      <c r="S119" s="141">
        <f t="shared" si="20"/>
        <v>0</v>
      </c>
      <c r="T119" s="141">
        <f t="shared" si="20"/>
        <v>0</v>
      </c>
      <c r="U119" s="81"/>
      <c r="V119" s="78">
        <f>+G119*tab!$C$57</f>
        <v>1560.3</v>
      </c>
      <c r="W119" s="78">
        <f>+H119*tab!$D$57</f>
        <v>1562.4</v>
      </c>
      <c r="X119" s="78">
        <f>+I119*tab!$D$57</f>
        <v>1562.4</v>
      </c>
      <c r="Y119" s="78">
        <f>+J119*tab!$D$57</f>
        <v>1562.4</v>
      </c>
      <c r="Z119" s="81"/>
      <c r="AA119" s="77">
        <v>0</v>
      </c>
      <c r="AB119" s="182">
        <f t="shared" si="3"/>
        <v>0</v>
      </c>
      <c r="AC119" s="141">
        <f t="shared" si="18"/>
        <v>0</v>
      </c>
      <c r="AD119" s="141">
        <f t="shared" si="18"/>
        <v>0</v>
      </c>
      <c r="AE119" s="102"/>
      <c r="AF119" s="154"/>
    </row>
    <row r="120" spans="2:32" s="134" customFormat="1" x14ac:dyDescent="0.2">
      <c r="B120" s="153"/>
      <c r="C120" s="174"/>
      <c r="D120" s="60">
        <v>108</v>
      </c>
      <c r="E120" s="179" t="s">
        <v>608</v>
      </c>
      <c r="F120" s="180" t="s">
        <v>495</v>
      </c>
      <c r="G120" s="181">
        <v>210</v>
      </c>
      <c r="H120" s="181">
        <f t="shared" si="19"/>
        <v>210</v>
      </c>
      <c r="I120" s="140">
        <f t="shared" si="19"/>
        <v>210</v>
      </c>
      <c r="J120" s="140">
        <f t="shared" si="19"/>
        <v>210</v>
      </c>
      <c r="K120" s="81"/>
      <c r="L120" s="78">
        <f>ROUND(G120*tab!$C$38,2)</f>
        <v>32888.1</v>
      </c>
      <c r="M120" s="78">
        <f>ROUND(H120*tab!$C$38,2)</f>
        <v>32888.1</v>
      </c>
      <c r="N120" s="78">
        <f>ROUND(I120*tab!$C$38,2)</f>
        <v>32888.1</v>
      </c>
      <c r="O120" s="78">
        <f>ROUND(J120*tab!$C$38,2)</f>
        <v>32888.1</v>
      </c>
      <c r="P120" s="81"/>
      <c r="Q120" s="182">
        <v>0</v>
      </c>
      <c r="R120" s="141">
        <f t="shared" si="20"/>
        <v>0</v>
      </c>
      <c r="S120" s="141">
        <f t="shared" si="20"/>
        <v>0</v>
      </c>
      <c r="T120" s="141">
        <f t="shared" si="20"/>
        <v>0</v>
      </c>
      <c r="U120" s="81"/>
      <c r="V120" s="78">
        <f>+G120*tab!$C$57</f>
        <v>1560.3</v>
      </c>
      <c r="W120" s="78">
        <f>+H120*tab!$D$57</f>
        <v>1562.4</v>
      </c>
      <c r="X120" s="78">
        <f>+I120*tab!$D$57</f>
        <v>1562.4</v>
      </c>
      <c r="Y120" s="78">
        <f>+J120*tab!$D$57</f>
        <v>1562.4</v>
      </c>
      <c r="Z120" s="81"/>
      <c r="AA120" s="77">
        <v>0</v>
      </c>
      <c r="AB120" s="182">
        <f t="shared" si="3"/>
        <v>0</v>
      </c>
      <c r="AC120" s="141">
        <f t="shared" si="18"/>
        <v>0</v>
      </c>
      <c r="AD120" s="141">
        <f t="shared" si="18"/>
        <v>0</v>
      </c>
      <c r="AE120" s="102"/>
      <c r="AF120" s="154"/>
    </row>
    <row r="121" spans="2:32" s="134" customFormat="1" x14ac:dyDescent="0.2">
      <c r="B121" s="153"/>
      <c r="C121" s="174"/>
      <c r="D121" s="60">
        <v>109</v>
      </c>
      <c r="E121" s="179" t="s">
        <v>609</v>
      </c>
      <c r="F121" s="180" t="s">
        <v>495</v>
      </c>
      <c r="G121" s="181">
        <v>210</v>
      </c>
      <c r="H121" s="181">
        <f t="shared" si="19"/>
        <v>210</v>
      </c>
      <c r="I121" s="140">
        <f t="shared" si="19"/>
        <v>210</v>
      </c>
      <c r="J121" s="140">
        <f t="shared" si="19"/>
        <v>210</v>
      </c>
      <c r="K121" s="81"/>
      <c r="L121" s="78">
        <f>ROUND(G121*tab!$C$38,2)</f>
        <v>32888.1</v>
      </c>
      <c r="M121" s="78">
        <f>ROUND(H121*tab!$C$38,2)</f>
        <v>32888.1</v>
      </c>
      <c r="N121" s="78">
        <f>ROUND(I121*tab!$C$38,2)</f>
        <v>32888.1</v>
      </c>
      <c r="O121" s="78">
        <f>ROUND(J121*tab!$C$38,2)</f>
        <v>32888.1</v>
      </c>
      <c r="P121" s="81"/>
      <c r="Q121" s="182">
        <v>0</v>
      </c>
      <c r="R121" s="141">
        <f t="shared" si="20"/>
        <v>0</v>
      </c>
      <c r="S121" s="141">
        <f t="shared" si="20"/>
        <v>0</v>
      </c>
      <c r="T121" s="141">
        <f t="shared" si="20"/>
        <v>0</v>
      </c>
      <c r="U121" s="81"/>
      <c r="V121" s="78">
        <f>+G121*tab!$C$57</f>
        <v>1560.3</v>
      </c>
      <c r="W121" s="78">
        <f>+H121*tab!$D$57</f>
        <v>1562.4</v>
      </c>
      <c r="X121" s="78">
        <f>+I121*tab!$D$57</f>
        <v>1562.4</v>
      </c>
      <c r="Y121" s="78">
        <f>+J121*tab!$D$57</f>
        <v>1562.4</v>
      </c>
      <c r="Z121" s="81"/>
      <c r="AA121" s="77">
        <v>0</v>
      </c>
      <c r="AB121" s="182">
        <f t="shared" si="3"/>
        <v>0</v>
      </c>
      <c r="AC121" s="141">
        <f t="shared" si="18"/>
        <v>0</v>
      </c>
      <c r="AD121" s="141">
        <f t="shared" si="18"/>
        <v>0</v>
      </c>
      <c r="AE121" s="102"/>
      <c r="AF121" s="154"/>
    </row>
    <row r="122" spans="2:32" s="134" customFormat="1" x14ac:dyDescent="0.2">
      <c r="B122" s="153"/>
      <c r="C122" s="174"/>
      <c r="D122" s="60">
        <v>110</v>
      </c>
      <c r="E122" s="179" t="s">
        <v>610</v>
      </c>
      <c r="F122" s="180" t="s">
        <v>495</v>
      </c>
      <c r="G122" s="181">
        <v>210</v>
      </c>
      <c r="H122" s="181">
        <f t="shared" si="19"/>
        <v>210</v>
      </c>
      <c r="I122" s="140">
        <f t="shared" si="19"/>
        <v>210</v>
      </c>
      <c r="J122" s="140">
        <f t="shared" si="19"/>
        <v>210</v>
      </c>
      <c r="K122" s="81"/>
      <c r="L122" s="78">
        <f>ROUND(G122*tab!$C$38,2)</f>
        <v>32888.1</v>
      </c>
      <c r="M122" s="78">
        <f>ROUND(H122*tab!$C$38,2)</f>
        <v>32888.1</v>
      </c>
      <c r="N122" s="78">
        <f>ROUND(I122*tab!$C$38,2)</f>
        <v>32888.1</v>
      </c>
      <c r="O122" s="78">
        <f>ROUND(J122*tab!$C$38,2)</f>
        <v>32888.1</v>
      </c>
      <c r="P122" s="81"/>
      <c r="Q122" s="182">
        <v>0</v>
      </c>
      <c r="R122" s="141">
        <f t="shared" si="20"/>
        <v>0</v>
      </c>
      <c r="S122" s="141">
        <f t="shared" si="20"/>
        <v>0</v>
      </c>
      <c r="T122" s="141">
        <f t="shared" si="20"/>
        <v>0</v>
      </c>
      <c r="U122" s="81"/>
      <c r="V122" s="78">
        <f>+G122*tab!$C$57</f>
        <v>1560.3</v>
      </c>
      <c r="W122" s="78">
        <f>+H122*tab!$D$57</f>
        <v>1562.4</v>
      </c>
      <c r="X122" s="78">
        <f>+I122*tab!$D$57</f>
        <v>1562.4</v>
      </c>
      <c r="Y122" s="78">
        <f>+J122*tab!$D$57</f>
        <v>1562.4</v>
      </c>
      <c r="Z122" s="81"/>
      <c r="AA122" s="77">
        <v>0</v>
      </c>
      <c r="AB122" s="182">
        <f t="shared" si="3"/>
        <v>0</v>
      </c>
      <c r="AC122" s="141">
        <f t="shared" si="18"/>
        <v>0</v>
      </c>
      <c r="AD122" s="141">
        <f t="shared" si="18"/>
        <v>0</v>
      </c>
      <c r="AE122" s="102"/>
      <c r="AF122" s="154"/>
    </row>
    <row r="123" spans="2:32" s="134" customFormat="1" x14ac:dyDescent="0.2">
      <c r="B123" s="153"/>
      <c r="C123" s="174"/>
      <c r="D123" s="60">
        <v>111</v>
      </c>
      <c r="E123" s="179" t="s">
        <v>611</v>
      </c>
      <c r="F123" s="180" t="s">
        <v>495</v>
      </c>
      <c r="G123" s="181">
        <v>210</v>
      </c>
      <c r="H123" s="181">
        <f t="shared" si="19"/>
        <v>210</v>
      </c>
      <c r="I123" s="140">
        <f t="shared" si="19"/>
        <v>210</v>
      </c>
      <c r="J123" s="140">
        <f t="shared" si="19"/>
        <v>210</v>
      </c>
      <c r="K123" s="81"/>
      <c r="L123" s="78">
        <f>ROUND(G123*tab!$C$38,2)</f>
        <v>32888.1</v>
      </c>
      <c r="M123" s="78">
        <f>ROUND(H123*tab!$C$38,2)</f>
        <v>32888.1</v>
      </c>
      <c r="N123" s="78">
        <f>ROUND(I123*tab!$C$38,2)</f>
        <v>32888.1</v>
      </c>
      <c r="O123" s="78">
        <f>ROUND(J123*tab!$C$38,2)</f>
        <v>32888.1</v>
      </c>
      <c r="P123" s="81"/>
      <c r="Q123" s="182">
        <v>0</v>
      </c>
      <c r="R123" s="141">
        <f t="shared" si="20"/>
        <v>0</v>
      </c>
      <c r="S123" s="141">
        <f t="shared" si="20"/>
        <v>0</v>
      </c>
      <c r="T123" s="141">
        <f t="shared" si="20"/>
        <v>0</v>
      </c>
      <c r="U123" s="81"/>
      <c r="V123" s="78">
        <f>+G123*tab!$C$57</f>
        <v>1560.3</v>
      </c>
      <c r="W123" s="78">
        <f>+H123*tab!$D$57</f>
        <v>1562.4</v>
      </c>
      <c r="X123" s="78">
        <f>+I123*tab!$D$57</f>
        <v>1562.4</v>
      </c>
      <c r="Y123" s="78">
        <f>+J123*tab!$D$57</f>
        <v>1562.4</v>
      </c>
      <c r="Z123" s="81"/>
      <c r="AA123" s="77">
        <v>0</v>
      </c>
      <c r="AB123" s="182">
        <f t="shared" si="3"/>
        <v>0</v>
      </c>
      <c r="AC123" s="141">
        <f t="shared" si="18"/>
        <v>0</v>
      </c>
      <c r="AD123" s="141">
        <f t="shared" si="18"/>
        <v>0</v>
      </c>
      <c r="AE123" s="102"/>
      <c r="AF123" s="154"/>
    </row>
    <row r="124" spans="2:32" s="134" customFormat="1" x14ac:dyDescent="0.2">
      <c r="B124" s="153"/>
      <c r="C124" s="174"/>
      <c r="D124" s="60">
        <v>112</v>
      </c>
      <c r="E124" s="179" t="s">
        <v>612</v>
      </c>
      <c r="F124" s="180" t="s">
        <v>495</v>
      </c>
      <c r="G124" s="181">
        <v>210</v>
      </c>
      <c r="H124" s="181">
        <f t="shared" si="19"/>
        <v>210</v>
      </c>
      <c r="I124" s="140">
        <f t="shared" si="19"/>
        <v>210</v>
      </c>
      <c r="J124" s="140">
        <f t="shared" si="19"/>
        <v>210</v>
      </c>
      <c r="K124" s="81"/>
      <c r="L124" s="78">
        <f>ROUND(G124*tab!$C$38,2)</f>
        <v>32888.1</v>
      </c>
      <c r="M124" s="78">
        <f>ROUND(H124*tab!$C$38,2)</f>
        <v>32888.1</v>
      </c>
      <c r="N124" s="78">
        <f>ROUND(I124*tab!$C$38,2)</f>
        <v>32888.1</v>
      </c>
      <c r="O124" s="78">
        <f>ROUND(J124*tab!$C$38,2)</f>
        <v>32888.1</v>
      </c>
      <c r="P124" s="81"/>
      <c r="Q124" s="182">
        <v>0</v>
      </c>
      <c r="R124" s="141">
        <f t="shared" si="20"/>
        <v>0</v>
      </c>
      <c r="S124" s="141">
        <f t="shared" si="20"/>
        <v>0</v>
      </c>
      <c r="T124" s="141">
        <f t="shared" si="20"/>
        <v>0</v>
      </c>
      <c r="U124" s="81"/>
      <c r="V124" s="78">
        <f>+G124*tab!$C$57</f>
        <v>1560.3</v>
      </c>
      <c r="W124" s="78">
        <f>+H124*tab!$D$57</f>
        <v>1562.4</v>
      </c>
      <c r="X124" s="78">
        <f>+I124*tab!$D$57</f>
        <v>1562.4</v>
      </c>
      <c r="Y124" s="78">
        <f>+J124*tab!$D$57</f>
        <v>1562.4</v>
      </c>
      <c r="Z124" s="81"/>
      <c r="AA124" s="77">
        <v>0</v>
      </c>
      <c r="AB124" s="182">
        <f t="shared" si="3"/>
        <v>0</v>
      </c>
      <c r="AC124" s="141">
        <f t="shared" si="18"/>
        <v>0</v>
      </c>
      <c r="AD124" s="141">
        <f t="shared" si="18"/>
        <v>0</v>
      </c>
      <c r="AE124" s="102"/>
      <c r="AF124" s="154"/>
    </row>
    <row r="125" spans="2:32" s="134" customFormat="1" x14ac:dyDescent="0.2">
      <c r="B125" s="153"/>
      <c r="C125" s="174"/>
      <c r="D125" s="60">
        <v>113</v>
      </c>
      <c r="E125" s="179" t="s">
        <v>613</v>
      </c>
      <c r="F125" s="180" t="s">
        <v>495</v>
      </c>
      <c r="G125" s="181">
        <v>210</v>
      </c>
      <c r="H125" s="181">
        <f t="shared" si="19"/>
        <v>210</v>
      </c>
      <c r="I125" s="140">
        <f t="shared" si="19"/>
        <v>210</v>
      </c>
      <c r="J125" s="140">
        <f t="shared" si="19"/>
        <v>210</v>
      </c>
      <c r="K125" s="81"/>
      <c r="L125" s="78">
        <f>ROUND(G125*tab!$C$38,2)</f>
        <v>32888.1</v>
      </c>
      <c r="M125" s="78">
        <f>ROUND(H125*tab!$C$38,2)</f>
        <v>32888.1</v>
      </c>
      <c r="N125" s="78">
        <f>ROUND(I125*tab!$C$38,2)</f>
        <v>32888.1</v>
      </c>
      <c r="O125" s="78">
        <f>ROUND(J125*tab!$C$38,2)</f>
        <v>32888.1</v>
      </c>
      <c r="P125" s="81"/>
      <c r="Q125" s="182">
        <v>0</v>
      </c>
      <c r="R125" s="141">
        <f t="shared" si="20"/>
        <v>0</v>
      </c>
      <c r="S125" s="141">
        <f t="shared" si="20"/>
        <v>0</v>
      </c>
      <c r="T125" s="141">
        <f t="shared" si="20"/>
        <v>0</v>
      </c>
      <c r="U125" s="81"/>
      <c r="V125" s="78">
        <f>+G125*tab!$C$57</f>
        <v>1560.3</v>
      </c>
      <c r="W125" s="78">
        <f>+H125*tab!$D$57</f>
        <v>1562.4</v>
      </c>
      <c r="X125" s="78">
        <f>+I125*tab!$D$57</f>
        <v>1562.4</v>
      </c>
      <c r="Y125" s="78">
        <f>+J125*tab!$D$57</f>
        <v>1562.4</v>
      </c>
      <c r="Z125" s="81"/>
      <c r="AA125" s="77">
        <v>0</v>
      </c>
      <c r="AB125" s="182">
        <f t="shared" si="3"/>
        <v>0</v>
      </c>
      <c r="AC125" s="141">
        <f t="shared" si="18"/>
        <v>0</v>
      </c>
      <c r="AD125" s="141">
        <f t="shared" si="18"/>
        <v>0</v>
      </c>
      <c r="AE125" s="102"/>
      <c r="AF125" s="154"/>
    </row>
    <row r="126" spans="2:32" s="134" customFormat="1" x14ac:dyDescent="0.2">
      <c r="B126" s="153"/>
      <c r="C126" s="174"/>
      <c r="D126" s="60">
        <v>114</v>
      </c>
      <c r="E126" s="179" t="s">
        <v>614</v>
      </c>
      <c r="F126" s="180" t="s">
        <v>495</v>
      </c>
      <c r="G126" s="181">
        <v>210</v>
      </c>
      <c r="H126" s="181">
        <f t="shared" si="19"/>
        <v>210</v>
      </c>
      <c r="I126" s="140">
        <f t="shared" si="19"/>
        <v>210</v>
      </c>
      <c r="J126" s="140">
        <f t="shared" si="19"/>
        <v>210</v>
      </c>
      <c r="K126" s="81"/>
      <c r="L126" s="78">
        <f>ROUND(G126*tab!$C$38,2)</f>
        <v>32888.1</v>
      </c>
      <c r="M126" s="78">
        <f>ROUND(H126*tab!$C$38,2)</f>
        <v>32888.1</v>
      </c>
      <c r="N126" s="78">
        <f>ROUND(I126*tab!$C$38,2)</f>
        <v>32888.1</v>
      </c>
      <c r="O126" s="78">
        <f>ROUND(J126*tab!$C$38,2)</f>
        <v>32888.1</v>
      </c>
      <c r="P126" s="81"/>
      <c r="Q126" s="182">
        <v>0</v>
      </c>
      <c r="R126" s="141">
        <f t="shared" si="20"/>
        <v>0</v>
      </c>
      <c r="S126" s="141">
        <f t="shared" si="20"/>
        <v>0</v>
      </c>
      <c r="T126" s="141">
        <f t="shared" si="20"/>
        <v>0</v>
      </c>
      <c r="U126" s="81"/>
      <c r="V126" s="78">
        <f>+G126*tab!$C$57</f>
        <v>1560.3</v>
      </c>
      <c r="W126" s="78">
        <f>+H126*tab!$D$57</f>
        <v>1562.4</v>
      </c>
      <c r="X126" s="78">
        <f>+I126*tab!$D$57</f>
        <v>1562.4</v>
      </c>
      <c r="Y126" s="78">
        <f>+J126*tab!$D$57</f>
        <v>1562.4</v>
      </c>
      <c r="Z126" s="81"/>
      <c r="AA126" s="77">
        <v>0</v>
      </c>
      <c r="AB126" s="182">
        <f t="shared" si="3"/>
        <v>0</v>
      </c>
      <c r="AC126" s="141">
        <f t="shared" ref="AC126:AD137" si="21">AB126</f>
        <v>0</v>
      </c>
      <c r="AD126" s="141">
        <f t="shared" si="21"/>
        <v>0</v>
      </c>
      <c r="AE126" s="102"/>
      <c r="AF126" s="154"/>
    </row>
    <row r="127" spans="2:32" s="134" customFormat="1" x14ac:dyDescent="0.2">
      <c r="B127" s="153"/>
      <c r="C127" s="174"/>
      <c r="D127" s="60">
        <v>115</v>
      </c>
      <c r="E127" s="179" t="s">
        <v>615</v>
      </c>
      <c r="F127" s="180" t="s">
        <v>495</v>
      </c>
      <c r="G127" s="181">
        <v>210</v>
      </c>
      <c r="H127" s="181">
        <f t="shared" si="19"/>
        <v>210</v>
      </c>
      <c r="I127" s="140">
        <f t="shared" si="19"/>
        <v>210</v>
      </c>
      <c r="J127" s="140">
        <f t="shared" si="19"/>
        <v>210</v>
      </c>
      <c r="K127" s="81"/>
      <c r="L127" s="78">
        <f>ROUND(G127*tab!$C$38,2)</f>
        <v>32888.1</v>
      </c>
      <c r="M127" s="78">
        <f>ROUND(H127*tab!$C$38,2)</f>
        <v>32888.1</v>
      </c>
      <c r="N127" s="78">
        <f>ROUND(I127*tab!$C$38,2)</f>
        <v>32888.1</v>
      </c>
      <c r="O127" s="78">
        <f>ROUND(J127*tab!$C$38,2)</f>
        <v>32888.1</v>
      </c>
      <c r="P127" s="81"/>
      <c r="Q127" s="182">
        <v>0</v>
      </c>
      <c r="R127" s="141">
        <f t="shared" si="20"/>
        <v>0</v>
      </c>
      <c r="S127" s="141">
        <f t="shared" si="20"/>
        <v>0</v>
      </c>
      <c r="T127" s="141">
        <f t="shared" si="20"/>
        <v>0</v>
      </c>
      <c r="U127" s="81"/>
      <c r="V127" s="78">
        <f>+G127*tab!$C$57</f>
        <v>1560.3</v>
      </c>
      <c r="W127" s="78">
        <f>+H127*tab!$D$57</f>
        <v>1562.4</v>
      </c>
      <c r="X127" s="78">
        <f>+I127*tab!$D$57</f>
        <v>1562.4</v>
      </c>
      <c r="Y127" s="78">
        <f>+J127*tab!$D$57</f>
        <v>1562.4</v>
      </c>
      <c r="Z127" s="81"/>
      <c r="AA127" s="77">
        <v>0</v>
      </c>
      <c r="AB127" s="182">
        <f t="shared" si="3"/>
        <v>0</v>
      </c>
      <c r="AC127" s="141">
        <f t="shared" si="21"/>
        <v>0</v>
      </c>
      <c r="AD127" s="141">
        <f t="shared" si="21"/>
        <v>0</v>
      </c>
      <c r="AE127" s="102"/>
      <c r="AF127" s="154"/>
    </row>
    <row r="128" spans="2:32" s="134" customFormat="1" x14ac:dyDescent="0.2">
      <c r="B128" s="153"/>
      <c r="C128" s="174"/>
      <c r="D128" s="60">
        <v>116</v>
      </c>
      <c r="E128" s="179" t="s">
        <v>616</v>
      </c>
      <c r="F128" s="180" t="s">
        <v>495</v>
      </c>
      <c r="G128" s="181">
        <v>210</v>
      </c>
      <c r="H128" s="181">
        <f t="shared" si="19"/>
        <v>210</v>
      </c>
      <c r="I128" s="140">
        <f t="shared" si="19"/>
        <v>210</v>
      </c>
      <c r="J128" s="140">
        <f t="shared" si="19"/>
        <v>210</v>
      </c>
      <c r="K128" s="81"/>
      <c r="L128" s="78">
        <f>ROUND(G128*tab!$C$38,2)</f>
        <v>32888.1</v>
      </c>
      <c r="M128" s="78">
        <f>ROUND(H128*tab!$C$38,2)</f>
        <v>32888.1</v>
      </c>
      <c r="N128" s="78">
        <f>ROUND(I128*tab!$C$38,2)</f>
        <v>32888.1</v>
      </c>
      <c r="O128" s="78">
        <f>ROUND(J128*tab!$C$38,2)</f>
        <v>32888.1</v>
      </c>
      <c r="P128" s="81"/>
      <c r="Q128" s="182">
        <v>0</v>
      </c>
      <c r="R128" s="141">
        <f t="shared" si="20"/>
        <v>0</v>
      </c>
      <c r="S128" s="141">
        <f t="shared" si="20"/>
        <v>0</v>
      </c>
      <c r="T128" s="141">
        <f t="shared" si="20"/>
        <v>0</v>
      </c>
      <c r="U128" s="81"/>
      <c r="V128" s="78">
        <f>+G128*tab!$C$57</f>
        <v>1560.3</v>
      </c>
      <c r="W128" s="78">
        <f>+H128*tab!$D$57</f>
        <v>1562.4</v>
      </c>
      <c r="X128" s="78">
        <f>+I128*tab!$D$57</f>
        <v>1562.4</v>
      </c>
      <c r="Y128" s="78">
        <f>+J128*tab!$D$57</f>
        <v>1562.4</v>
      </c>
      <c r="Z128" s="81"/>
      <c r="AA128" s="77">
        <v>0</v>
      </c>
      <c r="AB128" s="182">
        <f t="shared" ref="AB128:AB137" si="22">AA128*7/12</f>
        <v>0</v>
      </c>
      <c r="AC128" s="141">
        <f t="shared" si="21"/>
        <v>0</v>
      </c>
      <c r="AD128" s="141">
        <f t="shared" si="21"/>
        <v>0</v>
      </c>
      <c r="AE128" s="102"/>
      <c r="AF128" s="154"/>
    </row>
    <row r="129" spans="2:32" s="134" customFormat="1" x14ac:dyDescent="0.2">
      <c r="B129" s="153"/>
      <c r="C129" s="174"/>
      <c r="D129" s="60">
        <v>117</v>
      </c>
      <c r="E129" s="179" t="s">
        <v>617</v>
      </c>
      <c r="F129" s="180" t="s">
        <v>495</v>
      </c>
      <c r="G129" s="181">
        <v>210</v>
      </c>
      <c r="H129" s="181">
        <f t="shared" si="19"/>
        <v>210</v>
      </c>
      <c r="I129" s="140">
        <f t="shared" si="19"/>
        <v>210</v>
      </c>
      <c r="J129" s="140">
        <f t="shared" si="19"/>
        <v>210</v>
      </c>
      <c r="K129" s="81"/>
      <c r="L129" s="78">
        <f>ROUND(G129*tab!$C$38,2)</f>
        <v>32888.1</v>
      </c>
      <c r="M129" s="78">
        <f>ROUND(H129*tab!$C$38,2)</f>
        <v>32888.1</v>
      </c>
      <c r="N129" s="78">
        <f>ROUND(I129*tab!$C$38,2)</f>
        <v>32888.1</v>
      </c>
      <c r="O129" s="78">
        <f>ROUND(J129*tab!$C$38,2)</f>
        <v>32888.1</v>
      </c>
      <c r="P129" s="81"/>
      <c r="Q129" s="182">
        <v>0</v>
      </c>
      <c r="R129" s="141">
        <f t="shared" si="20"/>
        <v>0</v>
      </c>
      <c r="S129" s="141">
        <f t="shared" si="20"/>
        <v>0</v>
      </c>
      <c r="T129" s="141">
        <f t="shared" si="20"/>
        <v>0</v>
      </c>
      <c r="U129" s="81"/>
      <c r="V129" s="78">
        <f>+G129*tab!$C$57</f>
        <v>1560.3</v>
      </c>
      <c r="W129" s="78">
        <f>+H129*tab!$D$57</f>
        <v>1562.4</v>
      </c>
      <c r="X129" s="78">
        <f>+I129*tab!$D$57</f>
        <v>1562.4</v>
      </c>
      <c r="Y129" s="78">
        <f>+J129*tab!$D$57</f>
        <v>1562.4</v>
      </c>
      <c r="Z129" s="81"/>
      <c r="AA129" s="77">
        <v>0</v>
      </c>
      <c r="AB129" s="182">
        <f t="shared" si="22"/>
        <v>0</v>
      </c>
      <c r="AC129" s="141">
        <f t="shared" si="21"/>
        <v>0</v>
      </c>
      <c r="AD129" s="141">
        <f t="shared" si="21"/>
        <v>0</v>
      </c>
      <c r="AE129" s="102"/>
      <c r="AF129" s="154"/>
    </row>
    <row r="130" spans="2:32" s="134" customFormat="1" x14ac:dyDescent="0.2">
      <c r="B130" s="153"/>
      <c r="C130" s="174"/>
      <c r="D130" s="60">
        <v>118</v>
      </c>
      <c r="E130" s="179" t="s">
        <v>618</v>
      </c>
      <c r="F130" s="180" t="s">
        <v>495</v>
      </c>
      <c r="G130" s="181">
        <v>210</v>
      </c>
      <c r="H130" s="181">
        <f t="shared" si="19"/>
        <v>210</v>
      </c>
      <c r="I130" s="140">
        <f t="shared" si="19"/>
        <v>210</v>
      </c>
      <c r="J130" s="140">
        <f t="shared" si="19"/>
        <v>210</v>
      </c>
      <c r="K130" s="81"/>
      <c r="L130" s="78">
        <f>ROUND(G130*tab!$C$38,2)</f>
        <v>32888.1</v>
      </c>
      <c r="M130" s="78">
        <f>ROUND(H130*tab!$C$38,2)</f>
        <v>32888.1</v>
      </c>
      <c r="N130" s="78">
        <f>ROUND(I130*tab!$C$38,2)</f>
        <v>32888.1</v>
      </c>
      <c r="O130" s="78">
        <f>ROUND(J130*tab!$C$38,2)</f>
        <v>32888.1</v>
      </c>
      <c r="P130" s="81"/>
      <c r="Q130" s="182">
        <v>0</v>
      </c>
      <c r="R130" s="141">
        <f t="shared" si="20"/>
        <v>0</v>
      </c>
      <c r="S130" s="141">
        <f t="shared" si="20"/>
        <v>0</v>
      </c>
      <c r="T130" s="141">
        <f t="shared" si="20"/>
        <v>0</v>
      </c>
      <c r="U130" s="81"/>
      <c r="V130" s="78">
        <f>+G130*tab!$C$57</f>
        <v>1560.3</v>
      </c>
      <c r="W130" s="78">
        <f>+H130*tab!$D$57</f>
        <v>1562.4</v>
      </c>
      <c r="X130" s="78">
        <f>+I130*tab!$D$57</f>
        <v>1562.4</v>
      </c>
      <c r="Y130" s="78">
        <f>+J130*tab!$D$57</f>
        <v>1562.4</v>
      </c>
      <c r="Z130" s="81"/>
      <c r="AA130" s="77">
        <v>0</v>
      </c>
      <c r="AB130" s="182">
        <f t="shared" si="22"/>
        <v>0</v>
      </c>
      <c r="AC130" s="141">
        <f t="shared" si="21"/>
        <v>0</v>
      </c>
      <c r="AD130" s="141">
        <f t="shared" si="21"/>
        <v>0</v>
      </c>
      <c r="AE130" s="102"/>
      <c r="AF130" s="154"/>
    </row>
    <row r="131" spans="2:32" s="134" customFormat="1" x14ac:dyDescent="0.2">
      <c r="B131" s="153"/>
      <c r="C131" s="174"/>
      <c r="D131" s="60">
        <v>119</v>
      </c>
      <c r="E131" s="179" t="s">
        <v>619</v>
      </c>
      <c r="F131" s="180" t="s">
        <v>495</v>
      </c>
      <c r="G131" s="181">
        <v>210</v>
      </c>
      <c r="H131" s="181">
        <f t="shared" si="19"/>
        <v>210</v>
      </c>
      <c r="I131" s="140">
        <f t="shared" si="19"/>
        <v>210</v>
      </c>
      <c r="J131" s="140">
        <f t="shared" si="19"/>
        <v>210</v>
      </c>
      <c r="K131" s="81"/>
      <c r="L131" s="78">
        <f>ROUND(G131*tab!$C$38,2)</f>
        <v>32888.1</v>
      </c>
      <c r="M131" s="78">
        <f>ROUND(H131*tab!$C$38,2)</f>
        <v>32888.1</v>
      </c>
      <c r="N131" s="78">
        <f>ROUND(I131*tab!$C$38,2)</f>
        <v>32888.1</v>
      </c>
      <c r="O131" s="78">
        <f>ROUND(J131*tab!$C$38,2)</f>
        <v>32888.1</v>
      </c>
      <c r="P131" s="81"/>
      <c r="Q131" s="182">
        <v>0</v>
      </c>
      <c r="R131" s="141">
        <f t="shared" si="20"/>
        <v>0</v>
      </c>
      <c r="S131" s="141">
        <f t="shared" si="20"/>
        <v>0</v>
      </c>
      <c r="T131" s="141">
        <f t="shared" si="20"/>
        <v>0</v>
      </c>
      <c r="U131" s="81"/>
      <c r="V131" s="78">
        <f>+G131*tab!$C$57</f>
        <v>1560.3</v>
      </c>
      <c r="W131" s="78">
        <f>+H131*tab!$D$57</f>
        <v>1562.4</v>
      </c>
      <c r="X131" s="78">
        <f>+I131*tab!$D$57</f>
        <v>1562.4</v>
      </c>
      <c r="Y131" s="78">
        <f>+J131*tab!$D$57</f>
        <v>1562.4</v>
      </c>
      <c r="Z131" s="81"/>
      <c r="AA131" s="77">
        <v>0</v>
      </c>
      <c r="AB131" s="182">
        <f t="shared" si="22"/>
        <v>0</v>
      </c>
      <c r="AC131" s="141">
        <f t="shared" si="21"/>
        <v>0</v>
      </c>
      <c r="AD131" s="141">
        <f t="shared" si="21"/>
        <v>0</v>
      </c>
      <c r="AE131" s="102"/>
      <c r="AF131" s="154"/>
    </row>
    <row r="132" spans="2:32" s="134" customFormat="1" x14ac:dyDescent="0.2">
      <c r="B132" s="153"/>
      <c r="C132" s="174"/>
      <c r="D132" s="60">
        <v>120</v>
      </c>
      <c r="E132" s="179" t="s">
        <v>620</v>
      </c>
      <c r="F132" s="180" t="s">
        <v>495</v>
      </c>
      <c r="G132" s="181">
        <v>210</v>
      </c>
      <c r="H132" s="181">
        <f t="shared" si="19"/>
        <v>210</v>
      </c>
      <c r="I132" s="140">
        <f t="shared" si="19"/>
        <v>210</v>
      </c>
      <c r="J132" s="140">
        <f t="shared" si="19"/>
        <v>210</v>
      </c>
      <c r="K132" s="81"/>
      <c r="L132" s="78">
        <f>ROUND(G132*tab!$C$38,2)</f>
        <v>32888.1</v>
      </c>
      <c r="M132" s="78">
        <f>ROUND(H132*tab!$C$38,2)</f>
        <v>32888.1</v>
      </c>
      <c r="N132" s="78">
        <f>ROUND(I132*tab!$C$38,2)</f>
        <v>32888.1</v>
      </c>
      <c r="O132" s="78">
        <f>ROUND(J132*tab!$C$38,2)</f>
        <v>32888.1</v>
      </c>
      <c r="P132" s="81"/>
      <c r="Q132" s="182">
        <v>0</v>
      </c>
      <c r="R132" s="141">
        <f t="shared" si="20"/>
        <v>0</v>
      </c>
      <c r="S132" s="141">
        <f t="shared" si="20"/>
        <v>0</v>
      </c>
      <c r="T132" s="141">
        <f t="shared" si="20"/>
        <v>0</v>
      </c>
      <c r="U132" s="81"/>
      <c r="V132" s="78">
        <f>+G132*tab!$C$57</f>
        <v>1560.3</v>
      </c>
      <c r="W132" s="78">
        <f>+H132*tab!$D$57</f>
        <v>1562.4</v>
      </c>
      <c r="X132" s="78">
        <f>+I132*tab!$D$57</f>
        <v>1562.4</v>
      </c>
      <c r="Y132" s="78">
        <f>+J132*tab!$D$57</f>
        <v>1562.4</v>
      </c>
      <c r="Z132" s="81"/>
      <c r="AA132" s="77">
        <v>0</v>
      </c>
      <c r="AB132" s="182">
        <f t="shared" si="22"/>
        <v>0</v>
      </c>
      <c r="AC132" s="141">
        <f t="shared" si="21"/>
        <v>0</v>
      </c>
      <c r="AD132" s="141">
        <f t="shared" si="21"/>
        <v>0</v>
      </c>
      <c r="AE132" s="102"/>
      <c r="AF132" s="154"/>
    </row>
    <row r="133" spans="2:32" s="134" customFormat="1" x14ac:dyDescent="0.2">
      <c r="B133" s="153"/>
      <c r="C133" s="174"/>
      <c r="D133" s="60">
        <v>121</v>
      </c>
      <c r="E133" s="179" t="s">
        <v>621</v>
      </c>
      <c r="F133" s="180" t="s">
        <v>495</v>
      </c>
      <c r="G133" s="181">
        <v>210</v>
      </c>
      <c r="H133" s="181">
        <f t="shared" ref="H133:J137" si="23">G133</f>
        <v>210</v>
      </c>
      <c r="I133" s="140">
        <f t="shared" si="23"/>
        <v>210</v>
      </c>
      <c r="J133" s="140">
        <f t="shared" si="23"/>
        <v>210</v>
      </c>
      <c r="K133" s="81"/>
      <c r="L133" s="78">
        <f>ROUND(G133*tab!$C$38,2)</f>
        <v>32888.1</v>
      </c>
      <c r="M133" s="78">
        <f>ROUND(H133*tab!$C$38,2)</f>
        <v>32888.1</v>
      </c>
      <c r="N133" s="78">
        <f>ROUND(I133*tab!$C$38,2)</f>
        <v>32888.1</v>
      </c>
      <c r="O133" s="78">
        <f>ROUND(J133*tab!$C$38,2)</f>
        <v>32888.1</v>
      </c>
      <c r="P133" s="81"/>
      <c r="Q133" s="182">
        <v>0</v>
      </c>
      <c r="R133" s="141">
        <f t="shared" ref="R133:T137" si="24">Q133</f>
        <v>0</v>
      </c>
      <c r="S133" s="141">
        <f t="shared" si="24"/>
        <v>0</v>
      </c>
      <c r="T133" s="141">
        <f t="shared" si="24"/>
        <v>0</v>
      </c>
      <c r="U133" s="81"/>
      <c r="V133" s="78">
        <f>+G133*tab!$C$57</f>
        <v>1560.3</v>
      </c>
      <c r="W133" s="78">
        <f>+H133*tab!$D$57</f>
        <v>1562.4</v>
      </c>
      <c r="X133" s="78">
        <f>+I133*tab!$D$57</f>
        <v>1562.4</v>
      </c>
      <c r="Y133" s="78">
        <f>+J133*tab!$D$57</f>
        <v>1562.4</v>
      </c>
      <c r="Z133" s="81"/>
      <c r="AA133" s="77">
        <v>0</v>
      </c>
      <c r="AB133" s="182">
        <f t="shared" si="22"/>
        <v>0</v>
      </c>
      <c r="AC133" s="141">
        <f t="shared" si="21"/>
        <v>0</v>
      </c>
      <c r="AD133" s="141">
        <f t="shared" si="21"/>
        <v>0</v>
      </c>
      <c r="AE133" s="102"/>
      <c r="AF133" s="154"/>
    </row>
    <row r="134" spans="2:32" s="134" customFormat="1" x14ac:dyDescent="0.2">
      <c r="B134" s="153"/>
      <c r="C134" s="174"/>
      <c r="D134" s="60">
        <v>122</v>
      </c>
      <c r="E134" s="179" t="s">
        <v>622</v>
      </c>
      <c r="F134" s="180" t="s">
        <v>495</v>
      </c>
      <c r="G134" s="181">
        <v>210</v>
      </c>
      <c r="H134" s="181">
        <f t="shared" si="23"/>
        <v>210</v>
      </c>
      <c r="I134" s="140">
        <f t="shared" si="23"/>
        <v>210</v>
      </c>
      <c r="J134" s="140">
        <f t="shared" si="23"/>
        <v>210</v>
      </c>
      <c r="K134" s="81"/>
      <c r="L134" s="78">
        <f>ROUND(G134*tab!$C$38,2)</f>
        <v>32888.1</v>
      </c>
      <c r="M134" s="78">
        <f>ROUND(H134*tab!$C$38,2)</f>
        <v>32888.1</v>
      </c>
      <c r="N134" s="78">
        <f>ROUND(I134*tab!$C$38,2)</f>
        <v>32888.1</v>
      </c>
      <c r="O134" s="78">
        <f>ROUND(J134*tab!$C$38,2)</f>
        <v>32888.1</v>
      </c>
      <c r="P134" s="81"/>
      <c r="Q134" s="182">
        <v>0</v>
      </c>
      <c r="R134" s="141">
        <f t="shared" si="24"/>
        <v>0</v>
      </c>
      <c r="S134" s="141">
        <f t="shared" si="24"/>
        <v>0</v>
      </c>
      <c r="T134" s="141">
        <f t="shared" si="24"/>
        <v>0</v>
      </c>
      <c r="U134" s="81"/>
      <c r="V134" s="78">
        <f>+G134*tab!$C$57</f>
        <v>1560.3</v>
      </c>
      <c r="W134" s="78">
        <f>+H134*tab!$D$57</f>
        <v>1562.4</v>
      </c>
      <c r="X134" s="78">
        <f>+I134*tab!$D$57</f>
        <v>1562.4</v>
      </c>
      <c r="Y134" s="78">
        <f>+J134*tab!$D$57</f>
        <v>1562.4</v>
      </c>
      <c r="Z134" s="81"/>
      <c r="AA134" s="77">
        <v>0</v>
      </c>
      <c r="AB134" s="182">
        <f t="shared" si="22"/>
        <v>0</v>
      </c>
      <c r="AC134" s="141">
        <f t="shared" si="21"/>
        <v>0</v>
      </c>
      <c r="AD134" s="141">
        <f t="shared" si="21"/>
        <v>0</v>
      </c>
      <c r="AE134" s="102"/>
      <c r="AF134" s="154"/>
    </row>
    <row r="135" spans="2:32" s="134" customFormat="1" x14ac:dyDescent="0.2">
      <c r="B135" s="153"/>
      <c r="C135" s="174"/>
      <c r="D135" s="60">
        <v>123</v>
      </c>
      <c r="E135" s="179" t="s">
        <v>623</v>
      </c>
      <c r="F135" s="180" t="s">
        <v>495</v>
      </c>
      <c r="G135" s="181">
        <v>210</v>
      </c>
      <c r="H135" s="181">
        <f t="shared" si="23"/>
        <v>210</v>
      </c>
      <c r="I135" s="140">
        <f t="shared" si="23"/>
        <v>210</v>
      </c>
      <c r="J135" s="140">
        <f t="shared" si="23"/>
        <v>210</v>
      </c>
      <c r="K135" s="81"/>
      <c r="L135" s="78">
        <f>ROUND(G135*tab!$C$38,2)</f>
        <v>32888.1</v>
      </c>
      <c r="M135" s="78">
        <f>ROUND(H135*tab!$C$38,2)</f>
        <v>32888.1</v>
      </c>
      <c r="N135" s="78">
        <f>ROUND(I135*tab!$C$38,2)</f>
        <v>32888.1</v>
      </c>
      <c r="O135" s="78">
        <f>ROUND(J135*tab!$C$38,2)</f>
        <v>32888.1</v>
      </c>
      <c r="P135" s="81"/>
      <c r="Q135" s="182">
        <v>0</v>
      </c>
      <c r="R135" s="141">
        <f t="shared" si="24"/>
        <v>0</v>
      </c>
      <c r="S135" s="141">
        <f t="shared" si="24"/>
        <v>0</v>
      </c>
      <c r="T135" s="141">
        <f t="shared" si="24"/>
        <v>0</v>
      </c>
      <c r="U135" s="81"/>
      <c r="V135" s="78">
        <f>+G135*tab!$C$57</f>
        <v>1560.3</v>
      </c>
      <c r="W135" s="78">
        <f>+H135*tab!$D$57</f>
        <v>1562.4</v>
      </c>
      <c r="X135" s="78">
        <f>+I135*tab!$D$57</f>
        <v>1562.4</v>
      </c>
      <c r="Y135" s="78">
        <f>+J135*tab!$D$57</f>
        <v>1562.4</v>
      </c>
      <c r="Z135" s="81"/>
      <c r="AA135" s="77">
        <v>0</v>
      </c>
      <c r="AB135" s="182">
        <f t="shared" si="22"/>
        <v>0</v>
      </c>
      <c r="AC135" s="141">
        <f t="shared" si="21"/>
        <v>0</v>
      </c>
      <c r="AD135" s="141">
        <f t="shared" si="21"/>
        <v>0</v>
      </c>
      <c r="AE135" s="102"/>
      <c r="AF135" s="154"/>
    </row>
    <row r="136" spans="2:32" s="134" customFormat="1" x14ac:dyDescent="0.2">
      <c r="B136" s="153"/>
      <c r="C136" s="174"/>
      <c r="D136" s="60">
        <v>124</v>
      </c>
      <c r="E136" s="179" t="s">
        <v>624</v>
      </c>
      <c r="F136" s="180" t="s">
        <v>495</v>
      </c>
      <c r="G136" s="181">
        <v>210</v>
      </c>
      <c r="H136" s="181">
        <f t="shared" si="23"/>
        <v>210</v>
      </c>
      <c r="I136" s="140">
        <f t="shared" si="23"/>
        <v>210</v>
      </c>
      <c r="J136" s="140">
        <f t="shared" si="23"/>
        <v>210</v>
      </c>
      <c r="K136" s="81"/>
      <c r="L136" s="78">
        <f>ROUND(G136*tab!$C$38,2)</f>
        <v>32888.1</v>
      </c>
      <c r="M136" s="78">
        <f>ROUND(H136*tab!$C$38,2)</f>
        <v>32888.1</v>
      </c>
      <c r="N136" s="78">
        <f>ROUND(I136*tab!$C$38,2)</f>
        <v>32888.1</v>
      </c>
      <c r="O136" s="78">
        <f>ROUND(J136*tab!$C$38,2)</f>
        <v>32888.1</v>
      </c>
      <c r="P136" s="81"/>
      <c r="Q136" s="182">
        <v>0</v>
      </c>
      <c r="R136" s="141">
        <f t="shared" si="24"/>
        <v>0</v>
      </c>
      <c r="S136" s="141">
        <f t="shared" si="24"/>
        <v>0</v>
      </c>
      <c r="T136" s="141">
        <f t="shared" si="24"/>
        <v>0</v>
      </c>
      <c r="U136" s="81"/>
      <c r="V136" s="78">
        <f>+G136*tab!$C$57</f>
        <v>1560.3</v>
      </c>
      <c r="W136" s="78">
        <f>+H136*tab!$D$57</f>
        <v>1562.4</v>
      </c>
      <c r="X136" s="78">
        <f>+I136*tab!$D$57</f>
        <v>1562.4</v>
      </c>
      <c r="Y136" s="78">
        <f>+J136*tab!$D$57</f>
        <v>1562.4</v>
      </c>
      <c r="Z136" s="81"/>
      <c r="AA136" s="77">
        <v>0</v>
      </c>
      <c r="AB136" s="182">
        <f t="shared" si="22"/>
        <v>0</v>
      </c>
      <c r="AC136" s="141">
        <f t="shared" si="21"/>
        <v>0</v>
      </c>
      <c r="AD136" s="141">
        <f t="shared" si="21"/>
        <v>0</v>
      </c>
      <c r="AE136" s="102"/>
      <c r="AF136" s="154"/>
    </row>
    <row r="137" spans="2:32" s="134" customFormat="1" x14ac:dyDescent="0.2">
      <c r="B137" s="153"/>
      <c r="C137" s="174"/>
      <c r="D137" s="60">
        <v>125</v>
      </c>
      <c r="E137" s="179" t="s">
        <v>625</v>
      </c>
      <c r="F137" s="180" t="s">
        <v>495</v>
      </c>
      <c r="G137" s="181">
        <v>210</v>
      </c>
      <c r="H137" s="181">
        <f t="shared" si="23"/>
        <v>210</v>
      </c>
      <c r="I137" s="140">
        <f t="shared" si="23"/>
        <v>210</v>
      </c>
      <c r="J137" s="140">
        <f t="shared" si="23"/>
        <v>210</v>
      </c>
      <c r="K137" s="81"/>
      <c r="L137" s="78">
        <f>ROUND(G137*tab!$C$38,2)</f>
        <v>32888.1</v>
      </c>
      <c r="M137" s="78">
        <f>ROUND(H137*tab!$C$38,2)</f>
        <v>32888.1</v>
      </c>
      <c r="N137" s="78">
        <f>ROUND(I137*tab!$C$38,2)</f>
        <v>32888.1</v>
      </c>
      <c r="O137" s="78">
        <f>ROUND(J137*tab!$C$38,2)</f>
        <v>32888.1</v>
      </c>
      <c r="P137" s="81"/>
      <c r="Q137" s="182">
        <v>0</v>
      </c>
      <c r="R137" s="141">
        <f t="shared" si="24"/>
        <v>0</v>
      </c>
      <c r="S137" s="141">
        <f t="shared" si="24"/>
        <v>0</v>
      </c>
      <c r="T137" s="141">
        <f t="shared" si="24"/>
        <v>0</v>
      </c>
      <c r="U137" s="81"/>
      <c r="V137" s="78">
        <f>+G137*tab!$C$57</f>
        <v>1560.3</v>
      </c>
      <c r="W137" s="78">
        <f>+H137*tab!$D$57</f>
        <v>1562.4</v>
      </c>
      <c r="X137" s="78">
        <f>+I137*tab!$D$57</f>
        <v>1562.4</v>
      </c>
      <c r="Y137" s="78">
        <f>+J137*tab!$D$57</f>
        <v>1562.4</v>
      </c>
      <c r="Z137" s="81"/>
      <c r="AA137" s="77">
        <v>0</v>
      </c>
      <c r="AB137" s="182">
        <f t="shared" si="22"/>
        <v>0</v>
      </c>
      <c r="AC137" s="141">
        <f t="shared" si="21"/>
        <v>0</v>
      </c>
      <c r="AD137" s="141">
        <f>AC137</f>
        <v>0</v>
      </c>
      <c r="AE137" s="102"/>
      <c r="AF137" s="154"/>
    </row>
    <row r="138" spans="2:32" s="139" customFormat="1" x14ac:dyDescent="0.2">
      <c r="B138" s="34"/>
      <c r="C138" s="43"/>
      <c r="D138" s="103"/>
      <c r="E138" s="103"/>
      <c r="F138" s="175" t="s">
        <v>173</v>
      </c>
      <c r="G138" s="55">
        <f>SUM(G13:G137)</f>
        <v>22080</v>
      </c>
      <c r="H138" s="55">
        <f>SUM(H13:H137)</f>
        <v>22080</v>
      </c>
      <c r="I138" s="55">
        <f>SUM(I13:I137)</f>
        <v>22080</v>
      </c>
      <c r="J138" s="55">
        <f>SUM(J13:J137)</f>
        <v>22080</v>
      </c>
      <c r="K138" s="76"/>
      <c r="L138" s="108">
        <f>ROUND(SUM(L13:L137),0)</f>
        <v>3457949</v>
      </c>
      <c r="M138" s="108">
        <f>ROUND(SUM(M13:M137),0)</f>
        <v>3457949</v>
      </c>
      <c r="N138" s="108">
        <f>ROUND(SUM(N13:N137),0)</f>
        <v>3457949</v>
      </c>
      <c r="O138" s="108">
        <f>ROUND(SUM(O13:O137),0)</f>
        <v>3457949</v>
      </c>
      <c r="P138" s="76"/>
      <c r="Q138" s="119">
        <f>SUM(Q13:Q137)</f>
        <v>0</v>
      </c>
      <c r="R138" s="119">
        <f>SUM(R13:R137)</f>
        <v>0</v>
      </c>
      <c r="S138" s="119">
        <f>SUM(S13:S137)</f>
        <v>0</v>
      </c>
      <c r="T138" s="119">
        <f>SUM(T13:T137)</f>
        <v>0</v>
      </c>
      <c r="U138" s="76"/>
      <c r="V138" s="108">
        <f>SUM(V13:V137)</f>
        <v>164054.39999999976</v>
      </c>
      <c r="W138" s="108">
        <f>SUM(W13:W137)</f>
        <v>164275.19999999987</v>
      </c>
      <c r="X138" s="108">
        <f>SUM(X13:X137)</f>
        <v>164275.19999999987</v>
      </c>
      <c r="Y138" s="108">
        <f>SUM(Y13:Y137)</f>
        <v>164275.19999999987</v>
      </c>
      <c r="Z138" s="76"/>
      <c r="AA138" s="108">
        <f>SUM(AA13:AA137)</f>
        <v>0</v>
      </c>
      <c r="AB138" s="108">
        <f>SUM(AB13:AB137)</f>
        <v>0</v>
      </c>
      <c r="AC138" s="108">
        <f>SUM(AC13:AC137)</f>
        <v>0</v>
      </c>
      <c r="AD138" s="108">
        <f>SUM(AD13:AD137)</f>
        <v>0</v>
      </c>
      <c r="AE138" s="44"/>
      <c r="AF138" s="35"/>
    </row>
    <row r="139" spans="2:32" x14ac:dyDescent="0.2">
      <c r="B139" s="86"/>
      <c r="C139" s="91"/>
      <c r="D139" s="176"/>
      <c r="E139" s="176"/>
      <c r="F139" s="177"/>
      <c r="G139" s="79"/>
      <c r="H139" s="79"/>
      <c r="I139" s="79"/>
      <c r="J139" s="79"/>
      <c r="K139" s="79"/>
      <c r="L139" s="92"/>
      <c r="M139" s="92"/>
      <c r="N139" s="92"/>
      <c r="O139" s="92"/>
      <c r="P139" s="79"/>
      <c r="Q139" s="92"/>
      <c r="R139" s="92"/>
      <c r="S139" s="92"/>
      <c r="T139" s="92"/>
      <c r="U139" s="79"/>
      <c r="V139" s="92"/>
      <c r="W139" s="92"/>
      <c r="X139" s="92"/>
      <c r="Y139" s="92"/>
      <c r="Z139" s="79"/>
      <c r="AA139" s="92"/>
      <c r="AB139" s="92"/>
      <c r="AC139" s="92"/>
      <c r="AD139" s="92"/>
      <c r="AE139" s="178"/>
      <c r="AF139" s="88"/>
    </row>
    <row r="140" spans="2:32" x14ac:dyDescent="0.2">
      <c r="B140" s="86"/>
      <c r="C140" s="87"/>
      <c r="D140" s="142"/>
      <c r="E140" s="142"/>
      <c r="F140" s="143"/>
      <c r="G140" s="80"/>
      <c r="H140" s="80"/>
      <c r="I140" s="80"/>
      <c r="J140" s="80"/>
      <c r="K140" s="80"/>
      <c r="L140" s="87"/>
      <c r="M140" s="87"/>
      <c r="N140" s="87"/>
      <c r="O140" s="87"/>
      <c r="P140" s="80"/>
      <c r="Q140" s="87"/>
      <c r="R140" s="87"/>
      <c r="S140" s="87"/>
      <c r="T140" s="87"/>
      <c r="U140" s="80"/>
      <c r="V140" s="87"/>
      <c r="W140" s="87"/>
      <c r="X140" s="87"/>
      <c r="Y140" s="87"/>
      <c r="Z140" s="80"/>
      <c r="AA140" s="87"/>
      <c r="AB140" s="87"/>
      <c r="AC140" s="87"/>
      <c r="AD140" s="87"/>
      <c r="AE140" s="87"/>
      <c r="AF140" s="88"/>
    </row>
    <row r="141" spans="2:32" x14ac:dyDescent="0.2">
      <c r="B141" s="96"/>
      <c r="C141" s="93"/>
      <c r="D141" s="155"/>
      <c r="E141" s="155"/>
      <c r="F141" s="156"/>
      <c r="G141" s="94"/>
      <c r="H141" s="94"/>
      <c r="I141" s="94"/>
      <c r="J141" s="94"/>
      <c r="K141" s="94"/>
      <c r="L141" s="93"/>
      <c r="M141" s="93"/>
      <c r="N141" s="93"/>
      <c r="O141" s="93"/>
      <c r="P141" s="94"/>
      <c r="Q141" s="93"/>
      <c r="R141" s="93"/>
      <c r="S141" s="93"/>
      <c r="T141" s="93"/>
      <c r="U141" s="94"/>
      <c r="V141" s="93"/>
      <c r="W141" s="93"/>
      <c r="X141" s="93"/>
      <c r="Y141" s="93"/>
      <c r="Z141" s="94"/>
      <c r="AA141" s="93"/>
      <c r="AB141" s="93"/>
      <c r="AC141" s="93"/>
      <c r="AD141" s="93"/>
      <c r="AE141" s="93"/>
      <c r="AF141" s="95"/>
    </row>
    <row r="144" spans="2:32" s="135" customFormat="1" x14ac:dyDescent="0.2">
      <c r="D144" s="136"/>
      <c r="E144" s="136"/>
      <c r="F144" s="137"/>
      <c r="G144" s="138"/>
      <c r="H144" s="138"/>
      <c r="I144" s="138"/>
      <c r="J144" s="138"/>
      <c r="K144" s="138"/>
      <c r="P144" s="138"/>
      <c r="U144" s="138"/>
      <c r="Z144" s="138"/>
    </row>
    <row r="154" spans="4:26" s="135" customFormat="1" x14ac:dyDescent="0.2">
      <c r="D154" s="136"/>
      <c r="E154" s="136"/>
      <c r="F154" s="137"/>
      <c r="G154" s="138"/>
      <c r="H154" s="138"/>
      <c r="I154" s="138"/>
      <c r="J154" s="138"/>
      <c r="K154" s="138"/>
      <c r="P154" s="138"/>
      <c r="U154" s="138"/>
      <c r="Z154" s="138"/>
    </row>
    <row r="159" spans="4:26" s="135" customFormat="1" x14ac:dyDescent="0.2">
      <c r="D159" s="136"/>
      <c r="E159" s="136"/>
      <c r="F159" s="137"/>
      <c r="G159" s="138"/>
      <c r="H159" s="138"/>
      <c r="I159" s="138"/>
      <c r="J159" s="138"/>
      <c r="K159" s="138"/>
      <c r="P159" s="138"/>
      <c r="U159" s="138"/>
      <c r="Z159" s="138"/>
    </row>
    <row r="164" spans="4:26" s="135" customFormat="1" x14ac:dyDescent="0.2">
      <c r="D164" s="136"/>
      <c r="E164" s="136"/>
      <c r="F164" s="137"/>
      <c r="G164" s="138"/>
      <c r="H164" s="138"/>
      <c r="I164" s="138"/>
      <c r="J164" s="138"/>
      <c r="K164" s="138"/>
      <c r="P164" s="138"/>
      <c r="U164" s="138"/>
      <c r="Z164" s="138"/>
    </row>
    <row r="169" spans="4:26" s="135" customFormat="1" x14ac:dyDescent="0.2">
      <c r="D169" s="136"/>
      <c r="E169" s="136"/>
      <c r="F169" s="137"/>
      <c r="G169" s="138"/>
      <c r="H169" s="138"/>
      <c r="I169" s="138"/>
      <c r="J169" s="138"/>
      <c r="K169" s="138"/>
      <c r="P169" s="138"/>
      <c r="U169" s="138"/>
      <c r="Z169" s="138"/>
    </row>
    <row r="174" spans="4:26" s="135" customFormat="1" x14ac:dyDescent="0.2">
      <c r="D174" s="136"/>
      <c r="E174" s="136"/>
      <c r="F174" s="137"/>
      <c r="G174" s="138"/>
      <c r="H174" s="138"/>
      <c r="I174" s="138"/>
      <c r="J174" s="138"/>
      <c r="K174" s="138"/>
      <c r="P174" s="138"/>
      <c r="U174" s="138"/>
      <c r="Z174" s="138"/>
    </row>
    <row r="179" spans="4:26" s="135" customFormat="1" x14ac:dyDescent="0.2">
      <c r="D179" s="136"/>
      <c r="E179" s="136"/>
      <c r="F179" s="137"/>
      <c r="G179" s="138"/>
      <c r="H179" s="138"/>
      <c r="I179" s="138"/>
      <c r="J179" s="138"/>
      <c r="K179" s="138"/>
      <c r="P179" s="138"/>
      <c r="U179" s="138"/>
      <c r="Z179" s="138"/>
    </row>
    <row r="190" spans="4:26" s="135" customFormat="1" x14ac:dyDescent="0.2">
      <c r="D190" s="136"/>
      <c r="E190" s="136"/>
      <c r="F190" s="137"/>
      <c r="G190" s="138"/>
      <c r="H190" s="138"/>
      <c r="I190" s="138"/>
      <c r="J190" s="138"/>
      <c r="K190" s="138"/>
      <c r="P190" s="138"/>
      <c r="U190" s="138"/>
      <c r="Z190" s="138"/>
    </row>
    <row r="195" spans="4:26" s="135" customFormat="1" x14ac:dyDescent="0.2">
      <c r="D195" s="136"/>
      <c r="E195" s="136"/>
      <c r="F195" s="137"/>
      <c r="G195" s="138"/>
      <c r="H195" s="138"/>
      <c r="I195" s="138"/>
      <c r="J195" s="138"/>
      <c r="K195" s="138"/>
      <c r="P195" s="138"/>
      <c r="U195" s="138"/>
      <c r="Z195" s="138"/>
    </row>
    <row r="200" spans="4:26" s="135" customFormat="1" x14ac:dyDescent="0.2">
      <c r="D200" s="136"/>
      <c r="E200" s="136"/>
      <c r="F200" s="137"/>
      <c r="G200" s="138"/>
      <c r="H200" s="138"/>
      <c r="I200" s="138"/>
      <c r="J200" s="138"/>
      <c r="K200" s="138"/>
      <c r="P200" s="138"/>
      <c r="U200" s="138"/>
      <c r="Z200" s="138"/>
    </row>
    <row r="205" spans="4:26" s="135" customFormat="1" x14ac:dyDescent="0.2">
      <c r="D205" s="136"/>
      <c r="E205" s="136"/>
      <c r="F205" s="137"/>
      <c r="G205" s="138"/>
      <c r="H205" s="138"/>
      <c r="I205" s="138"/>
      <c r="J205" s="138"/>
      <c r="K205" s="138"/>
      <c r="P205" s="138"/>
      <c r="U205" s="138"/>
      <c r="Z205" s="138"/>
    </row>
    <row r="210" spans="4:26" s="135" customFormat="1" x14ac:dyDescent="0.2">
      <c r="D210" s="136"/>
      <c r="E210" s="136"/>
      <c r="F210" s="137"/>
      <c r="G210" s="138"/>
      <c r="H210" s="138"/>
      <c r="I210" s="138"/>
      <c r="J210" s="138"/>
      <c r="K210" s="138"/>
      <c r="P210" s="138"/>
      <c r="U210" s="138"/>
      <c r="Z210" s="138"/>
    </row>
    <row r="213" spans="4:26" x14ac:dyDescent="0.2">
      <c r="D213" s="136"/>
      <c r="E213" s="136"/>
      <c r="F213" s="137"/>
      <c r="G213" s="138"/>
      <c r="H213" s="138"/>
      <c r="K213" s="138"/>
      <c r="P213" s="138"/>
      <c r="U213" s="138"/>
      <c r="Z213" s="138"/>
    </row>
    <row r="214" spans="4:26" x14ac:dyDescent="0.2">
      <c r="D214" s="136"/>
      <c r="E214" s="136"/>
      <c r="F214" s="137"/>
      <c r="G214" s="138"/>
      <c r="H214" s="138"/>
      <c r="K214" s="138"/>
      <c r="P214" s="138"/>
      <c r="U214" s="138"/>
      <c r="Z214" s="138"/>
    </row>
    <row r="215" spans="4:26" s="135" customFormat="1" x14ac:dyDescent="0.2">
      <c r="D215" s="136"/>
      <c r="E215" s="136"/>
      <c r="F215" s="137"/>
      <c r="G215" s="138"/>
      <c r="H215" s="138"/>
      <c r="I215" s="138"/>
      <c r="J215" s="138"/>
      <c r="K215" s="138"/>
      <c r="P215" s="138"/>
      <c r="U215" s="138"/>
      <c r="Z215" s="138"/>
    </row>
  </sheetData>
  <sheetProtection algorithmName="SHA-512" hashValue="HribLCZY8fj9AnOcuBqC6fN6ZqCheTOHvVykkV353Iz1rYWBXl3w2zB79tUUbL6gkB5nCieMFG/WFSbK4fgdOg==" saltValue="mw7fnDGby05kdqQoQagikg==" spinCount="100000" sheet="1" objects="1" scenarios="1"/>
  <phoneticPr fontId="49" type="noConversion"/>
  <pageMargins left="0.75" right="0.75" top="1" bottom="1" header="0.5" footer="0.5"/>
  <pageSetup paperSize="9" scale="39" orientation="portrait" r:id="rId1"/>
  <headerFooter alignWithMargins="0"/>
  <colBreaks count="1" manualBreakCount="1">
    <brk id="20" min="1" max="140"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34"/>
  <sheetViews>
    <sheetView zoomScale="85" zoomScaleNormal="85" workbookViewId="0">
      <selection activeCell="B2" sqref="B2"/>
    </sheetView>
  </sheetViews>
  <sheetFormatPr defaultColWidth="9.140625" defaultRowHeight="12.75" x14ac:dyDescent="0.2"/>
  <cols>
    <col min="1" max="1" width="3.7109375" style="131" customWidth="1"/>
    <col min="2" max="3" width="2.7109375" style="131" customWidth="1"/>
    <col min="4" max="4" width="4.5703125" style="132" customWidth="1"/>
    <col min="5" max="5" width="25.7109375" style="132" customWidth="1"/>
    <col min="6" max="6" width="6.85546875" style="133" customWidth="1"/>
    <col min="7" max="10" width="8.7109375" style="134" customWidth="1"/>
    <col min="11" max="11" width="1.7109375" style="134" customWidth="1"/>
    <col min="12" max="15" width="12.7109375" style="131" customWidth="1"/>
    <col min="16" max="16" width="1.7109375" style="134" customWidth="1"/>
    <col min="17" max="20" width="12.7109375" style="131" customWidth="1"/>
    <col min="21" max="21" width="1.7109375" style="134" customWidth="1"/>
    <col min="22" max="25" width="12.7109375" style="131" customWidth="1"/>
    <col min="26" max="26" width="1.7109375" style="134" customWidth="1"/>
    <col min="27" max="30" width="12.7109375" style="131" customWidth="1"/>
    <col min="31" max="32" width="2.7109375" style="131" customWidth="1"/>
    <col min="33" max="16384" width="9.140625" style="131"/>
  </cols>
  <sheetData>
    <row r="2" spans="2:32" x14ac:dyDescent="0.2">
      <c r="B2" s="82"/>
      <c r="C2" s="83"/>
      <c r="D2" s="148"/>
      <c r="E2" s="148"/>
      <c r="F2" s="149"/>
      <c r="G2" s="84"/>
      <c r="H2" s="84"/>
      <c r="I2" s="84"/>
      <c r="J2" s="84"/>
      <c r="K2" s="84"/>
      <c r="L2" s="83"/>
      <c r="M2" s="83"/>
      <c r="N2" s="83"/>
      <c r="O2" s="83"/>
      <c r="P2" s="84"/>
      <c r="Q2" s="83"/>
      <c r="R2" s="83"/>
      <c r="S2" s="83"/>
      <c r="T2" s="83"/>
      <c r="U2" s="84"/>
      <c r="V2" s="83"/>
      <c r="W2" s="83"/>
      <c r="X2" s="83"/>
      <c r="Y2" s="83"/>
      <c r="Z2" s="84"/>
      <c r="AA2" s="83"/>
      <c r="AB2" s="83"/>
      <c r="AC2" s="83"/>
      <c r="AD2" s="83"/>
      <c r="AE2" s="83"/>
      <c r="AF2" s="85"/>
    </row>
    <row r="3" spans="2:32" x14ac:dyDescent="0.2">
      <c r="B3" s="86"/>
      <c r="C3" s="87"/>
      <c r="D3" s="142"/>
      <c r="E3" s="142"/>
      <c r="F3" s="143"/>
      <c r="G3" s="80"/>
      <c r="H3" s="80"/>
      <c r="I3" s="80"/>
      <c r="J3" s="80"/>
      <c r="K3" s="80"/>
      <c r="L3" s="87"/>
      <c r="M3" s="87"/>
      <c r="N3" s="87"/>
      <c r="O3" s="87"/>
      <c r="P3" s="80"/>
      <c r="Q3" s="87"/>
      <c r="R3" s="87"/>
      <c r="S3" s="87"/>
      <c r="T3" s="87"/>
      <c r="U3" s="80"/>
      <c r="V3" s="87"/>
      <c r="W3" s="87"/>
      <c r="X3" s="87"/>
      <c r="Y3" s="87"/>
      <c r="Z3" s="80"/>
      <c r="AA3" s="87"/>
      <c r="AB3" s="87"/>
      <c r="AC3" s="87"/>
      <c r="AD3" s="87"/>
      <c r="AE3" s="87"/>
      <c r="AF3" s="88"/>
    </row>
    <row r="4" spans="2:32" s="10" customFormat="1" ht="18.75" x14ac:dyDescent="0.3">
      <c r="B4" s="150"/>
      <c r="C4" s="65" t="s">
        <v>41</v>
      </c>
      <c r="D4" s="98"/>
      <c r="E4" s="68"/>
      <c r="F4" s="144"/>
      <c r="G4" s="97"/>
      <c r="H4" s="97"/>
      <c r="I4" s="97"/>
      <c r="J4" s="97"/>
      <c r="K4" s="97"/>
      <c r="L4" s="68"/>
      <c r="M4" s="68"/>
      <c r="N4" s="68"/>
      <c r="O4" s="68"/>
      <c r="P4" s="97"/>
      <c r="Q4" s="68"/>
      <c r="R4" s="68"/>
      <c r="S4" s="68"/>
      <c r="T4" s="68"/>
      <c r="U4" s="97"/>
      <c r="V4" s="68"/>
      <c r="W4" s="68"/>
      <c r="X4" s="68"/>
      <c r="Y4" s="68"/>
      <c r="Z4" s="97"/>
      <c r="AA4" s="68"/>
      <c r="AB4" s="68"/>
      <c r="AC4" s="68"/>
      <c r="AD4" s="68"/>
      <c r="AE4" s="68"/>
      <c r="AF4" s="99"/>
    </row>
    <row r="5" spans="2:32" s="135" customFormat="1" x14ac:dyDescent="0.2">
      <c r="B5" s="90"/>
      <c r="C5" s="74" t="s">
        <v>485</v>
      </c>
      <c r="D5" s="145"/>
      <c r="E5" s="67"/>
      <c r="F5" s="146"/>
      <c r="G5" s="147"/>
      <c r="H5" s="147"/>
      <c r="I5" s="147"/>
      <c r="J5" s="147"/>
      <c r="K5" s="147"/>
      <c r="L5" s="67"/>
      <c r="M5" s="67"/>
      <c r="N5" s="67"/>
      <c r="O5" s="67"/>
      <c r="P5" s="147"/>
      <c r="Q5" s="67"/>
      <c r="R5" s="67"/>
      <c r="S5" s="67"/>
      <c r="T5" s="67"/>
      <c r="U5" s="147"/>
      <c r="V5" s="67"/>
      <c r="W5" s="67"/>
      <c r="X5" s="67"/>
      <c r="Y5" s="67"/>
      <c r="Z5" s="147"/>
      <c r="AA5" s="67"/>
      <c r="AB5" s="67"/>
      <c r="AC5" s="67"/>
      <c r="AD5" s="67"/>
      <c r="AE5" s="67"/>
      <c r="AF5" s="101"/>
    </row>
    <row r="6" spans="2:32" s="135" customFormat="1" x14ac:dyDescent="0.2">
      <c r="B6" s="90"/>
      <c r="C6" s="145"/>
      <c r="D6" s="145"/>
      <c r="E6" s="67"/>
      <c r="F6" s="146"/>
      <c r="G6" s="147"/>
      <c r="H6" s="147"/>
      <c r="I6" s="147"/>
      <c r="J6" s="147"/>
      <c r="K6" s="147"/>
      <c r="L6" s="67"/>
      <c r="M6" s="67"/>
      <c r="N6" s="67"/>
      <c r="O6" s="67"/>
      <c r="P6" s="147"/>
      <c r="Q6" s="67"/>
      <c r="R6" s="67"/>
      <c r="S6" s="67"/>
      <c r="T6" s="67"/>
      <c r="U6" s="147"/>
      <c r="V6" s="67"/>
      <c r="W6" s="67"/>
      <c r="X6" s="67"/>
      <c r="Y6" s="67"/>
      <c r="Z6" s="147"/>
      <c r="AA6" s="67"/>
      <c r="AB6" s="67"/>
      <c r="AC6" s="67"/>
      <c r="AD6" s="67"/>
      <c r="AE6" s="67"/>
      <c r="AF6" s="101"/>
    </row>
    <row r="7" spans="2:32" s="135" customFormat="1" x14ac:dyDescent="0.2">
      <c r="B7" s="90"/>
      <c r="C7" s="145"/>
      <c r="D7" s="145"/>
      <c r="E7" s="67"/>
      <c r="F7" s="146"/>
      <c r="G7" s="147"/>
      <c r="H7" s="147"/>
      <c r="I7" s="147"/>
      <c r="J7" s="147"/>
      <c r="K7" s="147"/>
      <c r="L7" s="67"/>
      <c r="M7" s="67"/>
      <c r="N7" s="67"/>
      <c r="O7" s="67"/>
      <c r="P7" s="147"/>
      <c r="Q7" s="67"/>
      <c r="R7" s="67"/>
      <c r="S7" s="67"/>
      <c r="T7" s="67"/>
      <c r="U7" s="147"/>
      <c r="V7" s="67"/>
      <c r="W7" s="67"/>
      <c r="X7" s="67"/>
      <c r="Y7" s="67"/>
      <c r="Z7" s="147"/>
      <c r="AA7" s="67"/>
      <c r="AB7" s="67"/>
      <c r="AC7" s="67"/>
      <c r="AD7" s="67"/>
      <c r="AE7" s="67"/>
      <c r="AF7" s="101"/>
    </row>
    <row r="8" spans="2:32" x14ac:dyDescent="0.2">
      <c r="B8" s="86"/>
      <c r="C8" s="87"/>
      <c r="D8" s="142"/>
      <c r="E8" s="184" t="s">
        <v>486</v>
      </c>
      <c r="F8" s="185" t="s">
        <v>487</v>
      </c>
      <c r="G8" s="186" t="s">
        <v>488</v>
      </c>
      <c r="H8" s="62"/>
      <c r="I8" s="62"/>
      <c r="J8" s="62"/>
      <c r="K8" s="62"/>
      <c r="L8" s="69" t="s">
        <v>489</v>
      </c>
      <c r="M8" s="53"/>
      <c r="N8" s="53"/>
      <c r="O8" s="53"/>
      <c r="P8" s="62"/>
      <c r="Q8" s="69" t="s">
        <v>490</v>
      </c>
      <c r="R8" s="53"/>
      <c r="S8" s="53"/>
      <c r="T8" s="53"/>
      <c r="U8" s="62"/>
      <c r="V8" s="69" t="s">
        <v>491</v>
      </c>
      <c r="W8" s="53"/>
      <c r="X8" s="53"/>
      <c r="Y8" s="53"/>
      <c r="Z8" s="62"/>
      <c r="AA8" s="69" t="s">
        <v>492</v>
      </c>
      <c r="AB8" s="53"/>
      <c r="AC8" s="87"/>
      <c r="AD8" s="87"/>
      <c r="AE8" s="87"/>
      <c r="AF8" s="88"/>
    </row>
    <row r="9" spans="2:32" s="11" customFormat="1" x14ac:dyDescent="0.2">
      <c r="B9" s="72"/>
      <c r="C9" s="66"/>
      <c r="D9" s="74"/>
      <c r="E9" s="105"/>
      <c r="F9" s="187"/>
      <c r="G9" s="105" t="s">
        <v>493</v>
      </c>
      <c r="H9" s="104"/>
      <c r="I9" s="104"/>
      <c r="J9" s="104"/>
      <c r="K9" s="104"/>
      <c r="L9" s="183"/>
      <c r="M9" s="183"/>
      <c r="N9" s="183"/>
      <c r="O9" s="183"/>
      <c r="P9" s="104"/>
      <c r="Q9" s="183"/>
      <c r="R9" s="183"/>
      <c r="S9" s="183"/>
      <c r="T9" s="183"/>
      <c r="U9" s="104"/>
      <c r="V9" s="183"/>
      <c r="W9" s="183"/>
      <c r="X9" s="183"/>
      <c r="Y9" s="183"/>
      <c r="Z9" s="104"/>
      <c r="AA9" s="183"/>
      <c r="AB9" s="183"/>
      <c r="AC9" s="66"/>
      <c r="AD9" s="66"/>
      <c r="AE9" s="66"/>
      <c r="AF9" s="73"/>
    </row>
    <row r="10" spans="2:32" s="12" customFormat="1" x14ac:dyDescent="0.2">
      <c r="B10" s="151"/>
      <c r="C10" s="64"/>
      <c r="D10" s="63"/>
      <c r="E10" s="71"/>
      <c r="F10" s="185"/>
      <c r="G10" s="54" t="str">
        <f>tab!C2</f>
        <v>2015/16</v>
      </c>
      <c r="H10" s="54" t="str">
        <f>tab!D2</f>
        <v>2016/17</v>
      </c>
      <c r="I10" s="54" t="str">
        <f>tab!E2</f>
        <v>2017/18</v>
      </c>
      <c r="J10" s="54" t="str">
        <f>tab!F2</f>
        <v>2018/19</v>
      </c>
      <c r="K10" s="71"/>
      <c r="L10" s="54" t="str">
        <f>tab!C2</f>
        <v>2015/16</v>
      </c>
      <c r="M10" s="54" t="str">
        <f>tab!D2</f>
        <v>2016/17</v>
      </c>
      <c r="N10" s="54" t="str">
        <f>tab!E2</f>
        <v>2017/18</v>
      </c>
      <c r="O10" s="54" t="str">
        <f>tab!F2</f>
        <v>2018/19</v>
      </c>
      <c r="P10" s="71"/>
      <c r="Q10" s="54" t="str">
        <f>tab!C2</f>
        <v>2015/16</v>
      </c>
      <c r="R10" s="54" t="str">
        <f>tab!D2</f>
        <v>2016/17</v>
      </c>
      <c r="S10" s="54" t="str">
        <f>tab!E2</f>
        <v>2017/18</v>
      </c>
      <c r="T10" s="54" t="str">
        <f>tab!F2</f>
        <v>2018/19</v>
      </c>
      <c r="U10" s="71"/>
      <c r="V10" s="71">
        <f>tab!C4</f>
        <v>2015</v>
      </c>
      <c r="W10" s="71">
        <f>tab!D4</f>
        <v>2016</v>
      </c>
      <c r="X10" s="71">
        <f>tab!E4</f>
        <v>2017</v>
      </c>
      <c r="Y10" s="71">
        <f>tab!F4</f>
        <v>2018</v>
      </c>
      <c r="Z10" s="71"/>
      <c r="AA10" s="71">
        <f>tab!C4</f>
        <v>2015</v>
      </c>
      <c r="AB10" s="71">
        <f>tab!D4</f>
        <v>2016</v>
      </c>
      <c r="AC10" s="71">
        <f>tab!E4</f>
        <v>2017</v>
      </c>
      <c r="AD10" s="71">
        <f>tab!F4</f>
        <v>2018</v>
      </c>
      <c r="AE10" s="64"/>
      <c r="AF10" s="152"/>
    </row>
    <row r="11" spans="2:32" s="134" customFormat="1" x14ac:dyDescent="0.2">
      <c r="B11" s="153"/>
      <c r="C11" s="80"/>
      <c r="D11" s="142"/>
      <c r="E11" s="188"/>
      <c r="F11" s="70"/>
      <c r="G11" s="62"/>
      <c r="H11" s="62"/>
      <c r="I11" s="62"/>
      <c r="J11" s="62"/>
      <c r="K11" s="62"/>
      <c r="L11" s="62"/>
      <c r="M11" s="62"/>
      <c r="N11" s="62"/>
      <c r="O11" s="62"/>
      <c r="P11" s="62"/>
      <c r="Q11" s="62"/>
      <c r="R11" s="62"/>
      <c r="S11" s="62"/>
      <c r="T11" s="62"/>
      <c r="U11" s="62"/>
      <c r="V11" s="62"/>
      <c r="W11" s="189"/>
      <c r="X11" s="104"/>
      <c r="Y11" s="104"/>
      <c r="Z11" s="104"/>
      <c r="AA11" s="104"/>
      <c r="AB11" s="189"/>
      <c r="AC11" s="80"/>
      <c r="AD11" s="80"/>
      <c r="AE11" s="80"/>
      <c r="AF11" s="154"/>
    </row>
    <row r="12" spans="2:32" s="134" customFormat="1" x14ac:dyDescent="0.2">
      <c r="B12" s="153"/>
      <c r="C12" s="171"/>
      <c r="D12" s="172"/>
      <c r="E12" s="172" t="s">
        <v>42</v>
      </c>
      <c r="F12" s="173"/>
      <c r="G12" s="89"/>
      <c r="H12" s="89"/>
      <c r="I12" s="89"/>
      <c r="J12" s="89"/>
      <c r="K12" s="89"/>
      <c r="L12" s="89"/>
      <c r="M12" s="89"/>
      <c r="N12" s="89"/>
      <c r="O12" s="89"/>
      <c r="P12" s="89"/>
      <c r="Q12" s="89"/>
      <c r="R12" s="89"/>
      <c r="S12" s="89"/>
      <c r="T12" s="89"/>
      <c r="U12" s="89"/>
      <c r="V12" s="89"/>
      <c r="W12" s="89"/>
      <c r="X12" s="89"/>
      <c r="Y12" s="89"/>
      <c r="Z12" s="89"/>
      <c r="AA12" s="89"/>
      <c r="AB12" s="89"/>
      <c r="AC12" s="89"/>
      <c r="AD12" s="89"/>
      <c r="AE12" s="100"/>
      <c r="AF12" s="154"/>
    </row>
    <row r="13" spans="2:32" s="134" customFormat="1" x14ac:dyDescent="0.2">
      <c r="B13" s="153"/>
      <c r="C13" s="174"/>
      <c r="D13" s="60">
        <v>1</v>
      </c>
      <c r="E13" s="429" t="str">
        <f>+'bas LO'!E13</f>
        <v>school 1</v>
      </c>
      <c r="F13" s="429" t="str">
        <f>+'bas LO'!F13</f>
        <v>11AA</v>
      </c>
      <c r="G13" s="430">
        <f>+'bas LO'!G13</f>
        <v>150</v>
      </c>
      <c r="H13" s="430">
        <f>+'bas LO'!H13</f>
        <v>150</v>
      </c>
      <c r="I13" s="430">
        <f>+'bas LO'!I13</f>
        <v>150</v>
      </c>
      <c r="J13" s="430">
        <f>+'bas LO'!J13</f>
        <v>150</v>
      </c>
      <c r="K13" s="81"/>
      <c r="L13" s="78">
        <f>ROUND(G13*tab!$C$66,2)</f>
        <v>47824.5</v>
      </c>
      <c r="M13" s="78">
        <f>ROUND(H13*tab!$C$66,2)</f>
        <v>47824.5</v>
      </c>
      <c r="N13" s="78">
        <f>ROUND(I13*tab!$C$66,2)</f>
        <v>47824.5</v>
      </c>
      <c r="O13" s="78">
        <f>ROUND(J13*tab!$C$66,2)</f>
        <v>47824.5</v>
      </c>
      <c r="P13" s="81"/>
      <c r="Q13" s="182">
        <v>0</v>
      </c>
      <c r="R13" s="141">
        <f t="shared" ref="R13:T32" si="0">Q13</f>
        <v>0</v>
      </c>
      <c r="S13" s="141">
        <f t="shared" si="0"/>
        <v>0</v>
      </c>
      <c r="T13" s="141">
        <f t="shared" si="0"/>
        <v>0</v>
      </c>
      <c r="U13" s="81"/>
      <c r="V13" s="78">
        <f>+G13*tab!$C$69</f>
        <v>4501.5</v>
      </c>
      <c r="W13" s="78">
        <f>+H13*tab!$D$69</f>
        <v>4596</v>
      </c>
      <c r="X13" s="78">
        <f>+I13*tab!$D$69</f>
        <v>4596</v>
      </c>
      <c r="Y13" s="78">
        <f>+J13*tab!$D$69</f>
        <v>4596</v>
      </c>
      <c r="Z13" s="81"/>
      <c r="AA13" s="77">
        <v>0</v>
      </c>
      <c r="AB13" s="182">
        <f t="shared" ref="AB13:AB44" si="1">AA13*7/12</f>
        <v>0</v>
      </c>
      <c r="AC13" s="141">
        <f t="shared" ref="AC13:AD32" si="2">AB13</f>
        <v>0</v>
      </c>
      <c r="AD13" s="141">
        <f t="shared" si="2"/>
        <v>0</v>
      </c>
      <c r="AE13" s="102"/>
      <c r="AF13" s="154"/>
    </row>
    <row r="14" spans="2:32" s="134" customFormat="1" x14ac:dyDescent="0.2">
      <c r="B14" s="153"/>
      <c r="C14" s="174"/>
      <c r="D14" s="60">
        <v>2</v>
      </c>
      <c r="E14" s="429" t="str">
        <f>+'bas LO'!E14</f>
        <v>school 2</v>
      </c>
      <c r="F14" s="429" t="str">
        <f>+'bas LO'!F14</f>
        <v>11AA</v>
      </c>
      <c r="G14" s="430">
        <f>+'bas LO'!G14</f>
        <v>150</v>
      </c>
      <c r="H14" s="430">
        <f>+'bas LO'!H14</f>
        <v>150</v>
      </c>
      <c r="I14" s="430">
        <f>+'bas LO'!I14</f>
        <v>150</v>
      </c>
      <c r="J14" s="430">
        <f>+'bas LO'!J14</f>
        <v>150</v>
      </c>
      <c r="K14" s="81"/>
      <c r="L14" s="78">
        <f>ROUND(G14*tab!$C$66,2)</f>
        <v>47824.5</v>
      </c>
      <c r="M14" s="78">
        <f>ROUND(H14*tab!$C$66,2)</f>
        <v>47824.5</v>
      </c>
      <c r="N14" s="78">
        <f>ROUND(I14*tab!$C$66,2)</f>
        <v>47824.5</v>
      </c>
      <c r="O14" s="78">
        <f>ROUND(J14*tab!$C$66,2)</f>
        <v>47824.5</v>
      </c>
      <c r="P14" s="81"/>
      <c r="Q14" s="182">
        <v>0</v>
      </c>
      <c r="R14" s="141">
        <f t="shared" si="0"/>
        <v>0</v>
      </c>
      <c r="S14" s="141">
        <f t="shared" si="0"/>
        <v>0</v>
      </c>
      <c r="T14" s="141">
        <f t="shared" si="0"/>
        <v>0</v>
      </c>
      <c r="U14" s="81"/>
      <c r="V14" s="78">
        <f>+G14*tab!$C$69</f>
        <v>4501.5</v>
      </c>
      <c r="W14" s="78">
        <f>+H14*tab!$D$69</f>
        <v>4596</v>
      </c>
      <c r="X14" s="78">
        <f>+I14*tab!$D$69</f>
        <v>4596</v>
      </c>
      <c r="Y14" s="78">
        <f>+J14*tab!$D$69</f>
        <v>4596</v>
      </c>
      <c r="Z14" s="81"/>
      <c r="AA14" s="77">
        <v>0</v>
      </c>
      <c r="AB14" s="182">
        <f t="shared" si="1"/>
        <v>0</v>
      </c>
      <c r="AC14" s="141">
        <f t="shared" si="2"/>
        <v>0</v>
      </c>
      <c r="AD14" s="141">
        <f t="shared" si="2"/>
        <v>0</v>
      </c>
      <c r="AE14" s="102"/>
      <c r="AF14" s="154"/>
    </row>
    <row r="15" spans="2:32" s="134" customFormat="1" x14ac:dyDescent="0.2">
      <c r="B15" s="153"/>
      <c r="C15" s="174"/>
      <c r="D15" s="60">
        <v>3</v>
      </c>
      <c r="E15" s="429" t="str">
        <f>+'bas LO'!E15</f>
        <v>school 3</v>
      </c>
      <c r="F15" s="429" t="str">
        <f>+'bas LO'!F15</f>
        <v>11AA</v>
      </c>
      <c r="G15" s="430">
        <f>+'bas LO'!G15</f>
        <v>150</v>
      </c>
      <c r="H15" s="430">
        <f>+'bas LO'!H15</f>
        <v>150</v>
      </c>
      <c r="I15" s="430">
        <f>+'bas LO'!I15</f>
        <v>150</v>
      </c>
      <c r="J15" s="430">
        <f>+'bas LO'!J15</f>
        <v>150</v>
      </c>
      <c r="K15" s="81"/>
      <c r="L15" s="78">
        <f>ROUND(G15*tab!$C$66,2)</f>
        <v>47824.5</v>
      </c>
      <c r="M15" s="78">
        <f>ROUND(H15*tab!$C$66,2)</f>
        <v>47824.5</v>
      </c>
      <c r="N15" s="78">
        <f>ROUND(I15*tab!$C$66,2)</f>
        <v>47824.5</v>
      </c>
      <c r="O15" s="78">
        <f>ROUND(J15*tab!$C$66,2)</f>
        <v>47824.5</v>
      </c>
      <c r="P15" s="81"/>
      <c r="Q15" s="182">
        <v>0</v>
      </c>
      <c r="R15" s="141">
        <f t="shared" si="0"/>
        <v>0</v>
      </c>
      <c r="S15" s="141">
        <f t="shared" si="0"/>
        <v>0</v>
      </c>
      <c r="T15" s="141">
        <f t="shared" si="0"/>
        <v>0</v>
      </c>
      <c r="U15" s="81"/>
      <c r="V15" s="78">
        <f>+G15*tab!$C$69</f>
        <v>4501.5</v>
      </c>
      <c r="W15" s="78">
        <f>+H15*tab!$D$69</f>
        <v>4596</v>
      </c>
      <c r="X15" s="78">
        <f>+I15*tab!$D$69</f>
        <v>4596</v>
      </c>
      <c r="Y15" s="78">
        <f>+J15*tab!$D$69</f>
        <v>4596</v>
      </c>
      <c r="Z15" s="81"/>
      <c r="AA15" s="77">
        <v>0</v>
      </c>
      <c r="AB15" s="182">
        <f t="shared" si="1"/>
        <v>0</v>
      </c>
      <c r="AC15" s="141">
        <f t="shared" si="2"/>
        <v>0</v>
      </c>
      <c r="AD15" s="141">
        <f t="shared" si="2"/>
        <v>0</v>
      </c>
      <c r="AE15" s="102"/>
      <c r="AF15" s="154"/>
    </row>
    <row r="16" spans="2:32" s="134" customFormat="1" x14ac:dyDescent="0.2">
      <c r="B16" s="153"/>
      <c r="C16" s="174"/>
      <c r="D16" s="60">
        <v>4</v>
      </c>
      <c r="E16" s="429" t="str">
        <f>+'bas LO'!E16</f>
        <v>school 4</v>
      </c>
      <c r="F16" s="429" t="str">
        <f>+'bas LO'!F16</f>
        <v>11AA</v>
      </c>
      <c r="G16" s="430">
        <f>+'bas LO'!G16</f>
        <v>150</v>
      </c>
      <c r="H16" s="430">
        <f>+'bas LO'!H16</f>
        <v>150</v>
      </c>
      <c r="I16" s="430">
        <f>+'bas LO'!I16</f>
        <v>150</v>
      </c>
      <c r="J16" s="430">
        <f>+'bas LO'!J16</f>
        <v>150</v>
      </c>
      <c r="K16" s="81"/>
      <c r="L16" s="78">
        <f>ROUND(G16*tab!$C$66,2)</f>
        <v>47824.5</v>
      </c>
      <c r="M16" s="78">
        <f>ROUND(H16*tab!$C$66,2)</f>
        <v>47824.5</v>
      </c>
      <c r="N16" s="78">
        <f>ROUND(I16*tab!$C$66,2)</f>
        <v>47824.5</v>
      </c>
      <c r="O16" s="78">
        <f>ROUND(J16*tab!$C$66,2)</f>
        <v>47824.5</v>
      </c>
      <c r="P16" s="81"/>
      <c r="Q16" s="182">
        <v>0</v>
      </c>
      <c r="R16" s="141">
        <f t="shared" si="0"/>
        <v>0</v>
      </c>
      <c r="S16" s="141">
        <f t="shared" si="0"/>
        <v>0</v>
      </c>
      <c r="T16" s="141">
        <f t="shared" si="0"/>
        <v>0</v>
      </c>
      <c r="U16" s="81"/>
      <c r="V16" s="78">
        <f>+G16*tab!$C$69</f>
        <v>4501.5</v>
      </c>
      <c r="W16" s="78">
        <f>+H16*tab!$D$69</f>
        <v>4596</v>
      </c>
      <c r="X16" s="78">
        <f>+I16*tab!$D$69</f>
        <v>4596</v>
      </c>
      <c r="Y16" s="78">
        <f>+J16*tab!$D$69</f>
        <v>4596</v>
      </c>
      <c r="Z16" s="81"/>
      <c r="AA16" s="77">
        <v>0</v>
      </c>
      <c r="AB16" s="182">
        <f t="shared" si="1"/>
        <v>0</v>
      </c>
      <c r="AC16" s="141">
        <f t="shared" si="2"/>
        <v>0</v>
      </c>
      <c r="AD16" s="141">
        <f t="shared" si="2"/>
        <v>0</v>
      </c>
      <c r="AE16" s="102"/>
      <c r="AF16" s="154"/>
    </row>
    <row r="17" spans="2:32" s="134" customFormat="1" x14ac:dyDescent="0.2">
      <c r="B17" s="153"/>
      <c r="C17" s="174"/>
      <c r="D17" s="60">
        <v>5</v>
      </c>
      <c r="E17" s="429" t="str">
        <f>+'bas LO'!E17</f>
        <v>school 5</v>
      </c>
      <c r="F17" s="429" t="str">
        <f>+'bas LO'!F17</f>
        <v>11AA</v>
      </c>
      <c r="G17" s="430">
        <f>+'bas LO'!G17</f>
        <v>150</v>
      </c>
      <c r="H17" s="430">
        <f>+'bas LO'!H17</f>
        <v>150</v>
      </c>
      <c r="I17" s="430">
        <f>+'bas LO'!I17</f>
        <v>150</v>
      </c>
      <c r="J17" s="430">
        <f>+'bas LO'!J17</f>
        <v>150</v>
      </c>
      <c r="K17" s="81"/>
      <c r="L17" s="78">
        <f>ROUND(G17*tab!$C$66,2)</f>
        <v>47824.5</v>
      </c>
      <c r="M17" s="78">
        <f>ROUND(H17*tab!$C$66,2)</f>
        <v>47824.5</v>
      </c>
      <c r="N17" s="78">
        <f>ROUND(I17*tab!$C$66,2)</f>
        <v>47824.5</v>
      </c>
      <c r="O17" s="78">
        <f>ROUND(J17*tab!$C$66,2)</f>
        <v>47824.5</v>
      </c>
      <c r="P17" s="81"/>
      <c r="Q17" s="182">
        <v>0</v>
      </c>
      <c r="R17" s="141">
        <f t="shared" si="0"/>
        <v>0</v>
      </c>
      <c r="S17" s="141">
        <f t="shared" si="0"/>
        <v>0</v>
      </c>
      <c r="T17" s="141">
        <f t="shared" si="0"/>
        <v>0</v>
      </c>
      <c r="U17" s="81"/>
      <c r="V17" s="78">
        <f>+G17*tab!$C$69</f>
        <v>4501.5</v>
      </c>
      <c r="W17" s="78">
        <f>+H17*tab!$D$69</f>
        <v>4596</v>
      </c>
      <c r="X17" s="78">
        <f>+I17*tab!$D$69</f>
        <v>4596</v>
      </c>
      <c r="Y17" s="78">
        <f>+J17*tab!$D$69</f>
        <v>4596</v>
      </c>
      <c r="Z17" s="81"/>
      <c r="AA17" s="77">
        <v>0</v>
      </c>
      <c r="AB17" s="182">
        <f t="shared" si="1"/>
        <v>0</v>
      </c>
      <c r="AC17" s="141">
        <f t="shared" si="2"/>
        <v>0</v>
      </c>
      <c r="AD17" s="141">
        <f t="shared" si="2"/>
        <v>0</v>
      </c>
      <c r="AE17" s="102"/>
      <c r="AF17" s="154"/>
    </row>
    <row r="18" spans="2:32" s="134" customFormat="1" x14ac:dyDescent="0.2">
      <c r="B18" s="153"/>
      <c r="C18" s="174"/>
      <c r="D18" s="60">
        <v>6</v>
      </c>
      <c r="E18" s="429" t="str">
        <f>+'bas LO'!E18</f>
        <v>school 6</v>
      </c>
      <c r="F18" s="429" t="str">
        <f>+'bas LO'!F18</f>
        <v>11AA</v>
      </c>
      <c r="G18" s="430">
        <f>+'bas LO'!G18</f>
        <v>150</v>
      </c>
      <c r="H18" s="430">
        <f>+'bas LO'!H18</f>
        <v>150</v>
      </c>
      <c r="I18" s="430">
        <f>+'bas LO'!I18</f>
        <v>150</v>
      </c>
      <c r="J18" s="430">
        <f>+'bas LO'!J18</f>
        <v>150</v>
      </c>
      <c r="K18" s="81"/>
      <c r="L18" s="78">
        <f>ROUND(G18*tab!$C$66,2)</f>
        <v>47824.5</v>
      </c>
      <c r="M18" s="78">
        <f>ROUND(H18*tab!$C$66,2)</f>
        <v>47824.5</v>
      </c>
      <c r="N18" s="78">
        <f>ROUND(I18*tab!$C$66,2)</f>
        <v>47824.5</v>
      </c>
      <c r="O18" s="78">
        <f>ROUND(J18*tab!$C$66,2)</f>
        <v>47824.5</v>
      </c>
      <c r="P18" s="81"/>
      <c r="Q18" s="182">
        <v>0</v>
      </c>
      <c r="R18" s="141">
        <f t="shared" si="0"/>
        <v>0</v>
      </c>
      <c r="S18" s="141">
        <f t="shared" si="0"/>
        <v>0</v>
      </c>
      <c r="T18" s="141">
        <f t="shared" si="0"/>
        <v>0</v>
      </c>
      <c r="U18" s="81"/>
      <c r="V18" s="78">
        <f>+G18*tab!$C$69</f>
        <v>4501.5</v>
      </c>
      <c r="W18" s="78">
        <f>+H18*tab!$D$69</f>
        <v>4596</v>
      </c>
      <c r="X18" s="78">
        <f>+I18*tab!$D$69</f>
        <v>4596</v>
      </c>
      <c r="Y18" s="78">
        <f>+J18*tab!$D$69</f>
        <v>4596</v>
      </c>
      <c r="Z18" s="81"/>
      <c r="AA18" s="77">
        <v>0</v>
      </c>
      <c r="AB18" s="182">
        <f t="shared" si="1"/>
        <v>0</v>
      </c>
      <c r="AC18" s="141">
        <f t="shared" si="2"/>
        <v>0</v>
      </c>
      <c r="AD18" s="141">
        <f t="shared" si="2"/>
        <v>0</v>
      </c>
      <c r="AE18" s="102"/>
      <c r="AF18" s="154"/>
    </row>
    <row r="19" spans="2:32" s="134" customFormat="1" x14ac:dyDescent="0.2">
      <c r="B19" s="153"/>
      <c r="C19" s="174"/>
      <c r="D19" s="60">
        <v>7</v>
      </c>
      <c r="E19" s="429" t="str">
        <f>+'bas LO'!E19</f>
        <v>school 7</v>
      </c>
      <c r="F19" s="429" t="str">
        <f>+'bas LO'!F19</f>
        <v>11AA</v>
      </c>
      <c r="G19" s="430">
        <f>+'bas LO'!G19</f>
        <v>150</v>
      </c>
      <c r="H19" s="430">
        <f>+'bas LO'!H19</f>
        <v>150</v>
      </c>
      <c r="I19" s="430">
        <f>+'bas LO'!I19</f>
        <v>150</v>
      </c>
      <c r="J19" s="430">
        <f>+'bas LO'!J19</f>
        <v>150</v>
      </c>
      <c r="K19" s="81"/>
      <c r="L19" s="78">
        <f>ROUND(G19*tab!$C$66,2)</f>
        <v>47824.5</v>
      </c>
      <c r="M19" s="78">
        <f>ROUND(H19*tab!$C$66,2)</f>
        <v>47824.5</v>
      </c>
      <c r="N19" s="78">
        <f>ROUND(I19*tab!$C$66,2)</f>
        <v>47824.5</v>
      </c>
      <c r="O19" s="78">
        <f>ROUND(J19*tab!$C$66,2)</f>
        <v>47824.5</v>
      </c>
      <c r="P19" s="81"/>
      <c r="Q19" s="182">
        <v>0</v>
      </c>
      <c r="R19" s="141">
        <f t="shared" si="0"/>
        <v>0</v>
      </c>
      <c r="S19" s="141">
        <f t="shared" si="0"/>
        <v>0</v>
      </c>
      <c r="T19" s="141">
        <f t="shared" si="0"/>
        <v>0</v>
      </c>
      <c r="U19" s="81"/>
      <c r="V19" s="78">
        <f>+G19*tab!$C$69</f>
        <v>4501.5</v>
      </c>
      <c r="W19" s="78">
        <f>+H19*tab!$D$69</f>
        <v>4596</v>
      </c>
      <c r="X19" s="78">
        <f>+I19*tab!$D$69</f>
        <v>4596</v>
      </c>
      <c r="Y19" s="78">
        <f>+J19*tab!$D$69</f>
        <v>4596</v>
      </c>
      <c r="Z19" s="81"/>
      <c r="AA19" s="77">
        <v>0</v>
      </c>
      <c r="AB19" s="182">
        <f t="shared" si="1"/>
        <v>0</v>
      </c>
      <c r="AC19" s="141">
        <f t="shared" si="2"/>
        <v>0</v>
      </c>
      <c r="AD19" s="141">
        <f t="shared" si="2"/>
        <v>0</v>
      </c>
      <c r="AE19" s="102"/>
      <c r="AF19" s="154"/>
    </row>
    <row r="20" spans="2:32" s="134" customFormat="1" x14ac:dyDescent="0.2">
      <c r="B20" s="153"/>
      <c r="C20" s="174"/>
      <c r="D20" s="60">
        <v>8</v>
      </c>
      <c r="E20" s="429" t="str">
        <f>+'bas LO'!E20</f>
        <v>school 8</v>
      </c>
      <c r="F20" s="429" t="str">
        <f>+'bas LO'!F20</f>
        <v>11AA</v>
      </c>
      <c r="G20" s="430">
        <f>+'bas LO'!G20</f>
        <v>150</v>
      </c>
      <c r="H20" s="430">
        <f>+'bas LO'!H20</f>
        <v>150</v>
      </c>
      <c r="I20" s="430">
        <f>+'bas LO'!I20</f>
        <v>150</v>
      </c>
      <c r="J20" s="430">
        <f>+'bas LO'!J20</f>
        <v>150</v>
      </c>
      <c r="K20" s="81"/>
      <c r="L20" s="78">
        <f>ROUND(G20*tab!$C$66,2)</f>
        <v>47824.5</v>
      </c>
      <c r="M20" s="78">
        <f>ROUND(H20*tab!$C$66,2)</f>
        <v>47824.5</v>
      </c>
      <c r="N20" s="78">
        <f>ROUND(I20*tab!$C$66,2)</f>
        <v>47824.5</v>
      </c>
      <c r="O20" s="78">
        <f>ROUND(J20*tab!$C$66,2)</f>
        <v>47824.5</v>
      </c>
      <c r="P20" s="81"/>
      <c r="Q20" s="182">
        <v>0</v>
      </c>
      <c r="R20" s="141">
        <f t="shared" si="0"/>
        <v>0</v>
      </c>
      <c r="S20" s="141">
        <f t="shared" si="0"/>
        <v>0</v>
      </c>
      <c r="T20" s="141">
        <f t="shared" si="0"/>
        <v>0</v>
      </c>
      <c r="U20" s="81"/>
      <c r="V20" s="78">
        <f>+G20*tab!$C$69</f>
        <v>4501.5</v>
      </c>
      <c r="W20" s="78">
        <f>+H20*tab!$D$69</f>
        <v>4596</v>
      </c>
      <c r="X20" s="78">
        <f>+I20*tab!$D$69</f>
        <v>4596</v>
      </c>
      <c r="Y20" s="78">
        <f>+J20*tab!$D$69</f>
        <v>4596</v>
      </c>
      <c r="Z20" s="81"/>
      <c r="AA20" s="77">
        <v>0</v>
      </c>
      <c r="AB20" s="182">
        <f t="shared" si="1"/>
        <v>0</v>
      </c>
      <c r="AC20" s="141">
        <f t="shared" si="2"/>
        <v>0</v>
      </c>
      <c r="AD20" s="141">
        <f t="shared" si="2"/>
        <v>0</v>
      </c>
      <c r="AE20" s="102"/>
      <c r="AF20" s="154"/>
    </row>
    <row r="21" spans="2:32" s="134" customFormat="1" x14ac:dyDescent="0.2">
      <c r="B21" s="153"/>
      <c r="C21" s="174"/>
      <c r="D21" s="60">
        <v>9</v>
      </c>
      <c r="E21" s="429" t="str">
        <f>+'bas LO'!E21</f>
        <v>school 9</v>
      </c>
      <c r="F21" s="429" t="str">
        <f>+'bas LO'!F21</f>
        <v>11AA</v>
      </c>
      <c r="G21" s="430">
        <f>+'bas LO'!G21</f>
        <v>150</v>
      </c>
      <c r="H21" s="430">
        <f>+'bas LO'!H21</f>
        <v>150</v>
      </c>
      <c r="I21" s="430">
        <f>+'bas LO'!I21</f>
        <v>150</v>
      </c>
      <c r="J21" s="430">
        <f>+'bas LO'!J21</f>
        <v>150</v>
      </c>
      <c r="K21" s="81"/>
      <c r="L21" s="78">
        <f>ROUND(G21*tab!$C$66,2)</f>
        <v>47824.5</v>
      </c>
      <c r="M21" s="78">
        <f>ROUND(H21*tab!$C$66,2)</f>
        <v>47824.5</v>
      </c>
      <c r="N21" s="78">
        <f>ROUND(I21*tab!$C$66,2)</f>
        <v>47824.5</v>
      </c>
      <c r="O21" s="78">
        <f>ROUND(J21*tab!$C$66,2)</f>
        <v>47824.5</v>
      </c>
      <c r="P21" s="81"/>
      <c r="Q21" s="182">
        <v>0</v>
      </c>
      <c r="R21" s="141">
        <f t="shared" si="0"/>
        <v>0</v>
      </c>
      <c r="S21" s="141">
        <f t="shared" si="0"/>
        <v>0</v>
      </c>
      <c r="T21" s="141">
        <f t="shared" si="0"/>
        <v>0</v>
      </c>
      <c r="U21" s="81"/>
      <c r="V21" s="78">
        <f>+G21*tab!$C$69</f>
        <v>4501.5</v>
      </c>
      <c r="W21" s="78">
        <f>+H21*tab!$D$69</f>
        <v>4596</v>
      </c>
      <c r="X21" s="78">
        <f>+I21*tab!$D$69</f>
        <v>4596</v>
      </c>
      <c r="Y21" s="78">
        <f>+J21*tab!$D$69</f>
        <v>4596</v>
      </c>
      <c r="Z21" s="81"/>
      <c r="AA21" s="77">
        <v>0</v>
      </c>
      <c r="AB21" s="182">
        <f t="shared" si="1"/>
        <v>0</v>
      </c>
      <c r="AC21" s="141">
        <f t="shared" si="2"/>
        <v>0</v>
      </c>
      <c r="AD21" s="141">
        <f t="shared" si="2"/>
        <v>0</v>
      </c>
      <c r="AE21" s="102"/>
      <c r="AF21" s="154"/>
    </row>
    <row r="22" spans="2:32" s="134" customFormat="1" x14ac:dyDescent="0.2">
      <c r="B22" s="153"/>
      <c r="C22" s="174"/>
      <c r="D22" s="60">
        <v>10</v>
      </c>
      <c r="E22" s="429" t="str">
        <f>+'bas LO'!E22</f>
        <v>school 10</v>
      </c>
      <c r="F22" s="429" t="str">
        <f>+'bas LO'!F22</f>
        <v>11AA</v>
      </c>
      <c r="G22" s="430">
        <f>+'bas LO'!G22</f>
        <v>150</v>
      </c>
      <c r="H22" s="430">
        <f>+'bas LO'!H22</f>
        <v>150</v>
      </c>
      <c r="I22" s="430">
        <f>+'bas LO'!I22</f>
        <v>150</v>
      </c>
      <c r="J22" s="430">
        <f>+'bas LO'!J22</f>
        <v>150</v>
      </c>
      <c r="K22" s="81"/>
      <c r="L22" s="78">
        <f>ROUND(G22*tab!$C$66,2)</f>
        <v>47824.5</v>
      </c>
      <c r="M22" s="78">
        <f>ROUND(H22*tab!$C$66,2)</f>
        <v>47824.5</v>
      </c>
      <c r="N22" s="78">
        <f>ROUND(I22*tab!$C$66,2)</f>
        <v>47824.5</v>
      </c>
      <c r="O22" s="78">
        <f>ROUND(J22*tab!$C$66,2)</f>
        <v>47824.5</v>
      </c>
      <c r="P22" s="81"/>
      <c r="Q22" s="182">
        <v>0</v>
      </c>
      <c r="R22" s="141">
        <f t="shared" si="0"/>
        <v>0</v>
      </c>
      <c r="S22" s="141">
        <f t="shared" si="0"/>
        <v>0</v>
      </c>
      <c r="T22" s="141">
        <f t="shared" si="0"/>
        <v>0</v>
      </c>
      <c r="U22" s="81"/>
      <c r="V22" s="78">
        <f>+G22*tab!$C$69</f>
        <v>4501.5</v>
      </c>
      <c r="W22" s="78">
        <f>+H22*tab!$D$69</f>
        <v>4596</v>
      </c>
      <c r="X22" s="78">
        <f>+I22*tab!$D$69</f>
        <v>4596</v>
      </c>
      <c r="Y22" s="78">
        <f>+J22*tab!$D$69</f>
        <v>4596</v>
      </c>
      <c r="Z22" s="81"/>
      <c r="AA22" s="77">
        <v>0</v>
      </c>
      <c r="AB22" s="182">
        <f t="shared" si="1"/>
        <v>0</v>
      </c>
      <c r="AC22" s="141">
        <f t="shared" si="2"/>
        <v>0</v>
      </c>
      <c r="AD22" s="141">
        <f t="shared" si="2"/>
        <v>0</v>
      </c>
      <c r="AE22" s="102"/>
      <c r="AF22" s="154"/>
    </row>
    <row r="23" spans="2:32" s="134" customFormat="1" x14ac:dyDescent="0.2">
      <c r="B23" s="153"/>
      <c r="C23" s="174"/>
      <c r="D23" s="60">
        <v>11</v>
      </c>
      <c r="E23" s="429" t="str">
        <f>+'bas LO'!E23</f>
        <v>school 11</v>
      </c>
      <c r="F23" s="429" t="str">
        <f>+'bas LO'!F23</f>
        <v>11AA</v>
      </c>
      <c r="G23" s="430">
        <f>+'bas LO'!G23</f>
        <v>150</v>
      </c>
      <c r="H23" s="430">
        <f>+'bas LO'!H23</f>
        <v>150</v>
      </c>
      <c r="I23" s="430">
        <f>+'bas LO'!I23</f>
        <v>150</v>
      </c>
      <c r="J23" s="430">
        <f>+'bas LO'!J23</f>
        <v>150</v>
      </c>
      <c r="K23" s="81"/>
      <c r="L23" s="78">
        <f>ROUND(G23*tab!$C$66,2)</f>
        <v>47824.5</v>
      </c>
      <c r="M23" s="78">
        <f>ROUND(H23*tab!$C$66,2)</f>
        <v>47824.5</v>
      </c>
      <c r="N23" s="78">
        <f>ROUND(I23*tab!$C$66,2)</f>
        <v>47824.5</v>
      </c>
      <c r="O23" s="78">
        <f>ROUND(J23*tab!$C$66,2)</f>
        <v>47824.5</v>
      </c>
      <c r="P23" s="81"/>
      <c r="Q23" s="182">
        <v>0</v>
      </c>
      <c r="R23" s="141">
        <f t="shared" si="0"/>
        <v>0</v>
      </c>
      <c r="S23" s="141">
        <f t="shared" si="0"/>
        <v>0</v>
      </c>
      <c r="T23" s="141">
        <f t="shared" si="0"/>
        <v>0</v>
      </c>
      <c r="U23" s="81"/>
      <c r="V23" s="78">
        <f>+G23*tab!$C$69</f>
        <v>4501.5</v>
      </c>
      <c r="W23" s="78">
        <f>+H23*tab!$D$69</f>
        <v>4596</v>
      </c>
      <c r="X23" s="78">
        <f>+I23*tab!$D$69</f>
        <v>4596</v>
      </c>
      <c r="Y23" s="78">
        <f>+J23*tab!$D$69</f>
        <v>4596</v>
      </c>
      <c r="Z23" s="81"/>
      <c r="AA23" s="77">
        <v>0</v>
      </c>
      <c r="AB23" s="182">
        <f t="shared" si="1"/>
        <v>0</v>
      </c>
      <c r="AC23" s="141">
        <f t="shared" si="2"/>
        <v>0</v>
      </c>
      <c r="AD23" s="141">
        <f t="shared" si="2"/>
        <v>0</v>
      </c>
      <c r="AE23" s="102"/>
      <c r="AF23" s="154"/>
    </row>
    <row r="24" spans="2:32" s="134" customFormat="1" x14ac:dyDescent="0.2">
      <c r="B24" s="153"/>
      <c r="C24" s="174"/>
      <c r="D24" s="60">
        <v>12</v>
      </c>
      <c r="E24" s="429" t="str">
        <f>+'bas LO'!E24</f>
        <v>school 12</v>
      </c>
      <c r="F24" s="429" t="str">
        <f>+'bas LO'!F24</f>
        <v>11AA</v>
      </c>
      <c r="G24" s="430">
        <f>+'bas LO'!G24</f>
        <v>150</v>
      </c>
      <c r="H24" s="430">
        <f>+'bas LO'!H24</f>
        <v>150</v>
      </c>
      <c r="I24" s="430">
        <f>+'bas LO'!I24</f>
        <v>150</v>
      </c>
      <c r="J24" s="430">
        <f>+'bas LO'!J24</f>
        <v>150</v>
      </c>
      <c r="K24" s="81"/>
      <c r="L24" s="78">
        <f>ROUND(G24*tab!$C$66,2)</f>
        <v>47824.5</v>
      </c>
      <c r="M24" s="78">
        <f>ROUND(H24*tab!$C$66,2)</f>
        <v>47824.5</v>
      </c>
      <c r="N24" s="78">
        <f>ROUND(I24*tab!$C$66,2)</f>
        <v>47824.5</v>
      </c>
      <c r="O24" s="78">
        <f>ROUND(J24*tab!$C$66,2)</f>
        <v>47824.5</v>
      </c>
      <c r="P24" s="81"/>
      <c r="Q24" s="182">
        <v>0</v>
      </c>
      <c r="R24" s="141">
        <f t="shared" si="0"/>
        <v>0</v>
      </c>
      <c r="S24" s="141">
        <f t="shared" si="0"/>
        <v>0</v>
      </c>
      <c r="T24" s="141">
        <f t="shared" si="0"/>
        <v>0</v>
      </c>
      <c r="U24" s="81"/>
      <c r="V24" s="78">
        <f>+G24*tab!$C$69</f>
        <v>4501.5</v>
      </c>
      <c r="W24" s="78">
        <f>+H24*tab!$D$69</f>
        <v>4596</v>
      </c>
      <c r="X24" s="78">
        <f>+I24*tab!$D$69</f>
        <v>4596</v>
      </c>
      <c r="Y24" s="78">
        <f>+J24*tab!$D$69</f>
        <v>4596</v>
      </c>
      <c r="Z24" s="81"/>
      <c r="AA24" s="77">
        <v>0</v>
      </c>
      <c r="AB24" s="182">
        <f t="shared" si="1"/>
        <v>0</v>
      </c>
      <c r="AC24" s="141">
        <f t="shared" si="2"/>
        <v>0</v>
      </c>
      <c r="AD24" s="141">
        <f t="shared" si="2"/>
        <v>0</v>
      </c>
      <c r="AE24" s="102"/>
      <c r="AF24" s="154"/>
    </row>
    <row r="25" spans="2:32" s="134" customFormat="1" x14ac:dyDescent="0.2">
      <c r="B25" s="153"/>
      <c r="C25" s="174"/>
      <c r="D25" s="60">
        <v>13</v>
      </c>
      <c r="E25" s="429" t="str">
        <f>+'bas LO'!E25</f>
        <v>school 13</v>
      </c>
      <c r="F25" s="429" t="str">
        <f>+'bas LO'!F25</f>
        <v>11AA</v>
      </c>
      <c r="G25" s="430">
        <f>+'bas LO'!G25</f>
        <v>150</v>
      </c>
      <c r="H25" s="430">
        <f>+'bas LO'!H25</f>
        <v>150</v>
      </c>
      <c r="I25" s="430">
        <f>+'bas LO'!I25</f>
        <v>150</v>
      </c>
      <c r="J25" s="430">
        <f>+'bas LO'!J25</f>
        <v>150</v>
      </c>
      <c r="K25" s="81"/>
      <c r="L25" s="78">
        <f>ROUND(G25*tab!$C$66,2)</f>
        <v>47824.5</v>
      </c>
      <c r="M25" s="78">
        <f>ROUND(H25*tab!$C$66,2)</f>
        <v>47824.5</v>
      </c>
      <c r="N25" s="78">
        <f>ROUND(I25*tab!$C$66,2)</f>
        <v>47824.5</v>
      </c>
      <c r="O25" s="78">
        <f>ROUND(J25*tab!$C$66,2)</f>
        <v>47824.5</v>
      </c>
      <c r="P25" s="81"/>
      <c r="Q25" s="182">
        <v>0</v>
      </c>
      <c r="R25" s="141">
        <f t="shared" si="0"/>
        <v>0</v>
      </c>
      <c r="S25" s="141">
        <f t="shared" si="0"/>
        <v>0</v>
      </c>
      <c r="T25" s="141">
        <f t="shared" si="0"/>
        <v>0</v>
      </c>
      <c r="U25" s="81"/>
      <c r="V25" s="78">
        <f>+G25*tab!$C$69</f>
        <v>4501.5</v>
      </c>
      <c r="W25" s="78">
        <f>+H25*tab!$D$69</f>
        <v>4596</v>
      </c>
      <c r="X25" s="78">
        <f>+I25*tab!$D$69</f>
        <v>4596</v>
      </c>
      <c r="Y25" s="78">
        <f>+J25*tab!$D$69</f>
        <v>4596</v>
      </c>
      <c r="Z25" s="81"/>
      <c r="AA25" s="77">
        <v>0</v>
      </c>
      <c r="AB25" s="182">
        <f t="shared" si="1"/>
        <v>0</v>
      </c>
      <c r="AC25" s="141">
        <f t="shared" si="2"/>
        <v>0</v>
      </c>
      <c r="AD25" s="141">
        <f t="shared" si="2"/>
        <v>0</v>
      </c>
      <c r="AE25" s="102"/>
      <c r="AF25" s="154"/>
    </row>
    <row r="26" spans="2:32" s="134" customFormat="1" x14ac:dyDescent="0.2">
      <c r="B26" s="153"/>
      <c r="C26" s="174"/>
      <c r="D26" s="60">
        <v>14</v>
      </c>
      <c r="E26" s="429" t="str">
        <f>+'bas LO'!E26</f>
        <v>school 14</v>
      </c>
      <c r="F26" s="429" t="str">
        <f>+'bas LO'!F26</f>
        <v>11AA</v>
      </c>
      <c r="G26" s="430">
        <f>+'bas LO'!G26</f>
        <v>150</v>
      </c>
      <c r="H26" s="430">
        <f>+'bas LO'!H26</f>
        <v>150</v>
      </c>
      <c r="I26" s="430">
        <f>+'bas LO'!I26</f>
        <v>150</v>
      </c>
      <c r="J26" s="430">
        <f>+'bas LO'!J26</f>
        <v>150</v>
      </c>
      <c r="K26" s="81"/>
      <c r="L26" s="78">
        <f>ROUND(G26*tab!$C$66,2)</f>
        <v>47824.5</v>
      </c>
      <c r="M26" s="78">
        <f>ROUND(H26*tab!$C$66,2)</f>
        <v>47824.5</v>
      </c>
      <c r="N26" s="78">
        <f>ROUND(I26*tab!$C$66,2)</f>
        <v>47824.5</v>
      </c>
      <c r="O26" s="78">
        <f>ROUND(J26*tab!$C$66,2)</f>
        <v>47824.5</v>
      </c>
      <c r="P26" s="81"/>
      <c r="Q26" s="182">
        <v>0</v>
      </c>
      <c r="R26" s="141">
        <f t="shared" si="0"/>
        <v>0</v>
      </c>
      <c r="S26" s="141">
        <f t="shared" si="0"/>
        <v>0</v>
      </c>
      <c r="T26" s="141">
        <f t="shared" si="0"/>
        <v>0</v>
      </c>
      <c r="U26" s="81"/>
      <c r="V26" s="78">
        <f>+G26*tab!$C$69</f>
        <v>4501.5</v>
      </c>
      <c r="W26" s="78">
        <f>+H26*tab!$D$69</f>
        <v>4596</v>
      </c>
      <c r="X26" s="78">
        <f>+I26*tab!$D$69</f>
        <v>4596</v>
      </c>
      <c r="Y26" s="78">
        <f>+J26*tab!$D$69</f>
        <v>4596</v>
      </c>
      <c r="Z26" s="81"/>
      <c r="AA26" s="77">
        <v>0</v>
      </c>
      <c r="AB26" s="182">
        <f t="shared" si="1"/>
        <v>0</v>
      </c>
      <c r="AC26" s="141">
        <f t="shared" si="2"/>
        <v>0</v>
      </c>
      <c r="AD26" s="141">
        <f t="shared" si="2"/>
        <v>0</v>
      </c>
      <c r="AE26" s="102"/>
      <c r="AF26" s="154"/>
    </row>
    <row r="27" spans="2:32" s="134" customFormat="1" x14ac:dyDescent="0.2">
      <c r="B27" s="153"/>
      <c r="C27" s="174"/>
      <c r="D27" s="60">
        <v>15</v>
      </c>
      <c r="E27" s="429" t="str">
        <f>+'bas LO'!E27</f>
        <v>school 15</v>
      </c>
      <c r="F27" s="429" t="str">
        <f>+'bas LO'!F27</f>
        <v>11AA</v>
      </c>
      <c r="G27" s="430">
        <f>+'bas LO'!G27</f>
        <v>150</v>
      </c>
      <c r="H27" s="430">
        <f>+'bas LO'!H27</f>
        <v>150</v>
      </c>
      <c r="I27" s="430">
        <f>+'bas LO'!I27</f>
        <v>150</v>
      </c>
      <c r="J27" s="430">
        <f>+'bas LO'!J27</f>
        <v>150</v>
      </c>
      <c r="K27" s="81"/>
      <c r="L27" s="78">
        <f>ROUND(G27*tab!$C$66,2)</f>
        <v>47824.5</v>
      </c>
      <c r="M27" s="78">
        <f>ROUND(H27*tab!$C$66,2)</f>
        <v>47824.5</v>
      </c>
      <c r="N27" s="78">
        <f>ROUND(I27*tab!$C$66,2)</f>
        <v>47824.5</v>
      </c>
      <c r="O27" s="78">
        <f>ROUND(J27*tab!$C$66,2)</f>
        <v>47824.5</v>
      </c>
      <c r="P27" s="81"/>
      <c r="Q27" s="182">
        <v>0</v>
      </c>
      <c r="R27" s="141">
        <f t="shared" si="0"/>
        <v>0</v>
      </c>
      <c r="S27" s="141">
        <f t="shared" si="0"/>
        <v>0</v>
      </c>
      <c r="T27" s="141">
        <f t="shared" si="0"/>
        <v>0</v>
      </c>
      <c r="U27" s="81"/>
      <c r="V27" s="78">
        <f>+G27*tab!$C$69</f>
        <v>4501.5</v>
      </c>
      <c r="W27" s="78">
        <f>+H27*tab!$D$69</f>
        <v>4596</v>
      </c>
      <c r="X27" s="78">
        <f>+I27*tab!$D$69</f>
        <v>4596</v>
      </c>
      <c r="Y27" s="78">
        <f>+J27*tab!$D$69</f>
        <v>4596</v>
      </c>
      <c r="Z27" s="81"/>
      <c r="AA27" s="77">
        <v>0</v>
      </c>
      <c r="AB27" s="182">
        <f t="shared" si="1"/>
        <v>0</v>
      </c>
      <c r="AC27" s="141">
        <f t="shared" si="2"/>
        <v>0</v>
      </c>
      <c r="AD27" s="141">
        <f t="shared" si="2"/>
        <v>0</v>
      </c>
      <c r="AE27" s="102"/>
      <c r="AF27" s="154"/>
    </row>
    <row r="28" spans="2:32" s="134" customFormat="1" x14ac:dyDescent="0.2">
      <c r="B28" s="153"/>
      <c r="C28" s="174"/>
      <c r="D28" s="60">
        <v>16</v>
      </c>
      <c r="E28" s="429" t="str">
        <f>+'bas LO'!E28</f>
        <v>school 16</v>
      </c>
      <c r="F28" s="429" t="str">
        <f>+'bas LO'!F28</f>
        <v>11AA</v>
      </c>
      <c r="G28" s="430">
        <f>+'bas LO'!G28</f>
        <v>150</v>
      </c>
      <c r="H28" s="430">
        <f>+'bas LO'!H28</f>
        <v>150</v>
      </c>
      <c r="I28" s="430">
        <f>+'bas LO'!I28</f>
        <v>150</v>
      </c>
      <c r="J28" s="430">
        <f>+'bas LO'!J28</f>
        <v>150</v>
      </c>
      <c r="K28" s="81"/>
      <c r="L28" s="78">
        <f>ROUND(G28*tab!$C$66,2)</f>
        <v>47824.5</v>
      </c>
      <c r="M28" s="78">
        <f>ROUND(H28*tab!$C$66,2)</f>
        <v>47824.5</v>
      </c>
      <c r="N28" s="78">
        <f>ROUND(I28*tab!$C$66,2)</f>
        <v>47824.5</v>
      </c>
      <c r="O28" s="78">
        <f>ROUND(J28*tab!$C$66,2)</f>
        <v>47824.5</v>
      </c>
      <c r="P28" s="81"/>
      <c r="Q28" s="182">
        <v>0</v>
      </c>
      <c r="R28" s="141">
        <f t="shared" si="0"/>
        <v>0</v>
      </c>
      <c r="S28" s="141">
        <f t="shared" si="0"/>
        <v>0</v>
      </c>
      <c r="T28" s="141">
        <f t="shared" si="0"/>
        <v>0</v>
      </c>
      <c r="U28" s="81"/>
      <c r="V28" s="78">
        <f>+G28*tab!$C$69</f>
        <v>4501.5</v>
      </c>
      <c r="W28" s="78">
        <f>+H28*tab!$D$69</f>
        <v>4596</v>
      </c>
      <c r="X28" s="78">
        <f>+I28*tab!$D$69</f>
        <v>4596</v>
      </c>
      <c r="Y28" s="78">
        <f>+J28*tab!$D$69</f>
        <v>4596</v>
      </c>
      <c r="Z28" s="81"/>
      <c r="AA28" s="77">
        <v>0</v>
      </c>
      <c r="AB28" s="182">
        <f t="shared" si="1"/>
        <v>0</v>
      </c>
      <c r="AC28" s="141">
        <f t="shared" si="2"/>
        <v>0</v>
      </c>
      <c r="AD28" s="141">
        <f t="shared" si="2"/>
        <v>0</v>
      </c>
      <c r="AE28" s="102"/>
      <c r="AF28" s="154"/>
    </row>
    <row r="29" spans="2:32" s="134" customFormat="1" x14ac:dyDescent="0.2">
      <c r="B29" s="153"/>
      <c r="C29" s="174"/>
      <c r="D29" s="60">
        <v>17</v>
      </c>
      <c r="E29" s="429" t="str">
        <f>+'bas LO'!E29</f>
        <v>school 17</v>
      </c>
      <c r="F29" s="429" t="str">
        <f>+'bas LO'!F29</f>
        <v>11AA</v>
      </c>
      <c r="G29" s="430">
        <f>+'bas LO'!G29</f>
        <v>150</v>
      </c>
      <c r="H29" s="430">
        <f>+'bas LO'!H29</f>
        <v>150</v>
      </c>
      <c r="I29" s="430">
        <f>+'bas LO'!I29</f>
        <v>150</v>
      </c>
      <c r="J29" s="430">
        <f>+'bas LO'!J29</f>
        <v>150</v>
      </c>
      <c r="K29" s="81"/>
      <c r="L29" s="78">
        <f>ROUND(G29*tab!$C$66,2)</f>
        <v>47824.5</v>
      </c>
      <c r="M29" s="78">
        <f>ROUND(H29*tab!$C$66,2)</f>
        <v>47824.5</v>
      </c>
      <c r="N29" s="78">
        <f>ROUND(I29*tab!$C$66,2)</f>
        <v>47824.5</v>
      </c>
      <c r="O29" s="78">
        <f>ROUND(J29*tab!$C$66,2)</f>
        <v>47824.5</v>
      </c>
      <c r="P29" s="81"/>
      <c r="Q29" s="182">
        <v>0</v>
      </c>
      <c r="R29" s="141">
        <f t="shared" si="0"/>
        <v>0</v>
      </c>
      <c r="S29" s="141">
        <f t="shared" si="0"/>
        <v>0</v>
      </c>
      <c r="T29" s="141">
        <f t="shared" si="0"/>
        <v>0</v>
      </c>
      <c r="U29" s="81"/>
      <c r="V29" s="78">
        <f>+G29*tab!$C$69</f>
        <v>4501.5</v>
      </c>
      <c r="W29" s="78">
        <f>+H29*tab!$D$69</f>
        <v>4596</v>
      </c>
      <c r="X29" s="78">
        <f>+I29*tab!$D$69</f>
        <v>4596</v>
      </c>
      <c r="Y29" s="78">
        <f>+J29*tab!$D$69</f>
        <v>4596</v>
      </c>
      <c r="Z29" s="81"/>
      <c r="AA29" s="77">
        <v>0</v>
      </c>
      <c r="AB29" s="182">
        <f t="shared" si="1"/>
        <v>0</v>
      </c>
      <c r="AC29" s="141">
        <f t="shared" si="2"/>
        <v>0</v>
      </c>
      <c r="AD29" s="141">
        <f t="shared" si="2"/>
        <v>0</v>
      </c>
      <c r="AE29" s="102"/>
      <c r="AF29" s="154"/>
    </row>
    <row r="30" spans="2:32" s="134" customFormat="1" x14ac:dyDescent="0.2">
      <c r="B30" s="153"/>
      <c r="C30" s="174"/>
      <c r="D30" s="60">
        <v>18</v>
      </c>
      <c r="E30" s="429" t="str">
        <f>+'bas LO'!E30</f>
        <v>school 18</v>
      </c>
      <c r="F30" s="429" t="str">
        <f>+'bas LO'!F30</f>
        <v>11AA</v>
      </c>
      <c r="G30" s="430">
        <f>+'bas LO'!G30</f>
        <v>150</v>
      </c>
      <c r="H30" s="430">
        <f>+'bas LO'!H30</f>
        <v>150</v>
      </c>
      <c r="I30" s="430">
        <f>+'bas LO'!I30</f>
        <v>150</v>
      </c>
      <c r="J30" s="430">
        <f>+'bas LO'!J30</f>
        <v>150</v>
      </c>
      <c r="K30" s="81"/>
      <c r="L30" s="78">
        <f>ROUND(G30*tab!$C$66,2)</f>
        <v>47824.5</v>
      </c>
      <c r="M30" s="78">
        <f>ROUND(H30*tab!$C$66,2)</f>
        <v>47824.5</v>
      </c>
      <c r="N30" s="78">
        <f>ROUND(I30*tab!$C$66,2)</f>
        <v>47824.5</v>
      </c>
      <c r="O30" s="78">
        <f>ROUND(J30*tab!$C$66,2)</f>
        <v>47824.5</v>
      </c>
      <c r="P30" s="81"/>
      <c r="Q30" s="182">
        <v>0</v>
      </c>
      <c r="R30" s="141">
        <f t="shared" si="0"/>
        <v>0</v>
      </c>
      <c r="S30" s="141">
        <f t="shared" si="0"/>
        <v>0</v>
      </c>
      <c r="T30" s="141">
        <f t="shared" si="0"/>
        <v>0</v>
      </c>
      <c r="U30" s="81"/>
      <c r="V30" s="78">
        <f>+G30*tab!$C$69</f>
        <v>4501.5</v>
      </c>
      <c r="W30" s="78">
        <f>+H30*tab!$D$69</f>
        <v>4596</v>
      </c>
      <c r="X30" s="78">
        <f>+I30*tab!$D$69</f>
        <v>4596</v>
      </c>
      <c r="Y30" s="78">
        <f>+J30*tab!$D$69</f>
        <v>4596</v>
      </c>
      <c r="Z30" s="81"/>
      <c r="AA30" s="77">
        <v>0</v>
      </c>
      <c r="AB30" s="182">
        <f t="shared" si="1"/>
        <v>0</v>
      </c>
      <c r="AC30" s="141">
        <f t="shared" si="2"/>
        <v>0</v>
      </c>
      <c r="AD30" s="141">
        <f t="shared" si="2"/>
        <v>0</v>
      </c>
      <c r="AE30" s="102"/>
      <c r="AF30" s="154"/>
    </row>
    <row r="31" spans="2:32" s="134" customFormat="1" x14ac:dyDescent="0.2">
      <c r="B31" s="153"/>
      <c r="C31" s="174"/>
      <c r="D31" s="60">
        <v>19</v>
      </c>
      <c r="E31" s="429" t="str">
        <f>+'bas LO'!E31</f>
        <v>school 19</v>
      </c>
      <c r="F31" s="429" t="str">
        <f>+'bas LO'!F31</f>
        <v>11AA</v>
      </c>
      <c r="G31" s="430">
        <f>+'bas LO'!G31</f>
        <v>150</v>
      </c>
      <c r="H31" s="430">
        <f>+'bas LO'!H31</f>
        <v>150</v>
      </c>
      <c r="I31" s="430">
        <f>+'bas LO'!I31</f>
        <v>150</v>
      </c>
      <c r="J31" s="430">
        <f>+'bas LO'!J31</f>
        <v>150</v>
      </c>
      <c r="K31" s="81"/>
      <c r="L31" s="78">
        <f>ROUND(G31*tab!$C$66,2)</f>
        <v>47824.5</v>
      </c>
      <c r="M31" s="78">
        <f>ROUND(H31*tab!$C$66,2)</f>
        <v>47824.5</v>
      </c>
      <c r="N31" s="78">
        <f>ROUND(I31*tab!$C$66,2)</f>
        <v>47824.5</v>
      </c>
      <c r="O31" s="78">
        <f>ROUND(J31*tab!$C$66,2)</f>
        <v>47824.5</v>
      </c>
      <c r="P31" s="81"/>
      <c r="Q31" s="182">
        <v>0</v>
      </c>
      <c r="R31" s="141">
        <f t="shared" si="0"/>
        <v>0</v>
      </c>
      <c r="S31" s="141">
        <f t="shared" si="0"/>
        <v>0</v>
      </c>
      <c r="T31" s="141">
        <f t="shared" si="0"/>
        <v>0</v>
      </c>
      <c r="U31" s="81"/>
      <c r="V31" s="78">
        <f>+G31*tab!$C$69</f>
        <v>4501.5</v>
      </c>
      <c r="W31" s="78">
        <f>+H31*tab!$D$69</f>
        <v>4596</v>
      </c>
      <c r="X31" s="78">
        <f>+I31*tab!$D$69</f>
        <v>4596</v>
      </c>
      <c r="Y31" s="78">
        <f>+J31*tab!$D$69</f>
        <v>4596</v>
      </c>
      <c r="Z31" s="81"/>
      <c r="AA31" s="77">
        <v>0</v>
      </c>
      <c r="AB31" s="182">
        <f t="shared" si="1"/>
        <v>0</v>
      </c>
      <c r="AC31" s="141">
        <f t="shared" si="2"/>
        <v>0</v>
      </c>
      <c r="AD31" s="141">
        <f t="shared" si="2"/>
        <v>0</v>
      </c>
      <c r="AE31" s="102"/>
      <c r="AF31" s="154"/>
    </row>
    <row r="32" spans="2:32" s="134" customFormat="1" x14ac:dyDescent="0.2">
      <c r="B32" s="153"/>
      <c r="C32" s="174"/>
      <c r="D32" s="60">
        <v>20</v>
      </c>
      <c r="E32" s="429" t="str">
        <f>+'bas LO'!E32</f>
        <v>school 20</v>
      </c>
      <c r="F32" s="429" t="str">
        <f>+'bas LO'!F32</f>
        <v>11AA</v>
      </c>
      <c r="G32" s="430">
        <f>+'bas LO'!G32</f>
        <v>150</v>
      </c>
      <c r="H32" s="430">
        <f>+'bas LO'!H32</f>
        <v>150</v>
      </c>
      <c r="I32" s="430">
        <f>+'bas LO'!I32</f>
        <v>150</v>
      </c>
      <c r="J32" s="430">
        <f>+'bas LO'!J32</f>
        <v>150</v>
      </c>
      <c r="K32" s="81"/>
      <c r="L32" s="78">
        <f>ROUND(G32*tab!$C$66,2)</f>
        <v>47824.5</v>
      </c>
      <c r="M32" s="78">
        <f>ROUND(H32*tab!$C$66,2)</f>
        <v>47824.5</v>
      </c>
      <c r="N32" s="78">
        <f>ROUND(I32*tab!$C$66,2)</f>
        <v>47824.5</v>
      </c>
      <c r="O32" s="78">
        <f>ROUND(J32*tab!$C$66,2)</f>
        <v>47824.5</v>
      </c>
      <c r="P32" s="81"/>
      <c r="Q32" s="182">
        <v>0</v>
      </c>
      <c r="R32" s="141">
        <f t="shared" si="0"/>
        <v>0</v>
      </c>
      <c r="S32" s="141">
        <f t="shared" si="0"/>
        <v>0</v>
      </c>
      <c r="T32" s="141">
        <f t="shared" si="0"/>
        <v>0</v>
      </c>
      <c r="U32" s="81"/>
      <c r="V32" s="78">
        <f>+G32*tab!$C$69</f>
        <v>4501.5</v>
      </c>
      <c r="W32" s="78">
        <f>+H32*tab!$D$69</f>
        <v>4596</v>
      </c>
      <c r="X32" s="78">
        <f>+I32*tab!$D$69</f>
        <v>4596</v>
      </c>
      <c r="Y32" s="78">
        <f>+J32*tab!$D$69</f>
        <v>4596</v>
      </c>
      <c r="Z32" s="81"/>
      <c r="AA32" s="77">
        <v>0</v>
      </c>
      <c r="AB32" s="182">
        <f t="shared" si="1"/>
        <v>0</v>
      </c>
      <c r="AC32" s="141">
        <f t="shared" si="2"/>
        <v>0</v>
      </c>
      <c r="AD32" s="141">
        <f t="shared" si="2"/>
        <v>0</v>
      </c>
      <c r="AE32" s="102"/>
      <c r="AF32" s="154"/>
    </row>
    <row r="33" spans="2:32" s="134" customFormat="1" x14ac:dyDescent="0.2">
      <c r="B33" s="153"/>
      <c r="C33" s="174"/>
      <c r="D33" s="60">
        <v>21</v>
      </c>
      <c r="E33" s="429" t="str">
        <f>+'bas LO'!E33</f>
        <v>school 21</v>
      </c>
      <c r="F33" s="429" t="str">
        <f>+'bas LO'!F33</f>
        <v>11AA</v>
      </c>
      <c r="G33" s="430">
        <f>+'bas LO'!G33</f>
        <v>150</v>
      </c>
      <c r="H33" s="430">
        <f>+'bas LO'!H33</f>
        <v>150</v>
      </c>
      <c r="I33" s="430">
        <f>+'bas LO'!I33</f>
        <v>150</v>
      </c>
      <c r="J33" s="430">
        <f>+'bas LO'!J33</f>
        <v>150</v>
      </c>
      <c r="K33" s="81"/>
      <c r="L33" s="78">
        <f>ROUND(G33*tab!$C$66,2)</f>
        <v>47824.5</v>
      </c>
      <c r="M33" s="78">
        <f>ROUND(H33*tab!$C$66,2)</f>
        <v>47824.5</v>
      </c>
      <c r="N33" s="78">
        <f>ROUND(I33*tab!$C$66,2)</f>
        <v>47824.5</v>
      </c>
      <c r="O33" s="78">
        <f>ROUND(J33*tab!$C$66,2)</f>
        <v>47824.5</v>
      </c>
      <c r="P33" s="81"/>
      <c r="Q33" s="182">
        <v>0</v>
      </c>
      <c r="R33" s="141">
        <f t="shared" ref="R33:T52" si="3">Q33</f>
        <v>0</v>
      </c>
      <c r="S33" s="141">
        <f t="shared" si="3"/>
        <v>0</v>
      </c>
      <c r="T33" s="141">
        <f t="shared" si="3"/>
        <v>0</v>
      </c>
      <c r="U33" s="81"/>
      <c r="V33" s="78">
        <f>+G33*tab!$C$69</f>
        <v>4501.5</v>
      </c>
      <c r="W33" s="78">
        <f>+H33*tab!$D$69</f>
        <v>4596</v>
      </c>
      <c r="X33" s="78">
        <f>+I33*tab!$D$69</f>
        <v>4596</v>
      </c>
      <c r="Y33" s="78">
        <f>+J33*tab!$D$69</f>
        <v>4596</v>
      </c>
      <c r="Z33" s="81"/>
      <c r="AA33" s="77">
        <v>0</v>
      </c>
      <c r="AB33" s="182">
        <f t="shared" si="1"/>
        <v>0</v>
      </c>
      <c r="AC33" s="141">
        <f t="shared" ref="AC33:AD52" si="4">AB33</f>
        <v>0</v>
      </c>
      <c r="AD33" s="141">
        <f t="shared" si="4"/>
        <v>0</v>
      </c>
      <c r="AE33" s="102"/>
      <c r="AF33" s="154"/>
    </row>
    <row r="34" spans="2:32" s="134" customFormat="1" x14ac:dyDescent="0.2">
      <c r="B34" s="153"/>
      <c r="C34" s="174"/>
      <c r="D34" s="60">
        <v>22</v>
      </c>
      <c r="E34" s="429" t="str">
        <f>+'bas LO'!E34</f>
        <v>school 22</v>
      </c>
      <c r="F34" s="429" t="str">
        <f>+'bas LO'!F34</f>
        <v>11AA</v>
      </c>
      <c r="G34" s="430">
        <f>+'bas LO'!G34</f>
        <v>150</v>
      </c>
      <c r="H34" s="430">
        <f>+'bas LO'!H34</f>
        <v>150</v>
      </c>
      <c r="I34" s="430">
        <f>+'bas LO'!I34</f>
        <v>150</v>
      </c>
      <c r="J34" s="430">
        <f>+'bas LO'!J34</f>
        <v>150</v>
      </c>
      <c r="K34" s="81"/>
      <c r="L34" s="78">
        <f>ROUND(G34*tab!$C$66,2)</f>
        <v>47824.5</v>
      </c>
      <c r="M34" s="78">
        <f>ROUND(H34*tab!$C$66,2)</f>
        <v>47824.5</v>
      </c>
      <c r="N34" s="78">
        <f>ROUND(I34*tab!$C$66,2)</f>
        <v>47824.5</v>
      </c>
      <c r="O34" s="78">
        <f>ROUND(J34*tab!$C$66,2)</f>
        <v>47824.5</v>
      </c>
      <c r="P34" s="81"/>
      <c r="Q34" s="182">
        <v>0</v>
      </c>
      <c r="R34" s="141">
        <f t="shared" si="3"/>
        <v>0</v>
      </c>
      <c r="S34" s="141">
        <f t="shared" si="3"/>
        <v>0</v>
      </c>
      <c r="T34" s="141">
        <f t="shared" si="3"/>
        <v>0</v>
      </c>
      <c r="U34" s="81"/>
      <c r="V34" s="78">
        <f>+G34*tab!$C$69</f>
        <v>4501.5</v>
      </c>
      <c r="W34" s="78">
        <f>+H34*tab!$D$69</f>
        <v>4596</v>
      </c>
      <c r="X34" s="78">
        <f>+I34*tab!$D$69</f>
        <v>4596</v>
      </c>
      <c r="Y34" s="78">
        <f>+J34*tab!$D$69</f>
        <v>4596</v>
      </c>
      <c r="Z34" s="81"/>
      <c r="AA34" s="77">
        <v>0</v>
      </c>
      <c r="AB34" s="182">
        <f t="shared" si="1"/>
        <v>0</v>
      </c>
      <c r="AC34" s="141">
        <f t="shared" si="4"/>
        <v>0</v>
      </c>
      <c r="AD34" s="141">
        <f t="shared" si="4"/>
        <v>0</v>
      </c>
      <c r="AE34" s="102"/>
      <c r="AF34" s="154"/>
    </row>
    <row r="35" spans="2:32" s="134" customFormat="1" x14ac:dyDescent="0.2">
      <c r="B35" s="153"/>
      <c r="C35" s="174"/>
      <c r="D35" s="60">
        <v>23</v>
      </c>
      <c r="E35" s="429" t="str">
        <f>+'bas LO'!E35</f>
        <v>school 23</v>
      </c>
      <c r="F35" s="429" t="str">
        <f>+'bas LO'!F35</f>
        <v>11AA</v>
      </c>
      <c r="G35" s="430">
        <f>+'bas LO'!G35</f>
        <v>150</v>
      </c>
      <c r="H35" s="430">
        <f>+'bas LO'!H35</f>
        <v>150</v>
      </c>
      <c r="I35" s="430">
        <f>+'bas LO'!I35</f>
        <v>150</v>
      </c>
      <c r="J35" s="430">
        <f>+'bas LO'!J35</f>
        <v>150</v>
      </c>
      <c r="K35" s="81"/>
      <c r="L35" s="78">
        <f>ROUND(G35*tab!$C$66,2)</f>
        <v>47824.5</v>
      </c>
      <c r="M35" s="78">
        <f>ROUND(H35*tab!$C$66,2)</f>
        <v>47824.5</v>
      </c>
      <c r="N35" s="78">
        <f>ROUND(I35*tab!$C$66,2)</f>
        <v>47824.5</v>
      </c>
      <c r="O35" s="78">
        <f>ROUND(J35*tab!$C$66,2)</f>
        <v>47824.5</v>
      </c>
      <c r="P35" s="81"/>
      <c r="Q35" s="182">
        <v>0</v>
      </c>
      <c r="R35" s="141">
        <f t="shared" si="3"/>
        <v>0</v>
      </c>
      <c r="S35" s="141">
        <f t="shared" si="3"/>
        <v>0</v>
      </c>
      <c r="T35" s="141">
        <f t="shared" si="3"/>
        <v>0</v>
      </c>
      <c r="U35" s="81"/>
      <c r="V35" s="78">
        <f>+G35*tab!$C$69</f>
        <v>4501.5</v>
      </c>
      <c r="W35" s="78">
        <f>+H35*tab!$D$69</f>
        <v>4596</v>
      </c>
      <c r="X35" s="78">
        <f>+I35*tab!$D$69</f>
        <v>4596</v>
      </c>
      <c r="Y35" s="78">
        <f>+J35*tab!$D$69</f>
        <v>4596</v>
      </c>
      <c r="Z35" s="81"/>
      <c r="AA35" s="77">
        <v>0</v>
      </c>
      <c r="AB35" s="182">
        <f t="shared" si="1"/>
        <v>0</v>
      </c>
      <c r="AC35" s="141">
        <f t="shared" si="4"/>
        <v>0</v>
      </c>
      <c r="AD35" s="141">
        <f t="shared" si="4"/>
        <v>0</v>
      </c>
      <c r="AE35" s="102"/>
      <c r="AF35" s="154"/>
    </row>
    <row r="36" spans="2:32" s="134" customFormat="1" x14ac:dyDescent="0.2">
      <c r="B36" s="153"/>
      <c r="C36" s="174"/>
      <c r="D36" s="60">
        <v>24</v>
      </c>
      <c r="E36" s="429" t="str">
        <f>+'bas LO'!E36</f>
        <v>school 24</v>
      </c>
      <c r="F36" s="429" t="str">
        <f>+'bas LO'!F36</f>
        <v>11AA</v>
      </c>
      <c r="G36" s="430">
        <f>+'bas LO'!G36</f>
        <v>150</v>
      </c>
      <c r="H36" s="430">
        <f>+'bas LO'!H36</f>
        <v>150</v>
      </c>
      <c r="I36" s="430">
        <f>+'bas LO'!I36</f>
        <v>150</v>
      </c>
      <c r="J36" s="430">
        <f>+'bas LO'!J36</f>
        <v>150</v>
      </c>
      <c r="K36" s="81"/>
      <c r="L36" s="78">
        <f>ROUND(G36*tab!$C$66,2)</f>
        <v>47824.5</v>
      </c>
      <c r="M36" s="78">
        <f>ROUND(H36*tab!$C$66,2)</f>
        <v>47824.5</v>
      </c>
      <c r="N36" s="78">
        <f>ROUND(I36*tab!$C$66,2)</f>
        <v>47824.5</v>
      </c>
      <c r="O36" s="78">
        <f>ROUND(J36*tab!$C$66,2)</f>
        <v>47824.5</v>
      </c>
      <c r="P36" s="81"/>
      <c r="Q36" s="182">
        <v>0</v>
      </c>
      <c r="R36" s="141">
        <f t="shared" si="3"/>
        <v>0</v>
      </c>
      <c r="S36" s="141">
        <f t="shared" si="3"/>
        <v>0</v>
      </c>
      <c r="T36" s="141">
        <f t="shared" si="3"/>
        <v>0</v>
      </c>
      <c r="U36" s="81"/>
      <c r="V36" s="78">
        <f>+G36*tab!$C$69</f>
        <v>4501.5</v>
      </c>
      <c r="W36" s="78">
        <f>+H36*tab!$D$69</f>
        <v>4596</v>
      </c>
      <c r="X36" s="78">
        <f>+I36*tab!$D$69</f>
        <v>4596</v>
      </c>
      <c r="Y36" s="78">
        <f>+J36*tab!$D$69</f>
        <v>4596</v>
      </c>
      <c r="Z36" s="81"/>
      <c r="AA36" s="77">
        <v>0</v>
      </c>
      <c r="AB36" s="182">
        <f t="shared" si="1"/>
        <v>0</v>
      </c>
      <c r="AC36" s="141">
        <f t="shared" si="4"/>
        <v>0</v>
      </c>
      <c r="AD36" s="141">
        <f t="shared" si="4"/>
        <v>0</v>
      </c>
      <c r="AE36" s="102"/>
      <c r="AF36" s="154"/>
    </row>
    <row r="37" spans="2:32" s="134" customFormat="1" x14ac:dyDescent="0.2">
      <c r="B37" s="153"/>
      <c r="C37" s="174"/>
      <c r="D37" s="60">
        <v>25</v>
      </c>
      <c r="E37" s="429" t="str">
        <f>+'bas LO'!E37</f>
        <v>school 25</v>
      </c>
      <c r="F37" s="429" t="str">
        <f>+'bas LO'!F37</f>
        <v>11AA</v>
      </c>
      <c r="G37" s="430">
        <f>+'bas LO'!G37</f>
        <v>150</v>
      </c>
      <c r="H37" s="430">
        <f>+'bas LO'!H37</f>
        <v>150</v>
      </c>
      <c r="I37" s="430">
        <f>+'bas LO'!I37</f>
        <v>150</v>
      </c>
      <c r="J37" s="430">
        <f>+'bas LO'!J37</f>
        <v>150</v>
      </c>
      <c r="K37" s="81"/>
      <c r="L37" s="78">
        <f>ROUND(G37*tab!$C$66,2)</f>
        <v>47824.5</v>
      </c>
      <c r="M37" s="78">
        <f>ROUND(H37*tab!$C$66,2)</f>
        <v>47824.5</v>
      </c>
      <c r="N37" s="78">
        <f>ROUND(I37*tab!$C$66,2)</f>
        <v>47824.5</v>
      </c>
      <c r="O37" s="78">
        <f>ROUND(J37*tab!$C$66,2)</f>
        <v>47824.5</v>
      </c>
      <c r="P37" s="81"/>
      <c r="Q37" s="182">
        <v>0</v>
      </c>
      <c r="R37" s="141">
        <f t="shared" si="3"/>
        <v>0</v>
      </c>
      <c r="S37" s="141">
        <f t="shared" si="3"/>
        <v>0</v>
      </c>
      <c r="T37" s="141">
        <f t="shared" si="3"/>
        <v>0</v>
      </c>
      <c r="U37" s="81"/>
      <c r="V37" s="78">
        <f>+G37*tab!$C$69</f>
        <v>4501.5</v>
      </c>
      <c r="W37" s="78">
        <f>+H37*tab!$D$69</f>
        <v>4596</v>
      </c>
      <c r="X37" s="78">
        <f>+I37*tab!$D$69</f>
        <v>4596</v>
      </c>
      <c r="Y37" s="78">
        <f>+J37*tab!$D$69</f>
        <v>4596</v>
      </c>
      <c r="Z37" s="81"/>
      <c r="AA37" s="77">
        <v>0</v>
      </c>
      <c r="AB37" s="182">
        <f t="shared" si="1"/>
        <v>0</v>
      </c>
      <c r="AC37" s="141">
        <f t="shared" si="4"/>
        <v>0</v>
      </c>
      <c r="AD37" s="141">
        <f t="shared" si="4"/>
        <v>0</v>
      </c>
      <c r="AE37" s="102"/>
      <c r="AF37" s="154"/>
    </row>
    <row r="38" spans="2:32" s="134" customFormat="1" x14ac:dyDescent="0.2">
      <c r="B38" s="153"/>
      <c r="C38" s="174"/>
      <c r="D38" s="60">
        <v>26</v>
      </c>
      <c r="E38" s="429" t="str">
        <f>+'bas LO'!E38</f>
        <v>school 26</v>
      </c>
      <c r="F38" s="429" t="str">
        <f>+'bas LO'!F38</f>
        <v>11AA</v>
      </c>
      <c r="G38" s="430">
        <f>+'bas LO'!G38</f>
        <v>150</v>
      </c>
      <c r="H38" s="430">
        <f>+'bas LO'!H38</f>
        <v>150</v>
      </c>
      <c r="I38" s="430">
        <f>+'bas LO'!I38</f>
        <v>150</v>
      </c>
      <c r="J38" s="430">
        <f>+'bas LO'!J38</f>
        <v>150</v>
      </c>
      <c r="K38" s="81"/>
      <c r="L38" s="78">
        <f>ROUND(G38*tab!$C$66,2)</f>
        <v>47824.5</v>
      </c>
      <c r="M38" s="78">
        <f>ROUND(H38*tab!$C$66,2)</f>
        <v>47824.5</v>
      </c>
      <c r="N38" s="78">
        <f>ROUND(I38*tab!$C$66,2)</f>
        <v>47824.5</v>
      </c>
      <c r="O38" s="78">
        <f>ROUND(J38*tab!$C$66,2)</f>
        <v>47824.5</v>
      </c>
      <c r="P38" s="81"/>
      <c r="Q38" s="182">
        <v>0</v>
      </c>
      <c r="R38" s="141">
        <f t="shared" si="3"/>
        <v>0</v>
      </c>
      <c r="S38" s="141">
        <f t="shared" si="3"/>
        <v>0</v>
      </c>
      <c r="T38" s="141">
        <f t="shared" si="3"/>
        <v>0</v>
      </c>
      <c r="U38" s="81"/>
      <c r="V38" s="78">
        <f>+G38*tab!$C$69</f>
        <v>4501.5</v>
      </c>
      <c r="W38" s="78">
        <f>+H38*tab!$D$69</f>
        <v>4596</v>
      </c>
      <c r="X38" s="78">
        <f>+I38*tab!$D$69</f>
        <v>4596</v>
      </c>
      <c r="Y38" s="78">
        <f>+J38*tab!$D$69</f>
        <v>4596</v>
      </c>
      <c r="Z38" s="81"/>
      <c r="AA38" s="77">
        <v>0</v>
      </c>
      <c r="AB38" s="182">
        <f t="shared" si="1"/>
        <v>0</v>
      </c>
      <c r="AC38" s="141">
        <f t="shared" si="4"/>
        <v>0</v>
      </c>
      <c r="AD38" s="141">
        <f t="shared" si="4"/>
        <v>0</v>
      </c>
      <c r="AE38" s="102"/>
      <c r="AF38" s="154"/>
    </row>
    <row r="39" spans="2:32" s="134" customFormat="1" x14ac:dyDescent="0.2">
      <c r="B39" s="153"/>
      <c r="C39" s="174"/>
      <c r="D39" s="60">
        <v>27</v>
      </c>
      <c r="E39" s="429" t="str">
        <f>+'bas LO'!E39</f>
        <v>school 27</v>
      </c>
      <c r="F39" s="429" t="str">
        <f>+'bas LO'!F39</f>
        <v>11AA</v>
      </c>
      <c r="G39" s="430">
        <f>+'bas LO'!G39</f>
        <v>150</v>
      </c>
      <c r="H39" s="430">
        <f>+'bas LO'!H39</f>
        <v>150</v>
      </c>
      <c r="I39" s="430">
        <f>+'bas LO'!I39</f>
        <v>150</v>
      </c>
      <c r="J39" s="430">
        <f>+'bas LO'!J39</f>
        <v>150</v>
      </c>
      <c r="K39" s="81"/>
      <c r="L39" s="78">
        <f>ROUND(G39*tab!$C$66,2)</f>
        <v>47824.5</v>
      </c>
      <c r="M39" s="78">
        <f>ROUND(H39*tab!$C$66,2)</f>
        <v>47824.5</v>
      </c>
      <c r="N39" s="78">
        <f>ROUND(I39*tab!$C$66,2)</f>
        <v>47824.5</v>
      </c>
      <c r="O39" s="78">
        <f>ROUND(J39*tab!$C$66,2)</f>
        <v>47824.5</v>
      </c>
      <c r="P39" s="81"/>
      <c r="Q39" s="182">
        <v>0</v>
      </c>
      <c r="R39" s="141">
        <f t="shared" si="3"/>
        <v>0</v>
      </c>
      <c r="S39" s="141">
        <f t="shared" si="3"/>
        <v>0</v>
      </c>
      <c r="T39" s="141">
        <f t="shared" si="3"/>
        <v>0</v>
      </c>
      <c r="U39" s="81"/>
      <c r="V39" s="78">
        <f>+G39*tab!$C$69</f>
        <v>4501.5</v>
      </c>
      <c r="W39" s="78">
        <f>+H39*tab!$D$69</f>
        <v>4596</v>
      </c>
      <c r="X39" s="78">
        <f>+I39*tab!$D$69</f>
        <v>4596</v>
      </c>
      <c r="Y39" s="78">
        <f>+J39*tab!$D$69</f>
        <v>4596</v>
      </c>
      <c r="Z39" s="81"/>
      <c r="AA39" s="77">
        <v>0</v>
      </c>
      <c r="AB39" s="182">
        <f t="shared" si="1"/>
        <v>0</v>
      </c>
      <c r="AC39" s="141">
        <f t="shared" si="4"/>
        <v>0</v>
      </c>
      <c r="AD39" s="141">
        <f t="shared" si="4"/>
        <v>0</v>
      </c>
      <c r="AE39" s="102"/>
      <c r="AF39" s="154"/>
    </row>
    <row r="40" spans="2:32" s="134" customFormat="1" x14ac:dyDescent="0.2">
      <c r="B40" s="153"/>
      <c r="C40" s="174"/>
      <c r="D40" s="60">
        <v>28</v>
      </c>
      <c r="E40" s="429" t="str">
        <f>+'bas LO'!E40</f>
        <v>school 28</v>
      </c>
      <c r="F40" s="429" t="str">
        <f>+'bas LO'!F40</f>
        <v>11AA</v>
      </c>
      <c r="G40" s="430">
        <f>+'bas LO'!G40</f>
        <v>150</v>
      </c>
      <c r="H40" s="430">
        <f>+'bas LO'!H40</f>
        <v>150</v>
      </c>
      <c r="I40" s="430">
        <f>+'bas LO'!I40</f>
        <v>150</v>
      </c>
      <c r="J40" s="430">
        <f>+'bas LO'!J40</f>
        <v>150</v>
      </c>
      <c r="K40" s="81"/>
      <c r="L40" s="78">
        <f>ROUND(G40*tab!$C$66,2)</f>
        <v>47824.5</v>
      </c>
      <c r="M40" s="78">
        <f>ROUND(H40*tab!$C$66,2)</f>
        <v>47824.5</v>
      </c>
      <c r="N40" s="78">
        <f>ROUND(I40*tab!$C$66,2)</f>
        <v>47824.5</v>
      </c>
      <c r="O40" s="78">
        <f>ROUND(J40*tab!$C$66,2)</f>
        <v>47824.5</v>
      </c>
      <c r="P40" s="81"/>
      <c r="Q40" s="182">
        <v>0</v>
      </c>
      <c r="R40" s="141">
        <f t="shared" si="3"/>
        <v>0</v>
      </c>
      <c r="S40" s="141">
        <f t="shared" si="3"/>
        <v>0</v>
      </c>
      <c r="T40" s="141">
        <f t="shared" si="3"/>
        <v>0</v>
      </c>
      <c r="U40" s="81"/>
      <c r="V40" s="78">
        <f>+G40*tab!$C$69</f>
        <v>4501.5</v>
      </c>
      <c r="W40" s="78">
        <f>+H40*tab!$D$69</f>
        <v>4596</v>
      </c>
      <c r="X40" s="78">
        <f>+I40*tab!$D$69</f>
        <v>4596</v>
      </c>
      <c r="Y40" s="78">
        <f>+J40*tab!$D$69</f>
        <v>4596</v>
      </c>
      <c r="Z40" s="81"/>
      <c r="AA40" s="77">
        <v>0</v>
      </c>
      <c r="AB40" s="182">
        <f t="shared" si="1"/>
        <v>0</v>
      </c>
      <c r="AC40" s="141">
        <f t="shared" si="4"/>
        <v>0</v>
      </c>
      <c r="AD40" s="141">
        <f t="shared" si="4"/>
        <v>0</v>
      </c>
      <c r="AE40" s="102"/>
      <c r="AF40" s="154"/>
    </row>
    <row r="41" spans="2:32" s="134" customFormat="1" x14ac:dyDescent="0.2">
      <c r="B41" s="153"/>
      <c r="C41" s="174"/>
      <c r="D41" s="60">
        <v>29</v>
      </c>
      <c r="E41" s="429" t="str">
        <f>+'bas LO'!E41</f>
        <v>school 29</v>
      </c>
      <c r="F41" s="429" t="str">
        <f>+'bas LO'!F41</f>
        <v>11AA</v>
      </c>
      <c r="G41" s="430">
        <f>+'bas LO'!G41</f>
        <v>150</v>
      </c>
      <c r="H41" s="430">
        <f>+'bas LO'!H41</f>
        <v>150</v>
      </c>
      <c r="I41" s="430">
        <f>+'bas LO'!I41</f>
        <v>150</v>
      </c>
      <c r="J41" s="430">
        <f>+'bas LO'!J41</f>
        <v>150</v>
      </c>
      <c r="K41" s="81"/>
      <c r="L41" s="78">
        <f>ROUND(G41*tab!$C$66,2)</f>
        <v>47824.5</v>
      </c>
      <c r="M41" s="78">
        <f>ROUND(H41*tab!$C$66,2)</f>
        <v>47824.5</v>
      </c>
      <c r="N41" s="78">
        <f>ROUND(I41*tab!$C$66,2)</f>
        <v>47824.5</v>
      </c>
      <c r="O41" s="78">
        <f>ROUND(J41*tab!$C$66,2)</f>
        <v>47824.5</v>
      </c>
      <c r="P41" s="81"/>
      <c r="Q41" s="182">
        <v>0</v>
      </c>
      <c r="R41" s="141">
        <f t="shared" si="3"/>
        <v>0</v>
      </c>
      <c r="S41" s="141">
        <f t="shared" si="3"/>
        <v>0</v>
      </c>
      <c r="T41" s="141">
        <f t="shared" si="3"/>
        <v>0</v>
      </c>
      <c r="U41" s="81"/>
      <c r="V41" s="78">
        <f>+G41*tab!$C$69</f>
        <v>4501.5</v>
      </c>
      <c r="W41" s="78">
        <f>+H41*tab!$D$69</f>
        <v>4596</v>
      </c>
      <c r="X41" s="78">
        <f>+I41*tab!$D$69</f>
        <v>4596</v>
      </c>
      <c r="Y41" s="78">
        <f>+J41*tab!$D$69</f>
        <v>4596</v>
      </c>
      <c r="Z41" s="81"/>
      <c r="AA41" s="77">
        <v>0</v>
      </c>
      <c r="AB41" s="182">
        <f t="shared" si="1"/>
        <v>0</v>
      </c>
      <c r="AC41" s="141">
        <f t="shared" si="4"/>
        <v>0</v>
      </c>
      <c r="AD41" s="141">
        <f t="shared" si="4"/>
        <v>0</v>
      </c>
      <c r="AE41" s="102"/>
      <c r="AF41" s="154"/>
    </row>
    <row r="42" spans="2:32" s="134" customFormat="1" x14ac:dyDescent="0.2">
      <c r="B42" s="153"/>
      <c r="C42" s="174"/>
      <c r="D42" s="60">
        <v>30</v>
      </c>
      <c r="E42" s="429" t="str">
        <f>+'bas LO'!E42</f>
        <v>school 30</v>
      </c>
      <c r="F42" s="429" t="str">
        <f>+'bas LO'!F42</f>
        <v>11AA</v>
      </c>
      <c r="G42" s="430">
        <f>+'bas LO'!G42</f>
        <v>150</v>
      </c>
      <c r="H42" s="430">
        <f>+'bas LO'!H42</f>
        <v>150</v>
      </c>
      <c r="I42" s="430">
        <f>+'bas LO'!I42</f>
        <v>150</v>
      </c>
      <c r="J42" s="430">
        <f>+'bas LO'!J42</f>
        <v>150</v>
      </c>
      <c r="K42" s="81"/>
      <c r="L42" s="78">
        <f>ROUND(G42*tab!$C$66,2)</f>
        <v>47824.5</v>
      </c>
      <c r="M42" s="78">
        <f>ROUND(H42*tab!$C$66,2)</f>
        <v>47824.5</v>
      </c>
      <c r="N42" s="78">
        <f>ROUND(I42*tab!$C$66,2)</f>
        <v>47824.5</v>
      </c>
      <c r="O42" s="78">
        <f>ROUND(J42*tab!$C$66,2)</f>
        <v>47824.5</v>
      </c>
      <c r="P42" s="81"/>
      <c r="Q42" s="182">
        <v>0</v>
      </c>
      <c r="R42" s="141">
        <f t="shared" si="3"/>
        <v>0</v>
      </c>
      <c r="S42" s="141">
        <f t="shared" si="3"/>
        <v>0</v>
      </c>
      <c r="T42" s="141">
        <f t="shared" si="3"/>
        <v>0</v>
      </c>
      <c r="U42" s="81"/>
      <c r="V42" s="78">
        <f>+G42*tab!$C$69</f>
        <v>4501.5</v>
      </c>
      <c r="W42" s="78">
        <f>+H42*tab!$D$69</f>
        <v>4596</v>
      </c>
      <c r="X42" s="78">
        <f>+I42*tab!$D$69</f>
        <v>4596</v>
      </c>
      <c r="Y42" s="78">
        <f>+J42*tab!$D$69</f>
        <v>4596</v>
      </c>
      <c r="Z42" s="81"/>
      <c r="AA42" s="77">
        <v>0</v>
      </c>
      <c r="AB42" s="182">
        <f t="shared" si="1"/>
        <v>0</v>
      </c>
      <c r="AC42" s="141">
        <f t="shared" si="4"/>
        <v>0</v>
      </c>
      <c r="AD42" s="141">
        <f t="shared" si="4"/>
        <v>0</v>
      </c>
      <c r="AE42" s="102"/>
      <c r="AF42" s="154"/>
    </row>
    <row r="43" spans="2:32" s="134" customFormat="1" x14ac:dyDescent="0.2">
      <c r="B43" s="153"/>
      <c r="C43" s="174"/>
      <c r="D43" s="60">
        <v>31</v>
      </c>
      <c r="E43" s="429" t="str">
        <f>+'bas LO'!E43</f>
        <v>school 31</v>
      </c>
      <c r="F43" s="429" t="str">
        <f>+'bas LO'!F43</f>
        <v>11AA</v>
      </c>
      <c r="G43" s="430">
        <f>+'bas LO'!G43</f>
        <v>150</v>
      </c>
      <c r="H43" s="430">
        <f>+'bas LO'!H43</f>
        <v>150</v>
      </c>
      <c r="I43" s="430">
        <f>+'bas LO'!I43</f>
        <v>150</v>
      </c>
      <c r="J43" s="430">
        <f>+'bas LO'!J43</f>
        <v>150</v>
      </c>
      <c r="K43" s="81"/>
      <c r="L43" s="78">
        <f>ROUND(G43*tab!$C$66,2)</f>
        <v>47824.5</v>
      </c>
      <c r="M43" s="78">
        <f>ROUND(H43*tab!$C$66,2)</f>
        <v>47824.5</v>
      </c>
      <c r="N43" s="78">
        <f>ROUND(I43*tab!$C$66,2)</f>
        <v>47824.5</v>
      </c>
      <c r="O43" s="78">
        <f>ROUND(J43*tab!$C$66,2)</f>
        <v>47824.5</v>
      </c>
      <c r="P43" s="81"/>
      <c r="Q43" s="182">
        <v>0</v>
      </c>
      <c r="R43" s="141">
        <f t="shared" si="3"/>
        <v>0</v>
      </c>
      <c r="S43" s="141">
        <f t="shared" si="3"/>
        <v>0</v>
      </c>
      <c r="T43" s="141">
        <f t="shared" si="3"/>
        <v>0</v>
      </c>
      <c r="U43" s="81"/>
      <c r="V43" s="78">
        <f>+G43*tab!$C$69</f>
        <v>4501.5</v>
      </c>
      <c r="W43" s="78">
        <f>+H43*tab!$D$69</f>
        <v>4596</v>
      </c>
      <c r="X43" s="78">
        <f>+I43*tab!$D$69</f>
        <v>4596</v>
      </c>
      <c r="Y43" s="78">
        <f>+J43*tab!$D$69</f>
        <v>4596</v>
      </c>
      <c r="Z43" s="81"/>
      <c r="AA43" s="77">
        <v>0</v>
      </c>
      <c r="AB43" s="182">
        <f t="shared" si="1"/>
        <v>0</v>
      </c>
      <c r="AC43" s="141">
        <f t="shared" si="4"/>
        <v>0</v>
      </c>
      <c r="AD43" s="141">
        <f t="shared" si="4"/>
        <v>0</v>
      </c>
      <c r="AE43" s="102"/>
      <c r="AF43" s="154"/>
    </row>
    <row r="44" spans="2:32" s="134" customFormat="1" x14ac:dyDescent="0.2">
      <c r="B44" s="153"/>
      <c r="C44" s="174"/>
      <c r="D44" s="60">
        <v>32</v>
      </c>
      <c r="E44" s="429" t="str">
        <f>+'bas LO'!E44</f>
        <v>school 32</v>
      </c>
      <c r="F44" s="429" t="str">
        <f>+'bas LO'!F44</f>
        <v>11AA</v>
      </c>
      <c r="G44" s="430">
        <f>+'bas LO'!G44</f>
        <v>150</v>
      </c>
      <c r="H44" s="430">
        <f>+'bas LO'!H44</f>
        <v>150</v>
      </c>
      <c r="I44" s="430">
        <f>+'bas LO'!I44</f>
        <v>150</v>
      </c>
      <c r="J44" s="430">
        <f>+'bas LO'!J44</f>
        <v>150</v>
      </c>
      <c r="K44" s="81"/>
      <c r="L44" s="78">
        <f>ROUND(G44*tab!$C$66,2)</f>
        <v>47824.5</v>
      </c>
      <c r="M44" s="78">
        <f>ROUND(H44*tab!$C$66,2)</f>
        <v>47824.5</v>
      </c>
      <c r="N44" s="78">
        <f>ROUND(I44*tab!$C$66,2)</f>
        <v>47824.5</v>
      </c>
      <c r="O44" s="78">
        <f>ROUND(J44*tab!$C$66,2)</f>
        <v>47824.5</v>
      </c>
      <c r="P44" s="81"/>
      <c r="Q44" s="182">
        <v>0</v>
      </c>
      <c r="R44" s="141">
        <f t="shared" si="3"/>
        <v>0</v>
      </c>
      <c r="S44" s="141">
        <f t="shared" si="3"/>
        <v>0</v>
      </c>
      <c r="T44" s="141">
        <f t="shared" si="3"/>
        <v>0</v>
      </c>
      <c r="U44" s="81"/>
      <c r="V44" s="78">
        <f>+G44*tab!$C$69</f>
        <v>4501.5</v>
      </c>
      <c r="W44" s="78">
        <f>+H44*tab!$D$69</f>
        <v>4596</v>
      </c>
      <c r="X44" s="78">
        <f>+I44*tab!$D$69</f>
        <v>4596</v>
      </c>
      <c r="Y44" s="78">
        <f>+J44*tab!$D$69</f>
        <v>4596</v>
      </c>
      <c r="Z44" s="81"/>
      <c r="AA44" s="77">
        <v>0</v>
      </c>
      <c r="AB44" s="182">
        <f t="shared" si="1"/>
        <v>0</v>
      </c>
      <c r="AC44" s="141">
        <f t="shared" si="4"/>
        <v>0</v>
      </c>
      <c r="AD44" s="141">
        <f t="shared" si="4"/>
        <v>0</v>
      </c>
      <c r="AE44" s="102"/>
      <c r="AF44" s="154"/>
    </row>
    <row r="45" spans="2:32" s="134" customFormat="1" x14ac:dyDescent="0.2">
      <c r="B45" s="153"/>
      <c r="C45" s="174"/>
      <c r="D45" s="60">
        <v>33</v>
      </c>
      <c r="E45" s="429" t="str">
        <f>+'bas LO'!E45</f>
        <v>school 33</v>
      </c>
      <c r="F45" s="429" t="str">
        <f>+'bas LO'!F45</f>
        <v>11AA</v>
      </c>
      <c r="G45" s="430">
        <f>+'bas LO'!G45</f>
        <v>150</v>
      </c>
      <c r="H45" s="430">
        <f>+'bas LO'!H45</f>
        <v>150</v>
      </c>
      <c r="I45" s="430">
        <f>+'bas LO'!I45</f>
        <v>150</v>
      </c>
      <c r="J45" s="430">
        <f>+'bas LO'!J45</f>
        <v>150</v>
      </c>
      <c r="K45" s="81"/>
      <c r="L45" s="78">
        <f>ROUND(G45*tab!$C$66,2)</f>
        <v>47824.5</v>
      </c>
      <c r="M45" s="78">
        <f>ROUND(H45*tab!$C$66,2)</f>
        <v>47824.5</v>
      </c>
      <c r="N45" s="78">
        <f>ROUND(I45*tab!$C$66,2)</f>
        <v>47824.5</v>
      </c>
      <c r="O45" s="78">
        <f>ROUND(J45*tab!$C$66,2)</f>
        <v>47824.5</v>
      </c>
      <c r="P45" s="81"/>
      <c r="Q45" s="182">
        <v>0</v>
      </c>
      <c r="R45" s="141">
        <f t="shared" si="3"/>
        <v>0</v>
      </c>
      <c r="S45" s="141">
        <f t="shared" si="3"/>
        <v>0</v>
      </c>
      <c r="T45" s="141">
        <f t="shared" si="3"/>
        <v>0</v>
      </c>
      <c r="U45" s="81"/>
      <c r="V45" s="78">
        <f>+G45*tab!$C$69</f>
        <v>4501.5</v>
      </c>
      <c r="W45" s="78">
        <f>+H45*tab!$D$69</f>
        <v>4596</v>
      </c>
      <c r="X45" s="78">
        <f>+I45*tab!$D$69</f>
        <v>4596</v>
      </c>
      <c r="Y45" s="78">
        <f>+J45*tab!$D$69</f>
        <v>4596</v>
      </c>
      <c r="Z45" s="81"/>
      <c r="AA45" s="77">
        <v>0</v>
      </c>
      <c r="AB45" s="182">
        <f t="shared" ref="AB45:AB76" si="5">AA45*7/12</f>
        <v>0</v>
      </c>
      <c r="AC45" s="141">
        <f t="shared" si="4"/>
        <v>0</v>
      </c>
      <c r="AD45" s="141">
        <f t="shared" si="4"/>
        <v>0</v>
      </c>
      <c r="AE45" s="102"/>
      <c r="AF45" s="154"/>
    </row>
    <row r="46" spans="2:32" s="134" customFormat="1" x14ac:dyDescent="0.2">
      <c r="B46" s="153"/>
      <c r="C46" s="174"/>
      <c r="D46" s="60">
        <v>34</v>
      </c>
      <c r="E46" s="429" t="str">
        <f>+'bas LO'!E46</f>
        <v>school 34</v>
      </c>
      <c r="F46" s="429" t="str">
        <f>+'bas LO'!F46</f>
        <v>11AA</v>
      </c>
      <c r="G46" s="430">
        <f>+'bas LO'!G46</f>
        <v>150</v>
      </c>
      <c r="H46" s="430">
        <f>+'bas LO'!H46</f>
        <v>150</v>
      </c>
      <c r="I46" s="430">
        <f>+'bas LO'!I46</f>
        <v>150</v>
      </c>
      <c r="J46" s="430">
        <f>+'bas LO'!J46</f>
        <v>150</v>
      </c>
      <c r="K46" s="81"/>
      <c r="L46" s="78">
        <f>ROUND(G46*tab!$C$66,2)</f>
        <v>47824.5</v>
      </c>
      <c r="M46" s="78">
        <f>ROUND(H46*tab!$C$66,2)</f>
        <v>47824.5</v>
      </c>
      <c r="N46" s="78">
        <f>ROUND(I46*tab!$C$66,2)</f>
        <v>47824.5</v>
      </c>
      <c r="O46" s="78">
        <f>ROUND(J46*tab!$C$66,2)</f>
        <v>47824.5</v>
      </c>
      <c r="P46" s="81"/>
      <c r="Q46" s="182">
        <v>0</v>
      </c>
      <c r="R46" s="141">
        <f t="shared" si="3"/>
        <v>0</v>
      </c>
      <c r="S46" s="141">
        <f t="shared" si="3"/>
        <v>0</v>
      </c>
      <c r="T46" s="141">
        <f t="shared" si="3"/>
        <v>0</v>
      </c>
      <c r="U46" s="81"/>
      <c r="V46" s="78">
        <f>+G46*tab!$C$69</f>
        <v>4501.5</v>
      </c>
      <c r="W46" s="78">
        <f>+H46*tab!$D$69</f>
        <v>4596</v>
      </c>
      <c r="X46" s="78">
        <f>+I46*tab!$D$69</f>
        <v>4596</v>
      </c>
      <c r="Y46" s="78">
        <f>+J46*tab!$D$69</f>
        <v>4596</v>
      </c>
      <c r="Z46" s="81"/>
      <c r="AA46" s="77">
        <v>0</v>
      </c>
      <c r="AB46" s="182">
        <f t="shared" si="5"/>
        <v>0</v>
      </c>
      <c r="AC46" s="141">
        <f t="shared" si="4"/>
        <v>0</v>
      </c>
      <c r="AD46" s="141">
        <f t="shared" si="4"/>
        <v>0</v>
      </c>
      <c r="AE46" s="102"/>
      <c r="AF46" s="154"/>
    </row>
    <row r="47" spans="2:32" s="134" customFormat="1" x14ac:dyDescent="0.2">
      <c r="B47" s="153"/>
      <c r="C47" s="174"/>
      <c r="D47" s="60">
        <v>35</v>
      </c>
      <c r="E47" s="429" t="str">
        <f>+'bas LO'!E47</f>
        <v>school 35</v>
      </c>
      <c r="F47" s="429" t="str">
        <f>+'bas LO'!F47</f>
        <v>11AA</v>
      </c>
      <c r="G47" s="430">
        <f>+'bas LO'!G47</f>
        <v>150</v>
      </c>
      <c r="H47" s="430">
        <f>+'bas LO'!H47</f>
        <v>150</v>
      </c>
      <c r="I47" s="430">
        <f>+'bas LO'!I47</f>
        <v>150</v>
      </c>
      <c r="J47" s="430">
        <f>+'bas LO'!J47</f>
        <v>150</v>
      </c>
      <c r="K47" s="81"/>
      <c r="L47" s="78">
        <f>ROUND(G47*tab!$C$66,2)</f>
        <v>47824.5</v>
      </c>
      <c r="M47" s="78">
        <f>ROUND(H47*tab!$C$66,2)</f>
        <v>47824.5</v>
      </c>
      <c r="N47" s="78">
        <f>ROUND(I47*tab!$C$66,2)</f>
        <v>47824.5</v>
      </c>
      <c r="O47" s="78">
        <f>ROUND(J47*tab!$C$66,2)</f>
        <v>47824.5</v>
      </c>
      <c r="P47" s="81"/>
      <c r="Q47" s="182">
        <v>0</v>
      </c>
      <c r="R47" s="141">
        <f t="shared" si="3"/>
        <v>0</v>
      </c>
      <c r="S47" s="141">
        <f t="shared" si="3"/>
        <v>0</v>
      </c>
      <c r="T47" s="141">
        <f t="shared" si="3"/>
        <v>0</v>
      </c>
      <c r="U47" s="81"/>
      <c r="V47" s="78">
        <f>+G47*tab!$C$69</f>
        <v>4501.5</v>
      </c>
      <c r="W47" s="78">
        <f>+H47*tab!$D$69</f>
        <v>4596</v>
      </c>
      <c r="X47" s="78">
        <f>+I47*tab!$D$69</f>
        <v>4596</v>
      </c>
      <c r="Y47" s="78">
        <f>+J47*tab!$D$69</f>
        <v>4596</v>
      </c>
      <c r="Z47" s="81"/>
      <c r="AA47" s="77">
        <v>0</v>
      </c>
      <c r="AB47" s="182">
        <f t="shared" si="5"/>
        <v>0</v>
      </c>
      <c r="AC47" s="141">
        <f t="shared" si="4"/>
        <v>0</v>
      </c>
      <c r="AD47" s="141">
        <f t="shared" si="4"/>
        <v>0</v>
      </c>
      <c r="AE47" s="102"/>
      <c r="AF47" s="154"/>
    </row>
    <row r="48" spans="2:32" s="134" customFormat="1" x14ac:dyDescent="0.2">
      <c r="B48" s="153"/>
      <c r="C48" s="174"/>
      <c r="D48" s="60">
        <v>36</v>
      </c>
      <c r="E48" s="429" t="str">
        <f>+'bas LO'!E48</f>
        <v>school 36</v>
      </c>
      <c r="F48" s="429" t="str">
        <f>+'bas LO'!F48</f>
        <v>11AA</v>
      </c>
      <c r="G48" s="430">
        <f>+'bas LO'!G48</f>
        <v>150</v>
      </c>
      <c r="H48" s="430">
        <f>+'bas LO'!H48</f>
        <v>150</v>
      </c>
      <c r="I48" s="430">
        <f>+'bas LO'!I48</f>
        <v>150</v>
      </c>
      <c r="J48" s="430">
        <f>+'bas LO'!J48</f>
        <v>150</v>
      </c>
      <c r="K48" s="81"/>
      <c r="L48" s="78">
        <f>ROUND(G48*tab!$C$66,2)</f>
        <v>47824.5</v>
      </c>
      <c r="M48" s="78">
        <f>ROUND(H48*tab!$C$66,2)</f>
        <v>47824.5</v>
      </c>
      <c r="N48" s="78">
        <f>ROUND(I48*tab!$C$66,2)</f>
        <v>47824.5</v>
      </c>
      <c r="O48" s="78">
        <f>ROUND(J48*tab!$C$66,2)</f>
        <v>47824.5</v>
      </c>
      <c r="P48" s="81"/>
      <c r="Q48" s="182">
        <v>0</v>
      </c>
      <c r="R48" s="141">
        <f t="shared" si="3"/>
        <v>0</v>
      </c>
      <c r="S48" s="141">
        <f t="shared" si="3"/>
        <v>0</v>
      </c>
      <c r="T48" s="141">
        <f t="shared" si="3"/>
        <v>0</v>
      </c>
      <c r="U48" s="81"/>
      <c r="V48" s="78">
        <f>+G48*tab!$C$69</f>
        <v>4501.5</v>
      </c>
      <c r="W48" s="78">
        <f>+H48*tab!$D$69</f>
        <v>4596</v>
      </c>
      <c r="X48" s="78">
        <f>+I48*tab!$D$69</f>
        <v>4596</v>
      </c>
      <c r="Y48" s="78">
        <f>+J48*tab!$D$69</f>
        <v>4596</v>
      </c>
      <c r="Z48" s="81"/>
      <c r="AA48" s="77">
        <v>0</v>
      </c>
      <c r="AB48" s="182">
        <f t="shared" si="5"/>
        <v>0</v>
      </c>
      <c r="AC48" s="141">
        <f t="shared" si="4"/>
        <v>0</v>
      </c>
      <c r="AD48" s="141">
        <f t="shared" si="4"/>
        <v>0</v>
      </c>
      <c r="AE48" s="102"/>
      <c r="AF48" s="154"/>
    </row>
    <row r="49" spans="2:32" s="134" customFormat="1" x14ac:dyDescent="0.2">
      <c r="B49" s="153"/>
      <c r="C49" s="174"/>
      <c r="D49" s="60">
        <v>37</v>
      </c>
      <c r="E49" s="429" t="str">
        <f>+'bas LO'!E49</f>
        <v>school 37</v>
      </c>
      <c r="F49" s="429" t="str">
        <f>+'bas LO'!F49</f>
        <v>11AA</v>
      </c>
      <c r="G49" s="430">
        <f>+'bas LO'!G49</f>
        <v>150</v>
      </c>
      <c r="H49" s="430">
        <f>+'bas LO'!H49</f>
        <v>150</v>
      </c>
      <c r="I49" s="430">
        <f>+'bas LO'!I49</f>
        <v>150</v>
      </c>
      <c r="J49" s="430">
        <f>+'bas LO'!J49</f>
        <v>150</v>
      </c>
      <c r="K49" s="81"/>
      <c r="L49" s="78">
        <f>ROUND(G49*tab!$C$66,2)</f>
        <v>47824.5</v>
      </c>
      <c r="M49" s="78">
        <f>ROUND(H49*tab!$C$66,2)</f>
        <v>47824.5</v>
      </c>
      <c r="N49" s="78">
        <f>ROUND(I49*tab!$C$66,2)</f>
        <v>47824.5</v>
      </c>
      <c r="O49" s="78">
        <f>ROUND(J49*tab!$C$66,2)</f>
        <v>47824.5</v>
      </c>
      <c r="P49" s="81"/>
      <c r="Q49" s="182">
        <v>0</v>
      </c>
      <c r="R49" s="141">
        <f t="shared" si="3"/>
        <v>0</v>
      </c>
      <c r="S49" s="141">
        <f t="shared" si="3"/>
        <v>0</v>
      </c>
      <c r="T49" s="141">
        <f t="shared" si="3"/>
        <v>0</v>
      </c>
      <c r="U49" s="81"/>
      <c r="V49" s="78">
        <f>+G49*tab!$C$69</f>
        <v>4501.5</v>
      </c>
      <c r="W49" s="78">
        <f>+H49*tab!$D$69</f>
        <v>4596</v>
      </c>
      <c r="X49" s="78">
        <f>+I49*tab!$D$69</f>
        <v>4596</v>
      </c>
      <c r="Y49" s="78">
        <f>+J49*tab!$D$69</f>
        <v>4596</v>
      </c>
      <c r="Z49" s="81"/>
      <c r="AA49" s="77">
        <v>0</v>
      </c>
      <c r="AB49" s="182">
        <f t="shared" si="5"/>
        <v>0</v>
      </c>
      <c r="AC49" s="141">
        <f t="shared" si="4"/>
        <v>0</v>
      </c>
      <c r="AD49" s="141">
        <f t="shared" si="4"/>
        <v>0</v>
      </c>
      <c r="AE49" s="102"/>
      <c r="AF49" s="154"/>
    </row>
    <row r="50" spans="2:32" s="134" customFormat="1" x14ac:dyDescent="0.2">
      <c r="B50" s="153"/>
      <c r="C50" s="174"/>
      <c r="D50" s="60">
        <v>38</v>
      </c>
      <c r="E50" s="429" t="str">
        <f>+'bas LO'!E50</f>
        <v>school 38</v>
      </c>
      <c r="F50" s="429" t="str">
        <f>+'bas LO'!F50</f>
        <v>11AA</v>
      </c>
      <c r="G50" s="430">
        <f>+'bas LO'!G50</f>
        <v>150</v>
      </c>
      <c r="H50" s="430">
        <f>+'bas LO'!H50</f>
        <v>150</v>
      </c>
      <c r="I50" s="430">
        <f>+'bas LO'!I50</f>
        <v>150</v>
      </c>
      <c r="J50" s="430">
        <f>+'bas LO'!J50</f>
        <v>150</v>
      </c>
      <c r="K50" s="81"/>
      <c r="L50" s="78">
        <f>ROUND(G50*tab!$C$66,2)</f>
        <v>47824.5</v>
      </c>
      <c r="M50" s="78">
        <f>ROUND(H50*tab!$C$66,2)</f>
        <v>47824.5</v>
      </c>
      <c r="N50" s="78">
        <f>ROUND(I50*tab!$C$66,2)</f>
        <v>47824.5</v>
      </c>
      <c r="O50" s="78">
        <f>ROUND(J50*tab!$C$66,2)</f>
        <v>47824.5</v>
      </c>
      <c r="P50" s="81"/>
      <c r="Q50" s="182">
        <v>0</v>
      </c>
      <c r="R50" s="141">
        <f t="shared" si="3"/>
        <v>0</v>
      </c>
      <c r="S50" s="141">
        <f t="shared" si="3"/>
        <v>0</v>
      </c>
      <c r="T50" s="141">
        <f t="shared" si="3"/>
        <v>0</v>
      </c>
      <c r="U50" s="81"/>
      <c r="V50" s="78">
        <f>+G50*tab!$C$69</f>
        <v>4501.5</v>
      </c>
      <c r="W50" s="78">
        <f>+H50*tab!$D$69</f>
        <v>4596</v>
      </c>
      <c r="X50" s="78">
        <f>+I50*tab!$D$69</f>
        <v>4596</v>
      </c>
      <c r="Y50" s="78">
        <f>+J50*tab!$D$69</f>
        <v>4596</v>
      </c>
      <c r="Z50" s="81"/>
      <c r="AA50" s="77">
        <v>0</v>
      </c>
      <c r="AB50" s="182">
        <f t="shared" si="5"/>
        <v>0</v>
      </c>
      <c r="AC50" s="141">
        <f t="shared" si="4"/>
        <v>0</v>
      </c>
      <c r="AD50" s="141">
        <f t="shared" si="4"/>
        <v>0</v>
      </c>
      <c r="AE50" s="102"/>
      <c r="AF50" s="154"/>
    </row>
    <row r="51" spans="2:32" s="134" customFormat="1" x14ac:dyDescent="0.2">
      <c r="B51" s="153"/>
      <c r="C51" s="174"/>
      <c r="D51" s="60">
        <v>39</v>
      </c>
      <c r="E51" s="429" t="str">
        <f>+'bas LO'!E51</f>
        <v>school 39</v>
      </c>
      <c r="F51" s="429" t="str">
        <f>+'bas LO'!F51</f>
        <v>11AA</v>
      </c>
      <c r="G51" s="430">
        <f>+'bas LO'!G51</f>
        <v>150</v>
      </c>
      <c r="H51" s="430">
        <f>+'bas LO'!H51</f>
        <v>150</v>
      </c>
      <c r="I51" s="430">
        <f>+'bas LO'!I51</f>
        <v>150</v>
      </c>
      <c r="J51" s="430">
        <f>+'bas LO'!J51</f>
        <v>150</v>
      </c>
      <c r="K51" s="81"/>
      <c r="L51" s="78">
        <f>ROUND(G51*tab!$C$66,2)</f>
        <v>47824.5</v>
      </c>
      <c r="M51" s="78">
        <f>ROUND(H51*tab!$C$66,2)</f>
        <v>47824.5</v>
      </c>
      <c r="N51" s="78">
        <f>ROUND(I51*tab!$C$66,2)</f>
        <v>47824.5</v>
      </c>
      <c r="O51" s="78">
        <f>ROUND(J51*tab!$C$66,2)</f>
        <v>47824.5</v>
      </c>
      <c r="P51" s="81"/>
      <c r="Q51" s="182">
        <v>0</v>
      </c>
      <c r="R51" s="141">
        <f t="shared" si="3"/>
        <v>0</v>
      </c>
      <c r="S51" s="141">
        <f t="shared" si="3"/>
        <v>0</v>
      </c>
      <c r="T51" s="141">
        <f t="shared" si="3"/>
        <v>0</v>
      </c>
      <c r="U51" s="81"/>
      <c r="V51" s="78">
        <f>+G51*tab!$C$69</f>
        <v>4501.5</v>
      </c>
      <c r="W51" s="78">
        <f>+H51*tab!$D$69</f>
        <v>4596</v>
      </c>
      <c r="X51" s="78">
        <f>+I51*tab!$D$69</f>
        <v>4596</v>
      </c>
      <c r="Y51" s="78">
        <f>+J51*tab!$D$69</f>
        <v>4596</v>
      </c>
      <c r="Z51" s="81"/>
      <c r="AA51" s="77">
        <v>0</v>
      </c>
      <c r="AB51" s="182">
        <f t="shared" si="5"/>
        <v>0</v>
      </c>
      <c r="AC51" s="141">
        <f t="shared" si="4"/>
        <v>0</v>
      </c>
      <c r="AD51" s="141">
        <f t="shared" si="4"/>
        <v>0</v>
      </c>
      <c r="AE51" s="102"/>
      <c r="AF51" s="154"/>
    </row>
    <row r="52" spans="2:32" s="134" customFormat="1" x14ac:dyDescent="0.2">
      <c r="B52" s="153"/>
      <c r="C52" s="174"/>
      <c r="D52" s="60">
        <v>40</v>
      </c>
      <c r="E52" s="429" t="str">
        <f>+'bas LO'!E52</f>
        <v>school 40</v>
      </c>
      <c r="F52" s="429" t="str">
        <f>+'bas LO'!F52</f>
        <v>11AA</v>
      </c>
      <c r="G52" s="430">
        <f>+'bas LO'!G52</f>
        <v>150</v>
      </c>
      <c r="H52" s="430">
        <f>+'bas LO'!H52</f>
        <v>150</v>
      </c>
      <c r="I52" s="430">
        <f>+'bas LO'!I52</f>
        <v>150</v>
      </c>
      <c r="J52" s="430">
        <f>+'bas LO'!J52</f>
        <v>150</v>
      </c>
      <c r="K52" s="81"/>
      <c r="L52" s="78">
        <f>ROUND(G52*tab!$C$66,2)</f>
        <v>47824.5</v>
      </c>
      <c r="M52" s="78">
        <f>ROUND(H52*tab!$C$66,2)</f>
        <v>47824.5</v>
      </c>
      <c r="N52" s="78">
        <f>ROUND(I52*tab!$C$66,2)</f>
        <v>47824.5</v>
      </c>
      <c r="O52" s="78">
        <f>ROUND(J52*tab!$C$66,2)</f>
        <v>47824.5</v>
      </c>
      <c r="P52" s="81"/>
      <c r="Q52" s="182">
        <v>0</v>
      </c>
      <c r="R52" s="141">
        <f t="shared" si="3"/>
        <v>0</v>
      </c>
      <c r="S52" s="141">
        <f t="shared" si="3"/>
        <v>0</v>
      </c>
      <c r="T52" s="141">
        <f t="shared" si="3"/>
        <v>0</v>
      </c>
      <c r="U52" s="81"/>
      <c r="V52" s="78">
        <f>+G52*tab!$C$69</f>
        <v>4501.5</v>
      </c>
      <c r="W52" s="78">
        <f>+H52*tab!$D$69</f>
        <v>4596</v>
      </c>
      <c r="X52" s="78">
        <f>+I52*tab!$D$69</f>
        <v>4596</v>
      </c>
      <c r="Y52" s="78">
        <f>+J52*tab!$D$69</f>
        <v>4596</v>
      </c>
      <c r="Z52" s="81"/>
      <c r="AA52" s="77">
        <v>0</v>
      </c>
      <c r="AB52" s="182">
        <f t="shared" si="5"/>
        <v>0</v>
      </c>
      <c r="AC52" s="141">
        <f t="shared" si="4"/>
        <v>0</v>
      </c>
      <c r="AD52" s="141">
        <f t="shared" si="4"/>
        <v>0</v>
      </c>
      <c r="AE52" s="102"/>
      <c r="AF52" s="154"/>
    </row>
    <row r="53" spans="2:32" s="134" customFormat="1" x14ac:dyDescent="0.2">
      <c r="B53" s="153"/>
      <c r="C53" s="174"/>
      <c r="D53" s="60">
        <v>41</v>
      </c>
      <c r="E53" s="429" t="str">
        <f>+'bas LO'!E53</f>
        <v>school 41</v>
      </c>
      <c r="F53" s="429" t="str">
        <f>+'bas LO'!F53</f>
        <v>11AA</v>
      </c>
      <c r="G53" s="430">
        <f>+'bas LO'!G53</f>
        <v>151</v>
      </c>
      <c r="H53" s="430">
        <f>+'bas LO'!H53</f>
        <v>151</v>
      </c>
      <c r="I53" s="430">
        <f>+'bas LO'!I53</f>
        <v>151</v>
      </c>
      <c r="J53" s="430">
        <f>+'bas LO'!J53</f>
        <v>151</v>
      </c>
      <c r="K53" s="81"/>
      <c r="L53" s="78">
        <f>ROUND(G53*tab!$C$66,2)</f>
        <v>48143.33</v>
      </c>
      <c r="M53" s="78">
        <f>ROUND(H53*tab!$C$66,2)</f>
        <v>48143.33</v>
      </c>
      <c r="N53" s="78">
        <f>ROUND(I53*tab!$C$66,2)</f>
        <v>48143.33</v>
      </c>
      <c r="O53" s="78">
        <f>ROUND(J53*tab!$C$66,2)</f>
        <v>48143.33</v>
      </c>
      <c r="P53" s="81"/>
      <c r="Q53" s="182">
        <v>0</v>
      </c>
      <c r="R53" s="141">
        <f t="shared" ref="R53:T72" si="6">Q53</f>
        <v>0</v>
      </c>
      <c r="S53" s="141">
        <f t="shared" si="6"/>
        <v>0</v>
      </c>
      <c r="T53" s="141">
        <f t="shared" si="6"/>
        <v>0</v>
      </c>
      <c r="U53" s="81"/>
      <c r="V53" s="78">
        <f>+G53*tab!$C$69</f>
        <v>4531.51</v>
      </c>
      <c r="W53" s="78">
        <f>+H53*tab!$D$69</f>
        <v>4626.6400000000003</v>
      </c>
      <c r="X53" s="78">
        <f>+I53*tab!$D$69</f>
        <v>4626.6400000000003</v>
      </c>
      <c r="Y53" s="78">
        <f>+J53*tab!$D$69</f>
        <v>4626.6400000000003</v>
      </c>
      <c r="Z53" s="81"/>
      <c r="AA53" s="77">
        <v>0</v>
      </c>
      <c r="AB53" s="182">
        <f t="shared" si="5"/>
        <v>0</v>
      </c>
      <c r="AC53" s="141">
        <f t="shared" ref="AC53:AD72" si="7">AB53</f>
        <v>0</v>
      </c>
      <c r="AD53" s="141">
        <f t="shared" si="7"/>
        <v>0</v>
      </c>
      <c r="AE53" s="102"/>
      <c r="AF53" s="154"/>
    </row>
    <row r="54" spans="2:32" s="134" customFormat="1" x14ac:dyDescent="0.2">
      <c r="B54" s="153"/>
      <c r="C54" s="174"/>
      <c r="D54" s="60">
        <v>42</v>
      </c>
      <c r="E54" s="429" t="str">
        <f>+'bas LO'!E54</f>
        <v>school 42</v>
      </c>
      <c r="F54" s="429" t="str">
        <f>+'bas LO'!F54</f>
        <v>11AA</v>
      </c>
      <c r="G54" s="430">
        <f>+'bas LO'!G54</f>
        <v>152</v>
      </c>
      <c r="H54" s="430">
        <f>+'bas LO'!H54</f>
        <v>152</v>
      </c>
      <c r="I54" s="430">
        <f>+'bas LO'!I54</f>
        <v>152</v>
      </c>
      <c r="J54" s="430">
        <f>+'bas LO'!J54</f>
        <v>152</v>
      </c>
      <c r="K54" s="81"/>
      <c r="L54" s="78">
        <f>ROUND(G54*tab!$C$66,2)</f>
        <v>48462.16</v>
      </c>
      <c r="M54" s="78">
        <f>ROUND(H54*tab!$C$66,2)</f>
        <v>48462.16</v>
      </c>
      <c r="N54" s="78">
        <f>ROUND(I54*tab!$C$66,2)</f>
        <v>48462.16</v>
      </c>
      <c r="O54" s="78">
        <f>ROUND(J54*tab!$C$66,2)</f>
        <v>48462.16</v>
      </c>
      <c r="P54" s="81"/>
      <c r="Q54" s="182">
        <v>0</v>
      </c>
      <c r="R54" s="141">
        <f t="shared" si="6"/>
        <v>0</v>
      </c>
      <c r="S54" s="141">
        <f t="shared" si="6"/>
        <v>0</v>
      </c>
      <c r="T54" s="141">
        <f t="shared" si="6"/>
        <v>0</v>
      </c>
      <c r="U54" s="81"/>
      <c r="V54" s="78">
        <f>+G54*tab!$C$69</f>
        <v>4561.5200000000004</v>
      </c>
      <c r="W54" s="78">
        <f>+H54*tab!$D$69</f>
        <v>4657.28</v>
      </c>
      <c r="X54" s="78">
        <f>+I54*tab!$D$69</f>
        <v>4657.28</v>
      </c>
      <c r="Y54" s="78">
        <f>+J54*tab!$D$69</f>
        <v>4657.28</v>
      </c>
      <c r="Z54" s="81"/>
      <c r="AA54" s="77">
        <v>0</v>
      </c>
      <c r="AB54" s="182">
        <f t="shared" si="5"/>
        <v>0</v>
      </c>
      <c r="AC54" s="141">
        <f t="shared" si="7"/>
        <v>0</v>
      </c>
      <c r="AD54" s="141">
        <f t="shared" si="7"/>
        <v>0</v>
      </c>
      <c r="AE54" s="102"/>
      <c r="AF54" s="154"/>
    </row>
    <row r="55" spans="2:32" s="134" customFormat="1" x14ac:dyDescent="0.2">
      <c r="B55" s="153"/>
      <c r="C55" s="174"/>
      <c r="D55" s="60">
        <v>43</v>
      </c>
      <c r="E55" s="429" t="str">
        <f>+'bas LO'!E55</f>
        <v>school 43</v>
      </c>
      <c r="F55" s="429" t="str">
        <f>+'bas LO'!F55</f>
        <v>11AA</v>
      </c>
      <c r="G55" s="430">
        <f>+'bas LO'!G55</f>
        <v>153</v>
      </c>
      <c r="H55" s="430">
        <f>+'bas LO'!H55</f>
        <v>153</v>
      </c>
      <c r="I55" s="430">
        <f>+'bas LO'!I55</f>
        <v>153</v>
      </c>
      <c r="J55" s="430">
        <f>+'bas LO'!J55</f>
        <v>153</v>
      </c>
      <c r="K55" s="81"/>
      <c r="L55" s="78">
        <f>ROUND(G55*tab!$C$66,2)</f>
        <v>48780.99</v>
      </c>
      <c r="M55" s="78">
        <f>ROUND(H55*tab!$C$66,2)</f>
        <v>48780.99</v>
      </c>
      <c r="N55" s="78">
        <f>ROUND(I55*tab!$C$66,2)</f>
        <v>48780.99</v>
      </c>
      <c r="O55" s="78">
        <f>ROUND(J55*tab!$C$66,2)</f>
        <v>48780.99</v>
      </c>
      <c r="P55" s="81"/>
      <c r="Q55" s="182">
        <v>0</v>
      </c>
      <c r="R55" s="141">
        <f t="shared" si="6"/>
        <v>0</v>
      </c>
      <c r="S55" s="141">
        <f t="shared" si="6"/>
        <v>0</v>
      </c>
      <c r="T55" s="141">
        <f t="shared" si="6"/>
        <v>0</v>
      </c>
      <c r="U55" s="81"/>
      <c r="V55" s="78">
        <f>+G55*tab!$C$69</f>
        <v>4591.5300000000007</v>
      </c>
      <c r="W55" s="78">
        <f>+H55*tab!$D$69</f>
        <v>4687.92</v>
      </c>
      <c r="X55" s="78">
        <f>+I55*tab!$D$69</f>
        <v>4687.92</v>
      </c>
      <c r="Y55" s="78">
        <f>+J55*tab!$D$69</f>
        <v>4687.92</v>
      </c>
      <c r="Z55" s="81"/>
      <c r="AA55" s="77">
        <v>0</v>
      </c>
      <c r="AB55" s="182">
        <f t="shared" si="5"/>
        <v>0</v>
      </c>
      <c r="AC55" s="141">
        <f t="shared" si="7"/>
        <v>0</v>
      </c>
      <c r="AD55" s="141">
        <f t="shared" si="7"/>
        <v>0</v>
      </c>
      <c r="AE55" s="102"/>
      <c r="AF55" s="154"/>
    </row>
    <row r="56" spans="2:32" s="134" customFormat="1" x14ac:dyDescent="0.2">
      <c r="B56" s="153"/>
      <c r="C56" s="174"/>
      <c r="D56" s="60">
        <v>44</v>
      </c>
      <c r="E56" s="429" t="str">
        <f>+'bas LO'!E56</f>
        <v>school 44</v>
      </c>
      <c r="F56" s="429" t="str">
        <f>+'bas LO'!F56</f>
        <v>11AA</v>
      </c>
      <c r="G56" s="430">
        <f>+'bas LO'!G56</f>
        <v>154</v>
      </c>
      <c r="H56" s="430">
        <f>+'bas LO'!H56</f>
        <v>154</v>
      </c>
      <c r="I56" s="430">
        <f>+'bas LO'!I56</f>
        <v>154</v>
      </c>
      <c r="J56" s="430">
        <f>+'bas LO'!J56</f>
        <v>154</v>
      </c>
      <c r="K56" s="81"/>
      <c r="L56" s="78">
        <f>ROUND(G56*tab!$C$66,2)</f>
        <v>49099.82</v>
      </c>
      <c r="M56" s="78">
        <f>ROUND(H56*tab!$C$66,2)</f>
        <v>49099.82</v>
      </c>
      <c r="N56" s="78">
        <f>ROUND(I56*tab!$C$66,2)</f>
        <v>49099.82</v>
      </c>
      <c r="O56" s="78">
        <f>ROUND(J56*tab!$C$66,2)</f>
        <v>49099.82</v>
      </c>
      <c r="P56" s="81"/>
      <c r="Q56" s="182">
        <v>0</v>
      </c>
      <c r="R56" s="141">
        <f t="shared" si="6"/>
        <v>0</v>
      </c>
      <c r="S56" s="141">
        <f t="shared" si="6"/>
        <v>0</v>
      </c>
      <c r="T56" s="141">
        <f t="shared" si="6"/>
        <v>0</v>
      </c>
      <c r="U56" s="81"/>
      <c r="V56" s="78">
        <f>+G56*tab!$C$69</f>
        <v>4621.54</v>
      </c>
      <c r="W56" s="78">
        <f>+H56*tab!$D$69</f>
        <v>4718.5600000000004</v>
      </c>
      <c r="X56" s="78">
        <f>+I56*tab!$D$69</f>
        <v>4718.5600000000004</v>
      </c>
      <c r="Y56" s="78">
        <f>+J56*tab!$D$69</f>
        <v>4718.5600000000004</v>
      </c>
      <c r="Z56" s="81"/>
      <c r="AA56" s="77">
        <v>0</v>
      </c>
      <c r="AB56" s="182">
        <f t="shared" si="5"/>
        <v>0</v>
      </c>
      <c r="AC56" s="141">
        <f t="shared" si="7"/>
        <v>0</v>
      </c>
      <c r="AD56" s="141">
        <f t="shared" si="7"/>
        <v>0</v>
      </c>
      <c r="AE56" s="102"/>
      <c r="AF56" s="154"/>
    </row>
    <row r="57" spans="2:32" s="134" customFormat="1" x14ac:dyDescent="0.2">
      <c r="B57" s="153"/>
      <c r="C57" s="174"/>
      <c r="D57" s="60">
        <v>45</v>
      </c>
      <c r="E57" s="429" t="str">
        <f>+'bas LO'!E57</f>
        <v>school 45</v>
      </c>
      <c r="F57" s="429" t="str">
        <f>+'bas LO'!F57</f>
        <v>11AA</v>
      </c>
      <c r="G57" s="430">
        <f>+'bas LO'!G57</f>
        <v>155</v>
      </c>
      <c r="H57" s="430">
        <f>+'bas LO'!H57</f>
        <v>155</v>
      </c>
      <c r="I57" s="430">
        <f>+'bas LO'!I57</f>
        <v>155</v>
      </c>
      <c r="J57" s="430">
        <f>+'bas LO'!J57</f>
        <v>155</v>
      </c>
      <c r="K57" s="81"/>
      <c r="L57" s="78">
        <f>ROUND(G57*tab!$C$66,2)</f>
        <v>49418.65</v>
      </c>
      <c r="M57" s="78">
        <f>ROUND(H57*tab!$C$66,2)</f>
        <v>49418.65</v>
      </c>
      <c r="N57" s="78">
        <f>ROUND(I57*tab!$C$66,2)</f>
        <v>49418.65</v>
      </c>
      <c r="O57" s="78">
        <f>ROUND(J57*tab!$C$66,2)</f>
        <v>49418.65</v>
      </c>
      <c r="P57" s="81"/>
      <c r="Q57" s="182">
        <v>0</v>
      </c>
      <c r="R57" s="141">
        <f t="shared" si="6"/>
        <v>0</v>
      </c>
      <c r="S57" s="141">
        <f t="shared" si="6"/>
        <v>0</v>
      </c>
      <c r="T57" s="141">
        <f t="shared" si="6"/>
        <v>0</v>
      </c>
      <c r="U57" s="81"/>
      <c r="V57" s="78">
        <f>+G57*tab!$C$69</f>
        <v>4651.55</v>
      </c>
      <c r="W57" s="78">
        <f>+H57*tab!$D$69</f>
        <v>4749.2</v>
      </c>
      <c r="X57" s="78">
        <f>+I57*tab!$D$69</f>
        <v>4749.2</v>
      </c>
      <c r="Y57" s="78">
        <f>+J57*tab!$D$69</f>
        <v>4749.2</v>
      </c>
      <c r="Z57" s="81"/>
      <c r="AA57" s="77">
        <v>0</v>
      </c>
      <c r="AB57" s="182">
        <f t="shared" si="5"/>
        <v>0</v>
      </c>
      <c r="AC57" s="141">
        <f t="shared" si="7"/>
        <v>0</v>
      </c>
      <c r="AD57" s="141">
        <f t="shared" si="7"/>
        <v>0</v>
      </c>
      <c r="AE57" s="102"/>
      <c r="AF57" s="154"/>
    </row>
    <row r="58" spans="2:32" s="134" customFormat="1" x14ac:dyDescent="0.2">
      <c r="B58" s="153"/>
      <c r="C58" s="174"/>
      <c r="D58" s="60">
        <v>46</v>
      </c>
      <c r="E58" s="429" t="str">
        <f>+'bas LO'!E58</f>
        <v>school 46</v>
      </c>
      <c r="F58" s="429" t="str">
        <f>+'bas LO'!F58</f>
        <v>11AA</v>
      </c>
      <c r="G58" s="430">
        <f>+'bas LO'!G58</f>
        <v>156</v>
      </c>
      <c r="H58" s="430">
        <f>+'bas LO'!H58</f>
        <v>156</v>
      </c>
      <c r="I58" s="430">
        <f>+'bas LO'!I58</f>
        <v>156</v>
      </c>
      <c r="J58" s="430">
        <f>+'bas LO'!J58</f>
        <v>156</v>
      </c>
      <c r="K58" s="81"/>
      <c r="L58" s="78">
        <f>ROUND(G58*tab!$C$66,2)</f>
        <v>49737.48</v>
      </c>
      <c r="M58" s="78">
        <f>ROUND(H58*tab!$C$66,2)</f>
        <v>49737.48</v>
      </c>
      <c r="N58" s="78">
        <f>ROUND(I58*tab!$C$66,2)</f>
        <v>49737.48</v>
      </c>
      <c r="O58" s="78">
        <f>ROUND(J58*tab!$C$66,2)</f>
        <v>49737.48</v>
      </c>
      <c r="P58" s="81"/>
      <c r="Q58" s="182">
        <v>0</v>
      </c>
      <c r="R58" s="141">
        <f t="shared" si="6"/>
        <v>0</v>
      </c>
      <c r="S58" s="141">
        <f t="shared" si="6"/>
        <v>0</v>
      </c>
      <c r="T58" s="141">
        <f t="shared" si="6"/>
        <v>0</v>
      </c>
      <c r="U58" s="81"/>
      <c r="V58" s="78">
        <f>+G58*tab!$C$69</f>
        <v>4681.5600000000004</v>
      </c>
      <c r="W58" s="78">
        <f>+H58*tab!$D$69</f>
        <v>4779.84</v>
      </c>
      <c r="X58" s="78">
        <f>+I58*tab!$D$69</f>
        <v>4779.84</v>
      </c>
      <c r="Y58" s="78">
        <f>+J58*tab!$D$69</f>
        <v>4779.84</v>
      </c>
      <c r="Z58" s="81"/>
      <c r="AA58" s="77">
        <v>0</v>
      </c>
      <c r="AB58" s="182">
        <f t="shared" si="5"/>
        <v>0</v>
      </c>
      <c r="AC58" s="141">
        <f t="shared" si="7"/>
        <v>0</v>
      </c>
      <c r="AD58" s="141">
        <f t="shared" si="7"/>
        <v>0</v>
      </c>
      <c r="AE58" s="102"/>
      <c r="AF58" s="154"/>
    </row>
    <row r="59" spans="2:32" s="134" customFormat="1" x14ac:dyDescent="0.2">
      <c r="B59" s="153"/>
      <c r="C59" s="174"/>
      <c r="D59" s="60">
        <v>47</v>
      </c>
      <c r="E59" s="429" t="str">
        <f>+'bas LO'!E59</f>
        <v>school 47</v>
      </c>
      <c r="F59" s="429" t="str">
        <f>+'bas LO'!F59</f>
        <v>11AA</v>
      </c>
      <c r="G59" s="430">
        <f>+'bas LO'!G59</f>
        <v>157</v>
      </c>
      <c r="H59" s="430">
        <f>+'bas LO'!H59</f>
        <v>157</v>
      </c>
      <c r="I59" s="430">
        <f>+'bas LO'!I59</f>
        <v>157</v>
      </c>
      <c r="J59" s="430">
        <f>+'bas LO'!J59</f>
        <v>157</v>
      </c>
      <c r="K59" s="81"/>
      <c r="L59" s="78">
        <f>ROUND(G59*tab!$C$66,2)</f>
        <v>50056.31</v>
      </c>
      <c r="M59" s="78">
        <f>ROUND(H59*tab!$C$66,2)</f>
        <v>50056.31</v>
      </c>
      <c r="N59" s="78">
        <f>ROUND(I59*tab!$C$66,2)</f>
        <v>50056.31</v>
      </c>
      <c r="O59" s="78">
        <f>ROUND(J59*tab!$C$66,2)</f>
        <v>50056.31</v>
      </c>
      <c r="P59" s="81"/>
      <c r="Q59" s="182">
        <v>0</v>
      </c>
      <c r="R59" s="141">
        <f t="shared" si="6"/>
        <v>0</v>
      </c>
      <c r="S59" s="141">
        <f t="shared" si="6"/>
        <v>0</v>
      </c>
      <c r="T59" s="141">
        <f t="shared" si="6"/>
        <v>0</v>
      </c>
      <c r="U59" s="81"/>
      <c r="V59" s="78">
        <f>+G59*tab!$C$69</f>
        <v>4711.5700000000006</v>
      </c>
      <c r="W59" s="78">
        <f>+H59*tab!$D$69</f>
        <v>4810.4800000000005</v>
      </c>
      <c r="X59" s="78">
        <f>+I59*tab!$D$69</f>
        <v>4810.4800000000005</v>
      </c>
      <c r="Y59" s="78">
        <f>+J59*tab!$D$69</f>
        <v>4810.4800000000005</v>
      </c>
      <c r="Z59" s="81"/>
      <c r="AA59" s="77">
        <v>0</v>
      </c>
      <c r="AB59" s="182">
        <f t="shared" si="5"/>
        <v>0</v>
      </c>
      <c r="AC59" s="141">
        <f t="shared" si="7"/>
        <v>0</v>
      </c>
      <c r="AD59" s="141">
        <f t="shared" si="7"/>
        <v>0</v>
      </c>
      <c r="AE59" s="102"/>
      <c r="AF59" s="154"/>
    </row>
    <row r="60" spans="2:32" s="134" customFormat="1" x14ac:dyDescent="0.2">
      <c r="B60" s="153"/>
      <c r="C60" s="174"/>
      <c r="D60" s="60">
        <v>48</v>
      </c>
      <c r="E60" s="429" t="str">
        <f>+'bas LO'!E60</f>
        <v>school 48</v>
      </c>
      <c r="F60" s="429" t="str">
        <f>+'bas LO'!F60</f>
        <v>11AA</v>
      </c>
      <c r="G60" s="430">
        <f>+'bas LO'!G60</f>
        <v>158</v>
      </c>
      <c r="H60" s="430">
        <f>+'bas LO'!H60</f>
        <v>158</v>
      </c>
      <c r="I60" s="430">
        <f>+'bas LO'!I60</f>
        <v>158</v>
      </c>
      <c r="J60" s="430">
        <f>+'bas LO'!J60</f>
        <v>158</v>
      </c>
      <c r="K60" s="81"/>
      <c r="L60" s="78">
        <f>ROUND(G60*tab!$C$66,2)</f>
        <v>50375.14</v>
      </c>
      <c r="M60" s="78">
        <f>ROUND(H60*tab!$C$66,2)</f>
        <v>50375.14</v>
      </c>
      <c r="N60" s="78">
        <f>ROUND(I60*tab!$C$66,2)</f>
        <v>50375.14</v>
      </c>
      <c r="O60" s="78">
        <f>ROUND(J60*tab!$C$66,2)</f>
        <v>50375.14</v>
      </c>
      <c r="P60" s="81"/>
      <c r="Q60" s="182">
        <v>0</v>
      </c>
      <c r="R60" s="141">
        <f t="shared" si="6"/>
        <v>0</v>
      </c>
      <c r="S60" s="141">
        <f t="shared" si="6"/>
        <v>0</v>
      </c>
      <c r="T60" s="141">
        <f t="shared" si="6"/>
        <v>0</v>
      </c>
      <c r="U60" s="81"/>
      <c r="V60" s="78">
        <f>+G60*tab!$C$69</f>
        <v>4741.58</v>
      </c>
      <c r="W60" s="78">
        <f>+H60*tab!$D$69</f>
        <v>4841.12</v>
      </c>
      <c r="X60" s="78">
        <f>+I60*tab!$D$69</f>
        <v>4841.12</v>
      </c>
      <c r="Y60" s="78">
        <f>+J60*tab!$D$69</f>
        <v>4841.12</v>
      </c>
      <c r="Z60" s="81"/>
      <c r="AA60" s="77">
        <v>0</v>
      </c>
      <c r="AB60" s="182">
        <f t="shared" si="5"/>
        <v>0</v>
      </c>
      <c r="AC60" s="141">
        <f t="shared" si="7"/>
        <v>0</v>
      </c>
      <c r="AD60" s="141">
        <f t="shared" si="7"/>
        <v>0</v>
      </c>
      <c r="AE60" s="102"/>
      <c r="AF60" s="154"/>
    </row>
    <row r="61" spans="2:32" s="134" customFormat="1" x14ac:dyDescent="0.2">
      <c r="B61" s="153"/>
      <c r="C61" s="174"/>
      <c r="D61" s="60">
        <v>49</v>
      </c>
      <c r="E61" s="429" t="str">
        <f>+'bas LO'!E61</f>
        <v>school 49</v>
      </c>
      <c r="F61" s="429" t="str">
        <f>+'bas LO'!F61</f>
        <v>11AA</v>
      </c>
      <c r="G61" s="430">
        <f>+'bas LO'!G61</f>
        <v>159</v>
      </c>
      <c r="H61" s="430">
        <f>+'bas LO'!H61</f>
        <v>159</v>
      </c>
      <c r="I61" s="430">
        <f>+'bas LO'!I61</f>
        <v>159</v>
      </c>
      <c r="J61" s="430">
        <f>+'bas LO'!J61</f>
        <v>159</v>
      </c>
      <c r="K61" s="81"/>
      <c r="L61" s="78">
        <f>ROUND(G61*tab!$C$66,2)</f>
        <v>50693.97</v>
      </c>
      <c r="M61" s="78">
        <f>ROUND(H61*tab!$C$66,2)</f>
        <v>50693.97</v>
      </c>
      <c r="N61" s="78">
        <f>ROUND(I61*tab!$C$66,2)</f>
        <v>50693.97</v>
      </c>
      <c r="O61" s="78">
        <f>ROUND(J61*tab!$C$66,2)</f>
        <v>50693.97</v>
      </c>
      <c r="P61" s="81"/>
      <c r="Q61" s="182">
        <v>0</v>
      </c>
      <c r="R61" s="141">
        <f t="shared" si="6"/>
        <v>0</v>
      </c>
      <c r="S61" s="141">
        <f t="shared" si="6"/>
        <v>0</v>
      </c>
      <c r="T61" s="141">
        <f t="shared" si="6"/>
        <v>0</v>
      </c>
      <c r="U61" s="81"/>
      <c r="V61" s="78">
        <f>+G61*tab!$C$69</f>
        <v>4771.59</v>
      </c>
      <c r="W61" s="78">
        <f>+H61*tab!$D$69</f>
        <v>4871.76</v>
      </c>
      <c r="X61" s="78">
        <f>+I61*tab!$D$69</f>
        <v>4871.76</v>
      </c>
      <c r="Y61" s="78">
        <f>+J61*tab!$D$69</f>
        <v>4871.76</v>
      </c>
      <c r="Z61" s="81"/>
      <c r="AA61" s="77">
        <v>0</v>
      </c>
      <c r="AB61" s="182">
        <f t="shared" si="5"/>
        <v>0</v>
      </c>
      <c r="AC61" s="141">
        <f t="shared" si="7"/>
        <v>0</v>
      </c>
      <c r="AD61" s="141">
        <f t="shared" si="7"/>
        <v>0</v>
      </c>
      <c r="AE61" s="102"/>
      <c r="AF61" s="154"/>
    </row>
    <row r="62" spans="2:32" s="134" customFormat="1" x14ac:dyDescent="0.2">
      <c r="B62" s="153"/>
      <c r="C62" s="174"/>
      <c r="D62" s="60">
        <v>50</v>
      </c>
      <c r="E62" s="429" t="str">
        <f>+'bas LO'!E62</f>
        <v>school 50</v>
      </c>
      <c r="F62" s="429" t="str">
        <f>+'bas LO'!F62</f>
        <v>11AA</v>
      </c>
      <c r="G62" s="430">
        <f>+'bas LO'!G62</f>
        <v>160</v>
      </c>
      <c r="H62" s="430">
        <f>+'bas LO'!H62</f>
        <v>160</v>
      </c>
      <c r="I62" s="430">
        <f>+'bas LO'!I62</f>
        <v>160</v>
      </c>
      <c r="J62" s="430">
        <f>+'bas LO'!J62</f>
        <v>160</v>
      </c>
      <c r="K62" s="81"/>
      <c r="L62" s="78">
        <f>ROUND(G62*tab!$C$66,2)</f>
        <v>51012.800000000003</v>
      </c>
      <c r="M62" s="78">
        <f>ROUND(H62*tab!$C$66,2)</f>
        <v>51012.800000000003</v>
      </c>
      <c r="N62" s="78">
        <f>ROUND(I62*tab!$C$66,2)</f>
        <v>51012.800000000003</v>
      </c>
      <c r="O62" s="78">
        <f>ROUND(J62*tab!$C$66,2)</f>
        <v>51012.800000000003</v>
      </c>
      <c r="P62" s="81"/>
      <c r="Q62" s="182">
        <v>0</v>
      </c>
      <c r="R62" s="141">
        <f t="shared" si="6"/>
        <v>0</v>
      </c>
      <c r="S62" s="141">
        <f t="shared" si="6"/>
        <v>0</v>
      </c>
      <c r="T62" s="141">
        <f t="shared" si="6"/>
        <v>0</v>
      </c>
      <c r="U62" s="81"/>
      <c r="V62" s="78">
        <f>+G62*tab!$C$69</f>
        <v>4801.6000000000004</v>
      </c>
      <c r="W62" s="78">
        <f>+H62*tab!$D$69</f>
        <v>4902.3999999999996</v>
      </c>
      <c r="X62" s="78">
        <f>+I62*tab!$D$69</f>
        <v>4902.3999999999996</v>
      </c>
      <c r="Y62" s="78">
        <f>+J62*tab!$D$69</f>
        <v>4902.3999999999996</v>
      </c>
      <c r="Z62" s="81"/>
      <c r="AA62" s="77">
        <v>0</v>
      </c>
      <c r="AB62" s="182">
        <f t="shared" si="5"/>
        <v>0</v>
      </c>
      <c r="AC62" s="141">
        <f t="shared" si="7"/>
        <v>0</v>
      </c>
      <c r="AD62" s="141">
        <f t="shared" si="7"/>
        <v>0</v>
      </c>
      <c r="AE62" s="102"/>
      <c r="AF62" s="154"/>
    </row>
    <row r="63" spans="2:32" s="134" customFormat="1" x14ac:dyDescent="0.2">
      <c r="B63" s="153"/>
      <c r="C63" s="174"/>
      <c r="D63" s="60">
        <v>51</v>
      </c>
      <c r="E63" s="429" t="str">
        <f>+'bas LO'!E63</f>
        <v>school 51</v>
      </c>
      <c r="F63" s="429" t="str">
        <f>+'bas LO'!F63</f>
        <v>11AA</v>
      </c>
      <c r="G63" s="430">
        <f>+'bas LO'!G63</f>
        <v>161</v>
      </c>
      <c r="H63" s="430">
        <f>+'bas LO'!H63</f>
        <v>161</v>
      </c>
      <c r="I63" s="430">
        <f>+'bas LO'!I63</f>
        <v>161</v>
      </c>
      <c r="J63" s="430">
        <f>+'bas LO'!J63</f>
        <v>161</v>
      </c>
      <c r="K63" s="81"/>
      <c r="L63" s="78">
        <f>ROUND(G63*tab!$C$66,2)</f>
        <v>51331.63</v>
      </c>
      <c r="M63" s="78">
        <f>ROUND(H63*tab!$C$66,2)</f>
        <v>51331.63</v>
      </c>
      <c r="N63" s="78">
        <f>ROUND(I63*tab!$C$66,2)</f>
        <v>51331.63</v>
      </c>
      <c r="O63" s="78">
        <f>ROUND(J63*tab!$C$66,2)</f>
        <v>51331.63</v>
      </c>
      <c r="P63" s="81"/>
      <c r="Q63" s="182">
        <v>0</v>
      </c>
      <c r="R63" s="141">
        <f t="shared" si="6"/>
        <v>0</v>
      </c>
      <c r="S63" s="141">
        <f t="shared" si="6"/>
        <v>0</v>
      </c>
      <c r="T63" s="141">
        <f t="shared" si="6"/>
        <v>0</v>
      </c>
      <c r="U63" s="81"/>
      <c r="V63" s="78">
        <f>+G63*tab!$C$69</f>
        <v>4831.6100000000006</v>
      </c>
      <c r="W63" s="78">
        <f>+H63*tab!$D$69</f>
        <v>4933.04</v>
      </c>
      <c r="X63" s="78">
        <f>+I63*tab!$D$69</f>
        <v>4933.04</v>
      </c>
      <c r="Y63" s="78">
        <f>+J63*tab!$D$69</f>
        <v>4933.04</v>
      </c>
      <c r="Z63" s="81"/>
      <c r="AA63" s="77">
        <v>0</v>
      </c>
      <c r="AB63" s="182">
        <f t="shared" si="5"/>
        <v>0</v>
      </c>
      <c r="AC63" s="141">
        <f t="shared" si="7"/>
        <v>0</v>
      </c>
      <c r="AD63" s="141">
        <f t="shared" si="7"/>
        <v>0</v>
      </c>
      <c r="AE63" s="102"/>
      <c r="AF63" s="154"/>
    </row>
    <row r="64" spans="2:32" s="134" customFormat="1" x14ac:dyDescent="0.2">
      <c r="B64" s="153"/>
      <c r="C64" s="174"/>
      <c r="D64" s="60">
        <v>52</v>
      </c>
      <c r="E64" s="429" t="str">
        <f>+'bas LO'!E64</f>
        <v>school 52</v>
      </c>
      <c r="F64" s="429" t="str">
        <f>+'bas LO'!F64</f>
        <v>11AA</v>
      </c>
      <c r="G64" s="430">
        <f>+'bas LO'!G64</f>
        <v>162</v>
      </c>
      <c r="H64" s="430">
        <f>+'bas LO'!H64</f>
        <v>162</v>
      </c>
      <c r="I64" s="430">
        <f>+'bas LO'!I64</f>
        <v>162</v>
      </c>
      <c r="J64" s="430">
        <f>+'bas LO'!J64</f>
        <v>162</v>
      </c>
      <c r="K64" s="81"/>
      <c r="L64" s="78">
        <f>ROUND(G64*tab!$C$66,2)</f>
        <v>51650.46</v>
      </c>
      <c r="M64" s="78">
        <f>ROUND(H64*tab!$C$66,2)</f>
        <v>51650.46</v>
      </c>
      <c r="N64" s="78">
        <f>ROUND(I64*tab!$C$66,2)</f>
        <v>51650.46</v>
      </c>
      <c r="O64" s="78">
        <f>ROUND(J64*tab!$C$66,2)</f>
        <v>51650.46</v>
      </c>
      <c r="P64" s="81"/>
      <c r="Q64" s="182">
        <v>0</v>
      </c>
      <c r="R64" s="141">
        <f t="shared" si="6"/>
        <v>0</v>
      </c>
      <c r="S64" s="141">
        <f t="shared" si="6"/>
        <v>0</v>
      </c>
      <c r="T64" s="141">
        <f t="shared" si="6"/>
        <v>0</v>
      </c>
      <c r="U64" s="81"/>
      <c r="V64" s="78">
        <f>+G64*tab!$C$69</f>
        <v>4861.62</v>
      </c>
      <c r="W64" s="78">
        <f>+H64*tab!$D$69</f>
        <v>4963.68</v>
      </c>
      <c r="X64" s="78">
        <f>+I64*tab!$D$69</f>
        <v>4963.68</v>
      </c>
      <c r="Y64" s="78">
        <f>+J64*tab!$D$69</f>
        <v>4963.68</v>
      </c>
      <c r="Z64" s="81"/>
      <c r="AA64" s="77">
        <v>0</v>
      </c>
      <c r="AB64" s="182">
        <f t="shared" si="5"/>
        <v>0</v>
      </c>
      <c r="AC64" s="141">
        <f t="shared" si="7"/>
        <v>0</v>
      </c>
      <c r="AD64" s="141">
        <f t="shared" si="7"/>
        <v>0</v>
      </c>
      <c r="AE64" s="102"/>
      <c r="AF64" s="154"/>
    </row>
    <row r="65" spans="2:32" s="134" customFormat="1" x14ac:dyDescent="0.2">
      <c r="B65" s="153"/>
      <c r="C65" s="174"/>
      <c r="D65" s="60">
        <v>53</v>
      </c>
      <c r="E65" s="429" t="str">
        <f>+'bas LO'!E65</f>
        <v>school 53</v>
      </c>
      <c r="F65" s="429" t="str">
        <f>+'bas LO'!F65</f>
        <v>11AA</v>
      </c>
      <c r="G65" s="430">
        <f>+'bas LO'!G65</f>
        <v>163</v>
      </c>
      <c r="H65" s="430">
        <f>+'bas LO'!H65</f>
        <v>163</v>
      </c>
      <c r="I65" s="430">
        <f>+'bas LO'!I65</f>
        <v>163</v>
      </c>
      <c r="J65" s="430">
        <f>+'bas LO'!J65</f>
        <v>163</v>
      </c>
      <c r="K65" s="81"/>
      <c r="L65" s="78">
        <f>ROUND(G65*tab!$C$66,2)</f>
        <v>51969.29</v>
      </c>
      <c r="M65" s="78">
        <f>ROUND(H65*tab!$C$66,2)</f>
        <v>51969.29</v>
      </c>
      <c r="N65" s="78">
        <f>ROUND(I65*tab!$C$66,2)</f>
        <v>51969.29</v>
      </c>
      <c r="O65" s="78">
        <f>ROUND(J65*tab!$C$66,2)</f>
        <v>51969.29</v>
      </c>
      <c r="P65" s="81"/>
      <c r="Q65" s="182">
        <v>0</v>
      </c>
      <c r="R65" s="141">
        <f t="shared" si="6"/>
        <v>0</v>
      </c>
      <c r="S65" s="141">
        <f t="shared" si="6"/>
        <v>0</v>
      </c>
      <c r="T65" s="141">
        <f t="shared" si="6"/>
        <v>0</v>
      </c>
      <c r="U65" s="81"/>
      <c r="V65" s="78">
        <f>+G65*tab!$C$69</f>
        <v>4891.63</v>
      </c>
      <c r="W65" s="78">
        <f>+H65*tab!$D$69</f>
        <v>4994.32</v>
      </c>
      <c r="X65" s="78">
        <f>+I65*tab!$D$69</f>
        <v>4994.32</v>
      </c>
      <c r="Y65" s="78">
        <f>+J65*tab!$D$69</f>
        <v>4994.32</v>
      </c>
      <c r="Z65" s="81"/>
      <c r="AA65" s="77">
        <v>0</v>
      </c>
      <c r="AB65" s="182">
        <f t="shared" si="5"/>
        <v>0</v>
      </c>
      <c r="AC65" s="141">
        <f t="shared" si="7"/>
        <v>0</v>
      </c>
      <c r="AD65" s="141">
        <f t="shared" si="7"/>
        <v>0</v>
      </c>
      <c r="AE65" s="102"/>
      <c r="AF65" s="154"/>
    </row>
    <row r="66" spans="2:32" s="134" customFormat="1" x14ac:dyDescent="0.2">
      <c r="B66" s="153"/>
      <c r="C66" s="174"/>
      <c r="D66" s="60">
        <v>54</v>
      </c>
      <c r="E66" s="429" t="str">
        <f>+'bas LO'!E66</f>
        <v>school 54</v>
      </c>
      <c r="F66" s="429" t="str">
        <f>+'bas LO'!F66</f>
        <v>11AA</v>
      </c>
      <c r="G66" s="430">
        <f>+'bas LO'!G66</f>
        <v>164</v>
      </c>
      <c r="H66" s="430">
        <f>+'bas LO'!H66</f>
        <v>164</v>
      </c>
      <c r="I66" s="430">
        <f>+'bas LO'!I66</f>
        <v>164</v>
      </c>
      <c r="J66" s="430">
        <f>+'bas LO'!J66</f>
        <v>164</v>
      </c>
      <c r="K66" s="81"/>
      <c r="L66" s="78">
        <f>ROUND(G66*tab!$C$66,2)</f>
        <v>52288.12</v>
      </c>
      <c r="M66" s="78">
        <f>ROUND(H66*tab!$C$66,2)</f>
        <v>52288.12</v>
      </c>
      <c r="N66" s="78">
        <f>ROUND(I66*tab!$C$66,2)</f>
        <v>52288.12</v>
      </c>
      <c r="O66" s="78">
        <f>ROUND(J66*tab!$C$66,2)</f>
        <v>52288.12</v>
      </c>
      <c r="P66" s="81"/>
      <c r="Q66" s="182">
        <v>0</v>
      </c>
      <c r="R66" s="141">
        <f t="shared" si="6"/>
        <v>0</v>
      </c>
      <c r="S66" s="141">
        <f t="shared" si="6"/>
        <v>0</v>
      </c>
      <c r="T66" s="141">
        <f t="shared" si="6"/>
        <v>0</v>
      </c>
      <c r="U66" s="81"/>
      <c r="V66" s="78">
        <f>+G66*tab!$C$69</f>
        <v>4921.6400000000003</v>
      </c>
      <c r="W66" s="78">
        <f>+H66*tab!$D$69</f>
        <v>5024.96</v>
      </c>
      <c r="X66" s="78">
        <f>+I66*tab!$D$69</f>
        <v>5024.96</v>
      </c>
      <c r="Y66" s="78">
        <f>+J66*tab!$D$69</f>
        <v>5024.96</v>
      </c>
      <c r="Z66" s="81"/>
      <c r="AA66" s="77">
        <v>0</v>
      </c>
      <c r="AB66" s="182">
        <f t="shared" si="5"/>
        <v>0</v>
      </c>
      <c r="AC66" s="141">
        <f t="shared" si="7"/>
        <v>0</v>
      </c>
      <c r="AD66" s="141">
        <f t="shared" si="7"/>
        <v>0</v>
      </c>
      <c r="AE66" s="102"/>
      <c r="AF66" s="154"/>
    </row>
    <row r="67" spans="2:32" s="134" customFormat="1" x14ac:dyDescent="0.2">
      <c r="B67" s="153"/>
      <c r="C67" s="174"/>
      <c r="D67" s="60">
        <v>55</v>
      </c>
      <c r="E67" s="429" t="str">
        <f>+'bas LO'!E67</f>
        <v>school 55</v>
      </c>
      <c r="F67" s="429" t="str">
        <f>+'bas LO'!F67</f>
        <v>11AA</v>
      </c>
      <c r="G67" s="430">
        <f>+'bas LO'!G67</f>
        <v>165</v>
      </c>
      <c r="H67" s="430">
        <f>+'bas LO'!H67</f>
        <v>165</v>
      </c>
      <c r="I67" s="430">
        <f>+'bas LO'!I67</f>
        <v>165</v>
      </c>
      <c r="J67" s="430">
        <f>+'bas LO'!J67</f>
        <v>165</v>
      </c>
      <c r="K67" s="81"/>
      <c r="L67" s="78">
        <f>ROUND(G67*tab!$C$66,2)</f>
        <v>52606.95</v>
      </c>
      <c r="M67" s="78">
        <f>ROUND(H67*tab!$C$66,2)</f>
        <v>52606.95</v>
      </c>
      <c r="N67" s="78">
        <f>ROUND(I67*tab!$C$66,2)</f>
        <v>52606.95</v>
      </c>
      <c r="O67" s="78">
        <f>ROUND(J67*tab!$C$66,2)</f>
        <v>52606.95</v>
      </c>
      <c r="P67" s="81"/>
      <c r="Q67" s="182">
        <v>0</v>
      </c>
      <c r="R67" s="141">
        <f t="shared" si="6"/>
        <v>0</v>
      </c>
      <c r="S67" s="141">
        <f t="shared" si="6"/>
        <v>0</v>
      </c>
      <c r="T67" s="141">
        <f t="shared" si="6"/>
        <v>0</v>
      </c>
      <c r="U67" s="81"/>
      <c r="V67" s="78">
        <f>+G67*tab!$C$69</f>
        <v>4951.6500000000005</v>
      </c>
      <c r="W67" s="78">
        <f>+H67*tab!$D$69</f>
        <v>5055.6000000000004</v>
      </c>
      <c r="X67" s="78">
        <f>+I67*tab!$D$69</f>
        <v>5055.6000000000004</v>
      </c>
      <c r="Y67" s="78">
        <f>+J67*tab!$D$69</f>
        <v>5055.6000000000004</v>
      </c>
      <c r="Z67" s="81"/>
      <c r="AA67" s="77">
        <v>0</v>
      </c>
      <c r="AB67" s="182">
        <f t="shared" si="5"/>
        <v>0</v>
      </c>
      <c r="AC67" s="141">
        <f t="shared" si="7"/>
        <v>0</v>
      </c>
      <c r="AD67" s="141">
        <f t="shared" si="7"/>
        <v>0</v>
      </c>
      <c r="AE67" s="102"/>
      <c r="AF67" s="154"/>
    </row>
    <row r="68" spans="2:32" s="134" customFormat="1" x14ac:dyDescent="0.2">
      <c r="B68" s="153"/>
      <c r="C68" s="174"/>
      <c r="D68" s="60">
        <v>56</v>
      </c>
      <c r="E68" s="429" t="str">
        <f>+'bas LO'!E68</f>
        <v>school 56</v>
      </c>
      <c r="F68" s="429" t="str">
        <f>+'bas LO'!F68</f>
        <v>11AA</v>
      </c>
      <c r="G68" s="430">
        <f>+'bas LO'!G68</f>
        <v>166</v>
      </c>
      <c r="H68" s="430">
        <f>+'bas LO'!H68</f>
        <v>166</v>
      </c>
      <c r="I68" s="430">
        <f>+'bas LO'!I68</f>
        <v>166</v>
      </c>
      <c r="J68" s="430">
        <f>+'bas LO'!J68</f>
        <v>166</v>
      </c>
      <c r="K68" s="81"/>
      <c r="L68" s="78">
        <f>ROUND(G68*tab!$C$66,2)</f>
        <v>52925.78</v>
      </c>
      <c r="M68" s="78">
        <f>ROUND(H68*tab!$C$66,2)</f>
        <v>52925.78</v>
      </c>
      <c r="N68" s="78">
        <f>ROUND(I68*tab!$C$66,2)</f>
        <v>52925.78</v>
      </c>
      <c r="O68" s="78">
        <f>ROUND(J68*tab!$C$66,2)</f>
        <v>52925.78</v>
      </c>
      <c r="P68" s="81"/>
      <c r="Q68" s="182">
        <v>0</v>
      </c>
      <c r="R68" s="141">
        <f t="shared" si="6"/>
        <v>0</v>
      </c>
      <c r="S68" s="141">
        <f t="shared" si="6"/>
        <v>0</v>
      </c>
      <c r="T68" s="141">
        <f t="shared" si="6"/>
        <v>0</v>
      </c>
      <c r="U68" s="81"/>
      <c r="V68" s="78">
        <f>+G68*tab!$C$69</f>
        <v>4981.66</v>
      </c>
      <c r="W68" s="78">
        <f>+H68*tab!$D$69</f>
        <v>5086.24</v>
      </c>
      <c r="X68" s="78">
        <f>+I68*tab!$D$69</f>
        <v>5086.24</v>
      </c>
      <c r="Y68" s="78">
        <f>+J68*tab!$D$69</f>
        <v>5086.24</v>
      </c>
      <c r="Z68" s="81"/>
      <c r="AA68" s="77">
        <v>0</v>
      </c>
      <c r="AB68" s="182">
        <f t="shared" si="5"/>
        <v>0</v>
      </c>
      <c r="AC68" s="141">
        <f t="shared" si="7"/>
        <v>0</v>
      </c>
      <c r="AD68" s="141">
        <f t="shared" si="7"/>
        <v>0</v>
      </c>
      <c r="AE68" s="102"/>
      <c r="AF68" s="154"/>
    </row>
    <row r="69" spans="2:32" s="134" customFormat="1" x14ac:dyDescent="0.2">
      <c r="B69" s="153"/>
      <c r="C69" s="174"/>
      <c r="D69" s="60">
        <v>57</v>
      </c>
      <c r="E69" s="429" t="str">
        <f>+'bas LO'!E69</f>
        <v>school 57</v>
      </c>
      <c r="F69" s="429" t="str">
        <f>+'bas LO'!F69</f>
        <v>11AA</v>
      </c>
      <c r="G69" s="430">
        <f>+'bas LO'!G69</f>
        <v>167</v>
      </c>
      <c r="H69" s="430">
        <f>+'bas LO'!H69</f>
        <v>167</v>
      </c>
      <c r="I69" s="430">
        <f>+'bas LO'!I69</f>
        <v>167</v>
      </c>
      <c r="J69" s="430">
        <f>+'bas LO'!J69</f>
        <v>167</v>
      </c>
      <c r="K69" s="81"/>
      <c r="L69" s="78">
        <f>ROUND(G69*tab!$C$66,2)</f>
        <v>53244.61</v>
      </c>
      <c r="M69" s="78">
        <f>ROUND(H69*tab!$C$66,2)</f>
        <v>53244.61</v>
      </c>
      <c r="N69" s="78">
        <f>ROUND(I69*tab!$C$66,2)</f>
        <v>53244.61</v>
      </c>
      <c r="O69" s="78">
        <f>ROUND(J69*tab!$C$66,2)</f>
        <v>53244.61</v>
      </c>
      <c r="P69" s="81"/>
      <c r="Q69" s="182">
        <v>0</v>
      </c>
      <c r="R69" s="141">
        <f t="shared" si="6"/>
        <v>0</v>
      </c>
      <c r="S69" s="141">
        <f t="shared" si="6"/>
        <v>0</v>
      </c>
      <c r="T69" s="141">
        <f t="shared" si="6"/>
        <v>0</v>
      </c>
      <c r="U69" s="81"/>
      <c r="V69" s="78">
        <f>+G69*tab!$C$69</f>
        <v>5011.67</v>
      </c>
      <c r="W69" s="78">
        <f>+H69*tab!$D$69</f>
        <v>5116.88</v>
      </c>
      <c r="X69" s="78">
        <f>+I69*tab!$D$69</f>
        <v>5116.88</v>
      </c>
      <c r="Y69" s="78">
        <f>+J69*tab!$D$69</f>
        <v>5116.88</v>
      </c>
      <c r="Z69" s="81"/>
      <c r="AA69" s="77">
        <v>0</v>
      </c>
      <c r="AB69" s="182">
        <f t="shared" si="5"/>
        <v>0</v>
      </c>
      <c r="AC69" s="141">
        <f t="shared" si="7"/>
        <v>0</v>
      </c>
      <c r="AD69" s="141">
        <f t="shared" si="7"/>
        <v>0</v>
      </c>
      <c r="AE69" s="102"/>
      <c r="AF69" s="154"/>
    </row>
    <row r="70" spans="2:32" s="134" customFormat="1" x14ac:dyDescent="0.2">
      <c r="B70" s="153"/>
      <c r="C70" s="174"/>
      <c r="D70" s="60">
        <v>58</v>
      </c>
      <c r="E70" s="429" t="str">
        <f>+'bas LO'!E70</f>
        <v>school 58</v>
      </c>
      <c r="F70" s="429" t="str">
        <f>+'bas LO'!F70</f>
        <v>11AA</v>
      </c>
      <c r="G70" s="430">
        <f>+'bas LO'!G70</f>
        <v>168</v>
      </c>
      <c r="H70" s="430">
        <f>+'bas LO'!H70</f>
        <v>168</v>
      </c>
      <c r="I70" s="430">
        <f>+'bas LO'!I70</f>
        <v>168</v>
      </c>
      <c r="J70" s="430">
        <f>+'bas LO'!J70</f>
        <v>168</v>
      </c>
      <c r="K70" s="81"/>
      <c r="L70" s="78">
        <f>ROUND(G70*tab!$C$66,2)</f>
        <v>53563.44</v>
      </c>
      <c r="M70" s="78">
        <f>ROUND(H70*tab!$C$66,2)</f>
        <v>53563.44</v>
      </c>
      <c r="N70" s="78">
        <f>ROUND(I70*tab!$C$66,2)</f>
        <v>53563.44</v>
      </c>
      <c r="O70" s="78">
        <f>ROUND(J70*tab!$C$66,2)</f>
        <v>53563.44</v>
      </c>
      <c r="P70" s="81"/>
      <c r="Q70" s="182">
        <v>0</v>
      </c>
      <c r="R70" s="141">
        <f t="shared" si="6"/>
        <v>0</v>
      </c>
      <c r="S70" s="141">
        <f t="shared" si="6"/>
        <v>0</v>
      </c>
      <c r="T70" s="141">
        <f t="shared" si="6"/>
        <v>0</v>
      </c>
      <c r="U70" s="81"/>
      <c r="V70" s="78">
        <f>+G70*tab!$C$69</f>
        <v>5041.68</v>
      </c>
      <c r="W70" s="78">
        <f>+H70*tab!$D$69</f>
        <v>5147.5200000000004</v>
      </c>
      <c r="X70" s="78">
        <f>+I70*tab!$D$69</f>
        <v>5147.5200000000004</v>
      </c>
      <c r="Y70" s="78">
        <f>+J70*tab!$D$69</f>
        <v>5147.5200000000004</v>
      </c>
      <c r="Z70" s="81"/>
      <c r="AA70" s="77">
        <v>0</v>
      </c>
      <c r="AB70" s="182">
        <f t="shared" si="5"/>
        <v>0</v>
      </c>
      <c r="AC70" s="141">
        <f t="shared" si="7"/>
        <v>0</v>
      </c>
      <c r="AD70" s="141">
        <f t="shared" si="7"/>
        <v>0</v>
      </c>
      <c r="AE70" s="102"/>
      <c r="AF70" s="154"/>
    </row>
    <row r="71" spans="2:32" s="134" customFormat="1" x14ac:dyDescent="0.2">
      <c r="B71" s="153"/>
      <c r="C71" s="174"/>
      <c r="D71" s="60">
        <v>59</v>
      </c>
      <c r="E71" s="429" t="str">
        <f>+'bas LO'!E71</f>
        <v>school 59</v>
      </c>
      <c r="F71" s="429" t="str">
        <f>+'bas LO'!F71</f>
        <v>11AA</v>
      </c>
      <c r="G71" s="430">
        <f>+'bas LO'!G71</f>
        <v>169</v>
      </c>
      <c r="H71" s="430">
        <f>+'bas LO'!H71</f>
        <v>169</v>
      </c>
      <c r="I71" s="430">
        <f>+'bas LO'!I71</f>
        <v>169</v>
      </c>
      <c r="J71" s="430">
        <f>+'bas LO'!J71</f>
        <v>169</v>
      </c>
      <c r="K71" s="81"/>
      <c r="L71" s="78">
        <f>ROUND(G71*tab!$C$66,2)</f>
        <v>53882.27</v>
      </c>
      <c r="M71" s="78">
        <f>ROUND(H71*tab!$C$66,2)</f>
        <v>53882.27</v>
      </c>
      <c r="N71" s="78">
        <f>ROUND(I71*tab!$C$66,2)</f>
        <v>53882.27</v>
      </c>
      <c r="O71" s="78">
        <f>ROUND(J71*tab!$C$66,2)</f>
        <v>53882.27</v>
      </c>
      <c r="P71" s="81"/>
      <c r="Q71" s="182">
        <v>0</v>
      </c>
      <c r="R71" s="141">
        <f t="shared" si="6"/>
        <v>0</v>
      </c>
      <c r="S71" s="141">
        <f t="shared" si="6"/>
        <v>0</v>
      </c>
      <c r="T71" s="141">
        <f t="shared" si="6"/>
        <v>0</v>
      </c>
      <c r="U71" s="81"/>
      <c r="V71" s="78">
        <f>+G71*tab!$C$69</f>
        <v>5071.6900000000005</v>
      </c>
      <c r="W71" s="78">
        <f>+H71*tab!$D$69</f>
        <v>5178.16</v>
      </c>
      <c r="X71" s="78">
        <f>+I71*tab!$D$69</f>
        <v>5178.16</v>
      </c>
      <c r="Y71" s="78">
        <f>+J71*tab!$D$69</f>
        <v>5178.16</v>
      </c>
      <c r="Z71" s="81"/>
      <c r="AA71" s="77">
        <v>0</v>
      </c>
      <c r="AB71" s="182">
        <f t="shared" si="5"/>
        <v>0</v>
      </c>
      <c r="AC71" s="141">
        <f t="shared" si="7"/>
        <v>0</v>
      </c>
      <c r="AD71" s="141">
        <f t="shared" si="7"/>
        <v>0</v>
      </c>
      <c r="AE71" s="102"/>
      <c r="AF71" s="154"/>
    </row>
    <row r="72" spans="2:32" s="134" customFormat="1" x14ac:dyDescent="0.2">
      <c r="B72" s="153"/>
      <c r="C72" s="174"/>
      <c r="D72" s="60">
        <v>60</v>
      </c>
      <c r="E72" s="429" t="str">
        <f>+'bas LO'!E72</f>
        <v>school 60</v>
      </c>
      <c r="F72" s="429" t="str">
        <f>+'bas LO'!F72</f>
        <v>11AA</v>
      </c>
      <c r="G72" s="430">
        <f>+'bas LO'!G72</f>
        <v>170</v>
      </c>
      <c r="H72" s="430">
        <f>+'bas LO'!H72</f>
        <v>170</v>
      </c>
      <c r="I72" s="430">
        <f>+'bas LO'!I72</f>
        <v>170</v>
      </c>
      <c r="J72" s="430">
        <f>+'bas LO'!J72</f>
        <v>170</v>
      </c>
      <c r="K72" s="81"/>
      <c r="L72" s="78">
        <f>ROUND(G72*tab!$C$66,2)</f>
        <v>54201.1</v>
      </c>
      <c r="M72" s="78">
        <f>ROUND(H72*tab!$C$66,2)</f>
        <v>54201.1</v>
      </c>
      <c r="N72" s="78">
        <f>ROUND(I72*tab!$C$66,2)</f>
        <v>54201.1</v>
      </c>
      <c r="O72" s="78">
        <f>ROUND(J72*tab!$C$66,2)</f>
        <v>54201.1</v>
      </c>
      <c r="P72" s="81"/>
      <c r="Q72" s="182">
        <v>0</v>
      </c>
      <c r="R72" s="141">
        <f t="shared" si="6"/>
        <v>0</v>
      </c>
      <c r="S72" s="141">
        <f t="shared" si="6"/>
        <v>0</v>
      </c>
      <c r="T72" s="141">
        <f t="shared" si="6"/>
        <v>0</v>
      </c>
      <c r="U72" s="81"/>
      <c r="V72" s="78">
        <f>+G72*tab!$C$69</f>
        <v>5101.7</v>
      </c>
      <c r="W72" s="78">
        <f>+H72*tab!$D$69</f>
        <v>5208.8</v>
      </c>
      <c r="X72" s="78">
        <f>+I72*tab!$D$69</f>
        <v>5208.8</v>
      </c>
      <c r="Y72" s="78">
        <f>+J72*tab!$D$69</f>
        <v>5208.8</v>
      </c>
      <c r="Z72" s="81"/>
      <c r="AA72" s="77">
        <v>0</v>
      </c>
      <c r="AB72" s="182">
        <f t="shared" si="5"/>
        <v>0</v>
      </c>
      <c r="AC72" s="141">
        <f t="shared" si="7"/>
        <v>0</v>
      </c>
      <c r="AD72" s="141">
        <f t="shared" si="7"/>
        <v>0</v>
      </c>
      <c r="AE72" s="102"/>
      <c r="AF72" s="154"/>
    </row>
    <row r="73" spans="2:32" s="134" customFormat="1" x14ac:dyDescent="0.2">
      <c r="B73" s="153"/>
      <c r="C73" s="174"/>
      <c r="D73" s="60">
        <v>61</v>
      </c>
      <c r="E73" s="429" t="str">
        <f>+'bas LO'!E73</f>
        <v>school 61</v>
      </c>
      <c r="F73" s="429" t="str">
        <f>+'bas LO'!F73</f>
        <v>11AA</v>
      </c>
      <c r="G73" s="430">
        <f>+'bas LO'!G73</f>
        <v>171</v>
      </c>
      <c r="H73" s="430">
        <f>+'bas LO'!H73</f>
        <v>171</v>
      </c>
      <c r="I73" s="430">
        <f>+'bas LO'!I73</f>
        <v>171</v>
      </c>
      <c r="J73" s="430">
        <f>+'bas LO'!J73</f>
        <v>171</v>
      </c>
      <c r="K73" s="81"/>
      <c r="L73" s="78">
        <f>ROUND(G73*tab!$C$66,2)</f>
        <v>54519.93</v>
      </c>
      <c r="M73" s="78">
        <f>ROUND(H73*tab!$C$66,2)</f>
        <v>54519.93</v>
      </c>
      <c r="N73" s="78">
        <f>ROUND(I73*tab!$C$66,2)</f>
        <v>54519.93</v>
      </c>
      <c r="O73" s="78">
        <f>ROUND(J73*tab!$C$66,2)</f>
        <v>54519.93</v>
      </c>
      <c r="P73" s="81"/>
      <c r="Q73" s="182">
        <v>0</v>
      </c>
      <c r="R73" s="141">
        <f t="shared" ref="R73:T92" si="8">Q73</f>
        <v>0</v>
      </c>
      <c r="S73" s="141">
        <f t="shared" si="8"/>
        <v>0</v>
      </c>
      <c r="T73" s="141">
        <f t="shared" si="8"/>
        <v>0</v>
      </c>
      <c r="U73" s="81"/>
      <c r="V73" s="78">
        <f>+G73*tab!$C$69</f>
        <v>5131.71</v>
      </c>
      <c r="W73" s="78">
        <f>+H73*tab!$D$69</f>
        <v>5239.4400000000005</v>
      </c>
      <c r="X73" s="78">
        <f>+I73*tab!$D$69</f>
        <v>5239.4400000000005</v>
      </c>
      <c r="Y73" s="78">
        <f>+J73*tab!$D$69</f>
        <v>5239.4400000000005</v>
      </c>
      <c r="Z73" s="81"/>
      <c r="AA73" s="77">
        <v>0</v>
      </c>
      <c r="AB73" s="182">
        <f t="shared" si="5"/>
        <v>0</v>
      </c>
      <c r="AC73" s="141">
        <f t="shared" ref="AC73:AD92" si="9">AB73</f>
        <v>0</v>
      </c>
      <c r="AD73" s="141">
        <f t="shared" si="9"/>
        <v>0</v>
      </c>
      <c r="AE73" s="102"/>
      <c r="AF73" s="154"/>
    </row>
    <row r="74" spans="2:32" s="134" customFormat="1" x14ac:dyDescent="0.2">
      <c r="B74" s="153"/>
      <c r="C74" s="174"/>
      <c r="D74" s="60">
        <v>62</v>
      </c>
      <c r="E74" s="429" t="str">
        <f>+'bas LO'!E74</f>
        <v>school 62</v>
      </c>
      <c r="F74" s="429" t="str">
        <f>+'bas LO'!F74</f>
        <v>11AA</v>
      </c>
      <c r="G74" s="430">
        <f>+'bas LO'!G74</f>
        <v>172</v>
      </c>
      <c r="H74" s="430">
        <f>+'bas LO'!H74</f>
        <v>172</v>
      </c>
      <c r="I74" s="430">
        <f>+'bas LO'!I74</f>
        <v>172</v>
      </c>
      <c r="J74" s="430">
        <f>+'bas LO'!J74</f>
        <v>172</v>
      </c>
      <c r="K74" s="81"/>
      <c r="L74" s="78">
        <f>ROUND(G74*tab!$C$66,2)</f>
        <v>54838.76</v>
      </c>
      <c r="M74" s="78">
        <f>ROUND(H74*tab!$C$66,2)</f>
        <v>54838.76</v>
      </c>
      <c r="N74" s="78">
        <f>ROUND(I74*tab!$C$66,2)</f>
        <v>54838.76</v>
      </c>
      <c r="O74" s="78">
        <f>ROUND(J74*tab!$C$66,2)</f>
        <v>54838.76</v>
      </c>
      <c r="P74" s="81"/>
      <c r="Q74" s="182">
        <v>0</v>
      </c>
      <c r="R74" s="141">
        <f t="shared" si="8"/>
        <v>0</v>
      </c>
      <c r="S74" s="141">
        <f t="shared" si="8"/>
        <v>0</v>
      </c>
      <c r="T74" s="141">
        <f t="shared" si="8"/>
        <v>0</v>
      </c>
      <c r="U74" s="81"/>
      <c r="V74" s="78">
        <f>+G74*tab!$C$69</f>
        <v>5161.72</v>
      </c>
      <c r="W74" s="78">
        <f>+H74*tab!$D$69</f>
        <v>5270.08</v>
      </c>
      <c r="X74" s="78">
        <f>+I74*tab!$D$69</f>
        <v>5270.08</v>
      </c>
      <c r="Y74" s="78">
        <f>+J74*tab!$D$69</f>
        <v>5270.08</v>
      </c>
      <c r="Z74" s="81"/>
      <c r="AA74" s="77">
        <v>0</v>
      </c>
      <c r="AB74" s="182">
        <f t="shared" si="5"/>
        <v>0</v>
      </c>
      <c r="AC74" s="141">
        <f t="shared" si="9"/>
        <v>0</v>
      </c>
      <c r="AD74" s="141">
        <f t="shared" si="9"/>
        <v>0</v>
      </c>
      <c r="AE74" s="102"/>
      <c r="AF74" s="154"/>
    </row>
    <row r="75" spans="2:32" s="134" customFormat="1" x14ac:dyDescent="0.2">
      <c r="B75" s="153"/>
      <c r="C75" s="174"/>
      <c r="D75" s="60">
        <v>63</v>
      </c>
      <c r="E75" s="429" t="str">
        <f>+'bas LO'!E75</f>
        <v>school 63</v>
      </c>
      <c r="F75" s="429" t="str">
        <f>+'bas LO'!F75</f>
        <v>11AA</v>
      </c>
      <c r="G75" s="430">
        <f>+'bas LO'!G75</f>
        <v>173</v>
      </c>
      <c r="H75" s="430">
        <f>+'bas LO'!H75</f>
        <v>173</v>
      </c>
      <c r="I75" s="430">
        <f>+'bas LO'!I75</f>
        <v>173</v>
      </c>
      <c r="J75" s="430">
        <f>+'bas LO'!J75</f>
        <v>173</v>
      </c>
      <c r="K75" s="81"/>
      <c r="L75" s="78">
        <f>ROUND(G75*tab!$C$66,2)</f>
        <v>55157.59</v>
      </c>
      <c r="M75" s="78">
        <f>ROUND(H75*tab!$C$66,2)</f>
        <v>55157.59</v>
      </c>
      <c r="N75" s="78">
        <f>ROUND(I75*tab!$C$66,2)</f>
        <v>55157.59</v>
      </c>
      <c r="O75" s="78">
        <f>ROUND(J75*tab!$C$66,2)</f>
        <v>55157.59</v>
      </c>
      <c r="P75" s="81"/>
      <c r="Q75" s="182">
        <v>0</v>
      </c>
      <c r="R75" s="141">
        <f t="shared" si="8"/>
        <v>0</v>
      </c>
      <c r="S75" s="141">
        <f t="shared" si="8"/>
        <v>0</v>
      </c>
      <c r="T75" s="141">
        <f t="shared" si="8"/>
        <v>0</v>
      </c>
      <c r="U75" s="81"/>
      <c r="V75" s="78">
        <f>+G75*tab!$C$69</f>
        <v>5191.7300000000005</v>
      </c>
      <c r="W75" s="78">
        <f>+H75*tab!$D$69</f>
        <v>5300.72</v>
      </c>
      <c r="X75" s="78">
        <f>+I75*tab!$D$69</f>
        <v>5300.72</v>
      </c>
      <c r="Y75" s="78">
        <f>+J75*tab!$D$69</f>
        <v>5300.72</v>
      </c>
      <c r="Z75" s="81"/>
      <c r="AA75" s="77">
        <v>0</v>
      </c>
      <c r="AB75" s="182">
        <f t="shared" si="5"/>
        <v>0</v>
      </c>
      <c r="AC75" s="141">
        <f t="shared" si="9"/>
        <v>0</v>
      </c>
      <c r="AD75" s="141">
        <f t="shared" si="9"/>
        <v>0</v>
      </c>
      <c r="AE75" s="102"/>
      <c r="AF75" s="154"/>
    </row>
    <row r="76" spans="2:32" s="134" customFormat="1" x14ac:dyDescent="0.2">
      <c r="B76" s="153"/>
      <c r="C76" s="174"/>
      <c r="D76" s="60">
        <v>64</v>
      </c>
      <c r="E76" s="429" t="str">
        <f>+'bas LO'!E76</f>
        <v>school 64</v>
      </c>
      <c r="F76" s="429" t="str">
        <f>+'bas LO'!F76</f>
        <v>11AA</v>
      </c>
      <c r="G76" s="430">
        <f>+'bas LO'!G76</f>
        <v>174</v>
      </c>
      <c r="H76" s="430">
        <f>+'bas LO'!H76</f>
        <v>174</v>
      </c>
      <c r="I76" s="430">
        <f>+'bas LO'!I76</f>
        <v>174</v>
      </c>
      <c r="J76" s="430">
        <f>+'bas LO'!J76</f>
        <v>174</v>
      </c>
      <c r="K76" s="81"/>
      <c r="L76" s="78">
        <f>ROUND(G76*tab!$C$66,2)</f>
        <v>55476.42</v>
      </c>
      <c r="M76" s="78">
        <f>ROUND(H76*tab!$C$66,2)</f>
        <v>55476.42</v>
      </c>
      <c r="N76" s="78">
        <f>ROUND(I76*tab!$C$66,2)</f>
        <v>55476.42</v>
      </c>
      <c r="O76" s="78">
        <f>ROUND(J76*tab!$C$66,2)</f>
        <v>55476.42</v>
      </c>
      <c r="P76" s="81"/>
      <c r="Q76" s="182">
        <v>0</v>
      </c>
      <c r="R76" s="141">
        <f t="shared" si="8"/>
        <v>0</v>
      </c>
      <c r="S76" s="141">
        <f t="shared" si="8"/>
        <v>0</v>
      </c>
      <c r="T76" s="141">
        <f t="shared" si="8"/>
        <v>0</v>
      </c>
      <c r="U76" s="81"/>
      <c r="V76" s="78">
        <f>+G76*tab!$C$69</f>
        <v>5221.7400000000007</v>
      </c>
      <c r="W76" s="78">
        <f>+H76*tab!$D$69</f>
        <v>5331.36</v>
      </c>
      <c r="X76" s="78">
        <f>+I76*tab!$D$69</f>
        <v>5331.36</v>
      </c>
      <c r="Y76" s="78">
        <f>+J76*tab!$D$69</f>
        <v>5331.36</v>
      </c>
      <c r="Z76" s="81"/>
      <c r="AA76" s="77">
        <v>0</v>
      </c>
      <c r="AB76" s="182">
        <f t="shared" si="5"/>
        <v>0</v>
      </c>
      <c r="AC76" s="141">
        <f t="shared" si="9"/>
        <v>0</v>
      </c>
      <c r="AD76" s="141">
        <f t="shared" si="9"/>
        <v>0</v>
      </c>
      <c r="AE76" s="102"/>
      <c r="AF76" s="154"/>
    </row>
    <row r="77" spans="2:32" s="134" customFormat="1" x14ac:dyDescent="0.2">
      <c r="B77" s="153"/>
      <c r="C77" s="174"/>
      <c r="D77" s="60">
        <v>65</v>
      </c>
      <c r="E77" s="429" t="str">
        <f>+'bas LO'!E77</f>
        <v>school 65</v>
      </c>
      <c r="F77" s="429" t="str">
        <f>+'bas LO'!F77</f>
        <v>11AA</v>
      </c>
      <c r="G77" s="430">
        <f>+'bas LO'!G77</f>
        <v>175</v>
      </c>
      <c r="H77" s="430">
        <f>+'bas LO'!H77</f>
        <v>175</v>
      </c>
      <c r="I77" s="430">
        <f>+'bas LO'!I77</f>
        <v>175</v>
      </c>
      <c r="J77" s="430">
        <f>+'bas LO'!J77</f>
        <v>175</v>
      </c>
      <c r="K77" s="81"/>
      <c r="L77" s="78">
        <f>ROUND(G77*tab!$C$66,2)</f>
        <v>55795.25</v>
      </c>
      <c r="M77" s="78">
        <f>ROUND(H77*tab!$C$66,2)</f>
        <v>55795.25</v>
      </c>
      <c r="N77" s="78">
        <f>ROUND(I77*tab!$C$66,2)</f>
        <v>55795.25</v>
      </c>
      <c r="O77" s="78">
        <f>ROUND(J77*tab!$C$66,2)</f>
        <v>55795.25</v>
      </c>
      <c r="P77" s="81"/>
      <c r="Q77" s="182">
        <v>0</v>
      </c>
      <c r="R77" s="141">
        <f t="shared" si="8"/>
        <v>0</v>
      </c>
      <c r="S77" s="141">
        <f t="shared" si="8"/>
        <v>0</v>
      </c>
      <c r="T77" s="141">
        <f t="shared" si="8"/>
        <v>0</v>
      </c>
      <c r="U77" s="81"/>
      <c r="V77" s="78">
        <f>+G77*tab!$C$69</f>
        <v>5251.75</v>
      </c>
      <c r="W77" s="78">
        <f>+H77*tab!$D$69</f>
        <v>5362</v>
      </c>
      <c r="X77" s="78">
        <f>+I77*tab!$D$69</f>
        <v>5362</v>
      </c>
      <c r="Y77" s="78">
        <f>+J77*tab!$D$69</f>
        <v>5362</v>
      </c>
      <c r="Z77" s="81"/>
      <c r="AA77" s="77">
        <v>0</v>
      </c>
      <c r="AB77" s="182">
        <f t="shared" ref="AB77:AB108" si="10">AA77*7/12</f>
        <v>0</v>
      </c>
      <c r="AC77" s="141">
        <f t="shared" si="9"/>
        <v>0</v>
      </c>
      <c r="AD77" s="141">
        <f t="shared" si="9"/>
        <v>0</v>
      </c>
      <c r="AE77" s="102"/>
      <c r="AF77" s="154"/>
    </row>
    <row r="78" spans="2:32" s="134" customFormat="1" x14ac:dyDescent="0.2">
      <c r="B78" s="153"/>
      <c r="C78" s="174"/>
      <c r="D78" s="60">
        <v>66</v>
      </c>
      <c r="E78" s="429" t="str">
        <f>+'bas LO'!E78</f>
        <v>school 66</v>
      </c>
      <c r="F78" s="429" t="str">
        <f>+'bas LO'!F78</f>
        <v>11AA</v>
      </c>
      <c r="G78" s="430">
        <f>+'bas LO'!G78</f>
        <v>176</v>
      </c>
      <c r="H78" s="430">
        <f>+'bas LO'!H78</f>
        <v>176</v>
      </c>
      <c r="I78" s="430">
        <f>+'bas LO'!I78</f>
        <v>176</v>
      </c>
      <c r="J78" s="430">
        <f>+'bas LO'!J78</f>
        <v>176</v>
      </c>
      <c r="K78" s="81"/>
      <c r="L78" s="78">
        <f>ROUND(G78*tab!$C$66,2)</f>
        <v>56114.080000000002</v>
      </c>
      <c r="M78" s="78">
        <f>ROUND(H78*tab!$C$66,2)</f>
        <v>56114.080000000002</v>
      </c>
      <c r="N78" s="78">
        <f>ROUND(I78*tab!$C$66,2)</f>
        <v>56114.080000000002</v>
      </c>
      <c r="O78" s="78">
        <f>ROUND(J78*tab!$C$66,2)</f>
        <v>56114.080000000002</v>
      </c>
      <c r="P78" s="81"/>
      <c r="Q78" s="182">
        <v>0</v>
      </c>
      <c r="R78" s="141">
        <f t="shared" si="8"/>
        <v>0</v>
      </c>
      <c r="S78" s="141">
        <f t="shared" si="8"/>
        <v>0</v>
      </c>
      <c r="T78" s="141">
        <f t="shared" si="8"/>
        <v>0</v>
      </c>
      <c r="U78" s="81"/>
      <c r="V78" s="78">
        <f>+G78*tab!$C$69</f>
        <v>5281.76</v>
      </c>
      <c r="W78" s="78">
        <f>+H78*tab!$D$69</f>
        <v>5392.64</v>
      </c>
      <c r="X78" s="78">
        <f>+I78*tab!$D$69</f>
        <v>5392.64</v>
      </c>
      <c r="Y78" s="78">
        <f>+J78*tab!$D$69</f>
        <v>5392.64</v>
      </c>
      <c r="Z78" s="81"/>
      <c r="AA78" s="77">
        <v>0</v>
      </c>
      <c r="AB78" s="182">
        <f t="shared" si="10"/>
        <v>0</v>
      </c>
      <c r="AC78" s="141">
        <f t="shared" si="9"/>
        <v>0</v>
      </c>
      <c r="AD78" s="141">
        <f t="shared" si="9"/>
        <v>0</v>
      </c>
      <c r="AE78" s="102"/>
      <c r="AF78" s="154"/>
    </row>
    <row r="79" spans="2:32" s="134" customFormat="1" x14ac:dyDescent="0.2">
      <c r="B79" s="153"/>
      <c r="C79" s="174"/>
      <c r="D79" s="60">
        <v>67</v>
      </c>
      <c r="E79" s="429" t="str">
        <f>+'bas LO'!E79</f>
        <v>school 67</v>
      </c>
      <c r="F79" s="429" t="str">
        <f>+'bas LO'!F79</f>
        <v>11AA</v>
      </c>
      <c r="G79" s="430">
        <f>+'bas LO'!G79</f>
        <v>177</v>
      </c>
      <c r="H79" s="430">
        <f>+'bas LO'!H79</f>
        <v>177</v>
      </c>
      <c r="I79" s="430">
        <f>+'bas LO'!I79</f>
        <v>177</v>
      </c>
      <c r="J79" s="430">
        <f>+'bas LO'!J79</f>
        <v>177</v>
      </c>
      <c r="K79" s="81"/>
      <c r="L79" s="78">
        <f>ROUND(G79*tab!$C$66,2)</f>
        <v>56432.91</v>
      </c>
      <c r="M79" s="78">
        <f>ROUND(H79*tab!$C$66,2)</f>
        <v>56432.91</v>
      </c>
      <c r="N79" s="78">
        <f>ROUND(I79*tab!$C$66,2)</f>
        <v>56432.91</v>
      </c>
      <c r="O79" s="78">
        <f>ROUND(J79*tab!$C$66,2)</f>
        <v>56432.91</v>
      </c>
      <c r="P79" s="81"/>
      <c r="Q79" s="182">
        <v>0</v>
      </c>
      <c r="R79" s="141">
        <f t="shared" si="8"/>
        <v>0</v>
      </c>
      <c r="S79" s="141">
        <f t="shared" si="8"/>
        <v>0</v>
      </c>
      <c r="T79" s="141">
        <f t="shared" si="8"/>
        <v>0</v>
      </c>
      <c r="U79" s="81"/>
      <c r="V79" s="78">
        <f>+G79*tab!$C$69</f>
        <v>5311.77</v>
      </c>
      <c r="W79" s="78">
        <f>+H79*tab!$D$69</f>
        <v>5423.28</v>
      </c>
      <c r="X79" s="78">
        <f>+I79*tab!$D$69</f>
        <v>5423.28</v>
      </c>
      <c r="Y79" s="78">
        <f>+J79*tab!$D$69</f>
        <v>5423.28</v>
      </c>
      <c r="Z79" s="81"/>
      <c r="AA79" s="77">
        <v>0</v>
      </c>
      <c r="AB79" s="182">
        <f t="shared" si="10"/>
        <v>0</v>
      </c>
      <c r="AC79" s="141">
        <f t="shared" si="9"/>
        <v>0</v>
      </c>
      <c r="AD79" s="141">
        <f t="shared" si="9"/>
        <v>0</v>
      </c>
      <c r="AE79" s="102"/>
      <c r="AF79" s="154"/>
    </row>
    <row r="80" spans="2:32" s="134" customFormat="1" x14ac:dyDescent="0.2">
      <c r="B80" s="153"/>
      <c r="C80" s="174"/>
      <c r="D80" s="60">
        <v>68</v>
      </c>
      <c r="E80" s="429" t="str">
        <f>+'bas LO'!E80</f>
        <v>school 68</v>
      </c>
      <c r="F80" s="429" t="str">
        <f>+'bas LO'!F80</f>
        <v>11AA</v>
      </c>
      <c r="G80" s="430">
        <f>+'bas LO'!G80</f>
        <v>178</v>
      </c>
      <c r="H80" s="430">
        <f>+'bas LO'!H80</f>
        <v>178</v>
      </c>
      <c r="I80" s="430">
        <f>+'bas LO'!I80</f>
        <v>178</v>
      </c>
      <c r="J80" s="430">
        <f>+'bas LO'!J80</f>
        <v>178</v>
      </c>
      <c r="K80" s="81"/>
      <c r="L80" s="78">
        <f>ROUND(G80*tab!$C$66,2)</f>
        <v>56751.74</v>
      </c>
      <c r="M80" s="78">
        <f>ROUND(H80*tab!$C$66,2)</f>
        <v>56751.74</v>
      </c>
      <c r="N80" s="78">
        <f>ROUND(I80*tab!$C$66,2)</f>
        <v>56751.74</v>
      </c>
      <c r="O80" s="78">
        <f>ROUND(J80*tab!$C$66,2)</f>
        <v>56751.74</v>
      </c>
      <c r="P80" s="81"/>
      <c r="Q80" s="182">
        <v>0</v>
      </c>
      <c r="R80" s="141">
        <f t="shared" si="8"/>
        <v>0</v>
      </c>
      <c r="S80" s="141">
        <f t="shared" si="8"/>
        <v>0</v>
      </c>
      <c r="T80" s="141">
        <f t="shared" si="8"/>
        <v>0</v>
      </c>
      <c r="U80" s="81"/>
      <c r="V80" s="78">
        <f>+G80*tab!$C$69</f>
        <v>5341.7800000000007</v>
      </c>
      <c r="W80" s="78">
        <f>+H80*tab!$D$69</f>
        <v>5453.92</v>
      </c>
      <c r="X80" s="78">
        <f>+I80*tab!$D$69</f>
        <v>5453.92</v>
      </c>
      <c r="Y80" s="78">
        <f>+J80*tab!$D$69</f>
        <v>5453.92</v>
      </c>
      <c r="Z80" s="81"/>
      <c r="AA80" s="77">
        <v>0</v>
      </c>
      <c r="AB80" s="182">
        <f t="shared" si="10"/>
        <v>0</v>
      </c>
      <c r="AC80" s="141">
        <f t="shared" si="9"/>
        <v>0</v>
      </c>
      <c r="AD80" s="141">
        <f t="shared" si="9"/>
        <v>0</v>
      </c>
      <c r="AE80" s="102"/>
      <c r="AF80" s="154"/>
    </row>
    <row r="81" spans="2:32" s="134" customFormat="1" x14ac:dyDescent="0.2">
      <c r="B81" s="153"/>
      <c r="C81" s="174"/>
      <c r="D81" s="60">
        <v>69</v>
      </c>
      <c r="E81" s="429" t="str">
        <f>+'bas LO'!E81</f>
        <v>school 69</v>
      </c>
      <c r="F81" s="429" t="str">
        <f>+'bas LO'!F81</f>
        <v>11AA</v>
      </c>
      <c r="G81" s="430">
        <f>+'bas LO'!G81</f>
        <v>179</v>
      </c>
      <c r="H81" s="430">
        <f>+'bas LO'!H81</f>
        <v>179</v>
      </c>
      <c r="I81" s="430">
        <f>+'bas LO'!I81</f>
        <v>179</v>
      </c>
      <c r="J81" s="430">
        <f>+'bas LO'!J81</f>
        <v>179</v>
      </c>
      <c r="K81" s="81"/>
      <c r="L81" s="78">
        <f>ROUND(G81*tab!$C$66,2)</f>
        <v>57070.57</v>
      </c>
      <c r="M81" s="78">
        <f>ROUND(H81*tab!$C$66,2)</f>
        <v>57070.57</v>
      </c>
      <c r="N81" s="78">
        <f>ROUND(I81*tab!$C$66,2)</f>
        <v>57070.57</v>
      </c>
      <c r="O81" s="78">
        <f>ROUND(J81*tab!$C$66,2)</f>
        <v>57070.57</v>
      </c>
      <c r="P81" s="81"/>
      <c r="Q81" s="182">
        <v>0</v>
      </c>
      <c r="R81" s="141">
        <f t="shared" si="8"/>
        <v>0</v>
      </c>
      <c r="S81" s="141">
        <f t="shared" si="8"/>
        <v>0</v>
      </c>
      <c r="T81" s="141">
        <f t="shared" si="8"/>
        <v>0</v>
      </c>
      <c r="U81" s="81"/>
      <c r="V81" s="78">
        <f>+G81*tab!$C$69</f>
        <v>5371.79</v>
      </c>
      <c r="W81" s="78">
        <f>+H81*tab!$D$69</f>
        <v>5484.56</v>
      </c>
      <c r="X81" s="78">
        <f>+I81*tab!$D$69</f>
        <v>5484.56</v>
      </c>
      <c r="Y81" s="78">
        <f>+J81*tab!$D$69</f>
        <v>5484.56</v>
      </c>
      <c r="Z81" s="81"/>
      <c r="AA81" s="77">
        <v>0</v>
      </c>
      <c r="AB81" s="182">
        <f t="shared" si="10"/>
        <v>0</v>
      </c>
      <c r="AC81" s="141">
        <f t="shared" si="9"/>
        <v>0</v>
      </c>
      <c r="AD81" s="141">
        <f t="shared" si="9"/>
        <v>0</v>
      </c>
      <c r="AE81" s="102"/>
      <c r="AF81" s="154"/>
    </row>
    <row r="82" spans="2:32" s="134" customFormat="1" x14ac:dyDescent="0.2">
      <c r="B82" s="153"/>
      <c r="C82" s="174"/>
      <c r="D82" s="60">
        <v>70</v>
      </c>
      <c r="E82" s="429" t="str">
        <f>+'bas LO'!E82</f>
        <v>school 70</v>
      </c>
      <c r="F82" s="429" t="str">
        <f>+'bas LO'!F82</f>
        <v>11AA</v>
      </c>
      <c r="G82" s="430">
        <f>+'bas LO'!G82</f>
        <v>180</v>
      </c>
      <c r="H82" s="430">
        <f>+'bas LO'!H82</f>
        <v>180</v>
      </c>
      <c r="I82" s="430">
        <f>+'bas LO'!I82</f>
        <v>180</v>
      </c>
      <c r="J82" s="430">
        <f>+'bas LO'!J82</f>
        <v>180</v>
      </c>
      <c r="K82" s="81"/>
      <c r="L82" s="78">
        <f>ROUND(G82*tab!$C$66,2)</f>
        <v>57389.4</v>
      </c>
      <c r="M82" s="78">
        <f>ROUND(H82*tab!$C$66,2)</f>
        <v>57389.4</v>
      </c>
      <c r="N82" s="78">
        <f>ROUND(I82*tab!$C$66,2)</f>
        <v>57389.4</v>
      </c>
      <c r="O82" s="78">
        <f>ROUND(J82*tab!$C$66,2)</f>
        <v>57389.4</v>
      </c>
      <c r="P82" s="81"/>
      <c r="Q82" s="182">
        <v>0</v>
      </c>
      <c r="R82" s="141">
        <f t="shared" si="8"/>
        <v>0</v>
      </c>
      <c r="S82" s="141">
        <f t="shared" si="8"/>
        <v>0</v>
      </c>
      <c r="T82" s="141">
        <f t="shared" si="8"/>
        <v>0</v>
      </c>
      <c r="U82" s="81"/>
      <c r="V82" s="78">
        <f>+G82*tab!$C$69</f>
        <v>5401.8</v>
      </c>
      <c r="W82" s="78">
        <f>+H82*tab!$D$69</f>
        <v>5515.2</v>
      </c>
      <c r="X82" s="78">
        <f>+I82*tab!$D$69</f>
        <v>5515.2</v>
      </c>
      <c r="Y82" s="78">
        <f>+J82*tab!$D$69</f>
        <v>5515.2</v>
      </c>
      <c r="Z82" s="81"/>
      <c r="AA82" s="77">
        <v>0</v>
      </c>
      <c r="AB82" s="182">
        <f t="shared" si="10"/>
        <v>0</v>
      </c>
      <c r="AC82" s="141">
        <f t="shared" si="9"/>
        <v>0</v>
      </c>
      <c r="AD82" s="141">
        <f t="shared" si="9"/>
        <v>0</v>
      </c>
      <c r="AE82" s="102"/>
      <c r="AF82" s="154"/>
    </row>
    <row r="83" spans="2:32" s="134" customFormat="1" x14ac:dyDescent="0.2">
      <c r="B83" s="153"/>
      <c r="C83" s="174"/>
      <c r="D83" s="60">
        <v>71</v>
      </c>
      <c r="E83" s="429" t="str">
        <f>+'bas LO'!E83</f>
        <v>school 71</v>
      </c>
      <c r="F83" s="429" t="str">
        <f>+'bas LO'!F83</f>
        <v>11AA</v>
      </c>
      <c r="G83" s="430">
        <f>+'bas LO'!G83</f>
        <v>181</v>
      </c>
      <c r="H83" s="430">
        <f>+'bas LO'!H83</f>
        <v>181</v>
      </c>
      <c r="I83" s="430">
        <f>+'bas LO'!I83</f>
        <v>181</v>
      </c>
      <c r="J83" s="430">
        <f>+'bas LO'!J83</f>
        <v>181</v>
      </c>
      <c r="K83" s="81"/>
      <c r="L83" s="78">
        <f>ROUND(G83*tab!$C$66,2)</f>
        <v>57708.23</v>
      </c>
      <c r="M83" s="78">
        <f>ROUND(H83*tab!$C$66,2)</f>
        <v>57708.23</v>
      </c>
      <c r="N83" s="78">
        <f>ROUND(I83*tab!$C$66,2)</f>
        <v>57708.23</v>
      </c>
      <c r="O83" s="78">
        <f>ROUND(J83*tab!$C$66,2)</f>
        <v>57708.23</v>
      </c>
      <c r="P83" s="81"/>
      <c r="Q83" s="182">
        <v>0</v>
      </c>
      <c r="R83" s="141">
        <f t="shared" si="8"/>
        <v>0</v>
      </c>
      <c r="S83" s="141">
        <f t="shared" si="8"/>
        <v>0</v>
      </c>
      <c r="T83" s="141">
        <f t="shared" si="8"/>
        <v>0</v>
      </c>
      <c r="U83" s="81"/>
      <c r="V83" s="78">
        <f>+G83*tab!$C$69</f>
        <v>5431.81</v>
      </c>
      <c r="W83" s="78">
        <f>+H83*tab!$D$69</f>
        <v>5545.84</v>
      </c>
      <c r="X83" s="78">
        <f>+I83*tab!$D$69</f>
        <v>5545.84</v>
      </c>
      <c r="Y83" s="78">
        <f>+J83*tab!$D$69</f>
        <v>5545.84</v>
      </c>
      <c r="Z83" s="81"/>
      <c r="AA83" s="77">
        <v>0</v>
      </c>
      <c r="AB83" s="182">
        <f t="shared" si="10"/>
        <v>0</v>
      </c>
      <c r="AC83" s="141">
        <f t="shared" si="9"/>
        <v>0</v>
      </c>
      <c r="AD83" s="141">
        <f t="shared" si="9"/>
        <v>0</v>
      </c>
      <c r="AE83" s="102"/>
      <c r="AF83" s="154"/>
    </row>
    <row r="84" spans="2:32" s="134" customFormat="1" x14ac:dyDescent="0.2">
      <c r="B84" s="153"/>
      <c r="C84" s="174"/>
      <c r="D84" s="60">
        <v>72</v>
      </c>
      <c r="E84" s="429" t="str">
        <f>+'bas LO'!E84</f>
        <v>school 72</v>
      </c>
      <c r="F84" s="429" t="str">
        <f>+'bas LO'!F84</f>
        <v>11AA</v>
      </c>
      <c r="G84" s="430">
        <f>+'bas LO'!G84</f>
        <v>182</v>
      </c>
      <c r="H84" s="430">
        <f>+'bas LO'!H84</f>
        <v>182</v>
      </c>
      <c r="I84" s="430">
        <f>+'bas LO'!I84</f>
        <v>182</v>
      </c>
      <c r="J84" s="430">
        <f>+'bas LO'!J84</f>
        <v>182</v>
      </c>
      <c r="K84" s="81"/>
      <c r="L84" s="78">
        <f>ROUND(G84*tab!$C$66,2)</f>
        <v>58027.06</v>
      </c>
      <c r="M84" s="78">
        <f>ROUND(H84*tab!$C$66,2)</f>
        <v>58027.06</v>
      </c>
      <c r="N84" s="78">
        <f>ROUND(I84*tab!$C$66,2)</f>
        <v>58027.06</v>
      </c>
      <c r="O84" s="78">
        <f>ROUND(J84*tab!$C$66,2)</f>
        <v>58027.06</v>
      </c>
      <c r="P84" s="81"/>
      <c r="Q84" s="182">
        <v>0</v>
      </c>
      <c r="R84" s="141">
        <f t="shared" si="8"/>
        <v>0</v>
      </c>
      <c r="S84" s="141">
        <f t="shared" si="8"/>
        <v>0</v>
      </c>
      <c r="T84" s="141">
        <f t="shared" si="8"/>
        <v>0</v>
      </c>
      <c r="U84" s="81"/>
      <c r="V84" s="78">
        <f>+G84*tab!$C$69</f>
        <v>5461.8200000000006</v>
      </c>
      <c r="W84" s="78">
        <f>+H84*tab!$D$69</f>
        <v>5576.4800000000005</v>
      </c>
      <c r="X84" s="78">
        <f>+I84*tab!$D$69</f>
        <v>5576.4800000000005</v>
      </c>
      <c r="Y84" s="78">
        <f>+J84*tab!$D$69</f>
        <v>5576.4800000000005</v>
      </c>
      <c r="Z84" s="81"/>
      <c r="AA84" s="77">
        <v>0</v>
      </c>
      <c r="AB84" s="182">
        <f t="shared" si="10"/>
        <v>0</v>
      </c>
      <c r="AC84" s="141">
        <f t="shared" si="9"/>
        <v>0</v>
      </c>
      <c r="AD84" s="141">
        <f t="shared" si="9"/>
        <v>0</v>
      </c>
      <c r="AE84" s="102"/>
      <c r="AF84" s="154"/>
    </row>
    <row r="85" spans="2:32" s="134" customFormat="1" x14ac:dyDescent="0.2">
      <c r="B85" s="153"/>
      <c r="C85" s="174"/>
      <c r="D85" s="60">
        <v>73</v>
      </c>
      <c r="E85" s="429" t="str">
        <f>+'bas LO'!E85</f>
        <v>school 73</v>
      </c>
      <c r="F85" s="429" t="str">
        <f>+'bas LO'!F85</f>
        <v>11AA</v>
      </c>
      <c r="G85" s="430">
        <f>+'bas LO'!G85</f>
        <v>183</v>
      </c>
      <c r="H85" s="430">
        <f>+'bas LO'!H85</f>
        <v>183</v>
      </c>
      <c r="I85" s="430">
        <f>+'bas LO'!I85</f>
        <v>183</v>
      </c>
      <c r="J85" s="430">
        <f>+'bas LO'!J85</f>
        <v>183</v>
      </c>
      <c r="K85" s="81"/>
      <c r="L85" s="78">
        <f>ROUND(G85*tab!$C$66,2)</f>
        <v>58345.89</v>
      </c>
      <c r="M85" s="78">
        <f>ROUND(H85*tab!$C$66,2)</f>
        <v>58345.89</v>
      </c>
      <c r="N85" s="78">
        <f>ROUND(I85*tab!$C$66,2)</f>
        <v>58345.89</v>
      </c>
      <c r="O85" s="78">
        <f>ROUND(J85*tab!$C$66,2)</f>
        <v>58345.89</v>
      </c>
      <c r="P85" s="81"/>
      <c r="Q85" s="182">
        <v>0</v>
      </c>
      <c r="R85" s="141">
        <f t="shared" si="8"/>
        <v>0</v>
      </c>
      <c r="S85" s="141">
        <f t="shared" si="8"/>
        <v>0</v>
      </c>
      <c r="T85" s="141">
        <f t="shared" si="8"/>
        <v>0</v>
      </c>
      <c r="U85" s="81"/>
      <c r="V85" s="78">
        <f>+G85*tab!$C$69</f>
        <v>5491.83</v>
      </c>
      <c r="W85" s="78">
        <f>+H85*tab!$D$69</f>
        <v>5607.12</v>
      </c>
      <c r="X85" s="78">
        <f>+I85*tab!$D$69</f>
        <v>5607.12</v>
      </c>
      <c r="Y85" s="78">
        <f>+J85*tab!$D$69</f>
        <v>5607.12</v>
      </c>
      <c r="Z85" s="81"/>
      <c r="AA85" s="77">
        <v>0</v>
      </c>
      <c r="AB85" s="182">
        <f t="shared" si="10"/>
        <v>0</v>
      </c>
      <c r="AC85" s="141">
        <f t="shared" si="9"/>
        <v>0</v>
      </c>
      <c r="AD85" s="141">
        <f t="shared" si="9"/>
        <v>0</v>
      </c>
      <c r="AE85" s="102"/>
      <c r="AF85" s="154"/>
    </row>
    <row r="86" spans="2:32" s="134" customFormat="1" x14ac:dyDescent="0.2">
      <c r="B86" s="153"/>
      <c r="C86" s="174"/>
      <c r="D86" s="60">
        <v>74</v>
      </c>
      <c r="E86" s="429" t="str">
        <f>+'bas LO'!E86</f>
        <v>school 74</v>
      </c>
      <c r="F86" s="429" t="str">
        <f>+'bas LO'!F86</f>
        <v>11AA</v>
      </c>
      <c r="G86" s="430">
        <f>+'bas LO'!G86</f>
        <v>184</v>
      </c>
      <c r="H86" s="430">
        <f>+'bas LO'!H86</f>
        <v>184</v>
      </c>
      <c r="I86" s="430">
        <f>+'bas LO'!I86</f>
        <v>184</v>
      </c>
      <c r="J86" s="430">
        <f>+'bas LO'!J86</f>
        <v>184</v>
      </c>
      <c r="K86" s="81"/>
      <c r="L86" s="78">
        <f>ROUND(G86*tab!$C$66,2)</f>
        <v>58664.72</v>
      </c>
      <c r="M86" s="78">
        <f>ROUND(H86*tab!$C$66,2)</f>
        <v>58664.72</v>
      </c>
      <c r="N86" s="78">
        <f>ROUND(I86*tab!$C$66,2)</f>
        <v>58664.72</v>
      </c>
      <c r="O86" s="78">
        <f>ROUND(J86*tab!$C$66,2)</f>
        <v>58664.72</v>
      </c>
      <c r="P86" s="81"/>
      <c r="Q86" s="182">
        <v>0</v>
      </c>
      <c r="R86" s="141">
        <f t="shared" si="8"/>
        <v>0</v>
      </c>
      <c r="S86" s="141">
        <f t="shared" si="8"/>
        <v>0</v>
      </c>
      <c r="T86" s="141">
        <f t="shared" si="8"/>
        <v>0</v>
      </c>
      <c r="U86" s="81"/>
      <c r="V86" s="78">
        <f>+G86*tab!$C$69</f>
        <v>5521.84</v>
      </c>
      <c r="W86" s="78">
        <f>+H86*tab!$D$69</f>
        <v>5637.76</v>
      </c>
      <c r="X86" s="78">
        <f>+I86*tab!$D$69</f>
        <v>5637.76</v>
      </c>
      <c r="Y86" s="78">
        <f>+J86*tab!$D$69</f>
        <v>5637.76</v>
      </c>
      <c r="Z86" s="81"/>
      <c r="AA86" s="77">
        <v>0</v>
      </c>
      <c r="AB86" s="182">
        <f t="shared" si="10"/>
        <v>0</v>
      </c>
      <c r="AC86" s="141">
        <f t="shared" si="9"/>
        <v>0</v>
      </c>
      <c r="AD86" s="141">
        <f t="shared" si="9"/>
        <v>0</v>
      </c>
      <c r="AE86" s="102"/>
      <c r="AF86" s="154"/>
    </row>
    <row r="87" spans="2:32" s="134" customFormat="1" x14ac:dyDescent="0.2">
      <c r="B87" s="153"/>
      <c r="C87" s="174"/>
      <c r="D87" s="60">
        <v>75</v>
      </c>
      <c r="E87" s="429" t="str">
        <f>+'bas LO'!E87</f>
        <v>school 75</v>
      </c>
      <c r="F87" s="429" t="str">
        <f>+'bas LO'!F87</f>
        <v>11AA</v>
      </c>
      <c r="G87" s="430">
        <f>+'bas LO'!G87</f>
        <v>185</v>
      </c>
      <c r="H87" s="430">
        <f>+'bas LO'!H87</f>
        <v>185</v>
      </c>
      <c r="I87" s="430">
        <f>+'bas LO'!I87</f>
        <v>185</v>
      </c>
      <c r="J87" s="430">
        <f>+'bas LO'!J87</f>
        <v>185</v>
      </c>
      <c r="K87" s="81"/>
      <c r="L87" s="78">
        <f>ROUND(G87*tab!$C$66,2)</f>
        <v>58983.55</v>
      </c>
      <c r="M87" s="78">
        <f>ROUND(H87*tab!$C$66,2)</f>
        <v>58983.55</v>
      </c>
      <c r="N87" s="78">
        <f>ROUND(I87*tab!$C$66,2)</f>
        <v>58983.55</v>
      </c>
      <c r="O87" s="78">
        <f>ROUND(J87*tab!$C$66,2)</f>
        <v>58983.55</v>
      </c>
      <c r="P87" s="81"/>
      <c r="Q87" s="182">
        <v>0</v>
      </c>
      <c r="R87" s="141">
        <f t="shared" si="8"/>
        <v>0</v>
      </c>
      <c r="S87" s="141">
        <f t="shared" si="8"/>
        <v>0</v>
      </c>
      <c r="T87" s="141">
        <f t="shared" si="8"/>
        <v>0</v>
      </c>
      <c r="U87" s="81"/>
      <c r="V87" s="78">
        <f>+G87*tab!$C$69</f>
        <v>5551.85</v>
      </c>
      <c r="W87" s="78">
        <f>+H87*tab!$D$69</f>
        <v>5668.4000000000005</v>
      </c>
      <c r="X87" s="78">
        <f>+I87*tab!$D$69</f>
        <v>5668.4000000000005</v>
      </c>
      <c r="Y87" s="78">
        <f>+J87*tab!$D$69</f>
        <v>5668.4000000000005</v>
      </c>
      <c r="Z87" s="81"/>
      <c r="AA87" s="77">
        <v>0</v>
      </c>
      <c r="AB87" s="182">
        <f t="shared" si="10"/>
        <v>0</v>
      </c>
      <c r="AC87" s="141">
        <f t="shared" si="9"/>
        <v>0</v>
      </c>
      <c r="AD87" s="141">
        <f t="shared" si="9"/>
        <v>0</v>
      </c>
      <c r="AE87" s="102"/>
      <c r="AF87" s="154"/>
    </row>
    <row r="88" spans="2:32" s="134" customFormat="1" x14ac:dyDescent="0.2">
      <c r="B88" s="153"/>
      <c r="C88" s="174"/>
      <c r="D88" s="60">
        <v>76</v>
      </c>
      <c r="E88" s="429" t="str">
        <f>+'bas LO'!E88</f>
        <v>school 76</v>
      </c>
      <c r="F88" s="429" t="str">
        <f>+'bas LO'!F88</f>
        <v>11AA</v>
      </c>
      <c r="G88" s="430">
        <f>+'bas LO'!G88</f>
        <v>186</v>
      </c>
      <c r="H88" s="430">
        <f>+'bas LO'!H88</f>
        <v>186</v>
      </c>
      <c r="I88" s="430">
        <f>+'bas LO'!I88</f>
        <v>186</v>
      </c>
      <c r="J88" s="430">
        <f>+'bas LO'!J88</f>
        <v>186</v>
      </c>
      <c r="K88" s="81"/>
      <c r="L88" s="78">
        <f>ROUND(G88*tab!$C$66,2)</f>
        <v>59302.38</v>
      </c>
      <c r="M88" s="78">
        <f>ROUND(H88*tab!$C$66,2)</f>
        <v>59302.38</v>
      </c>
      <c r="N88" s="78">
        <f>ROUND(I88*tab!$C$66,2)</f>
        <v>59302.38</v>
      </c>
      <c r="O88" s="78">
        <f>ROUND(J88*tab!$C$66,2)</f>
        <v>59302.38</v>
      </c>
      <c r="P88" s="81"/>
      <c r="Q88" s="182">
        <v>0</v>
      </c>
      <c r="R88" s="141">
        <f t="shared" si="8"/>
        <v>0</v>
      </c>
      <c r="S88" s="141">
        <f t="shared" si="8"/>
        <v>0</v>
      </c>
      <c r="T88" s="141">
        <f t="shared" si="8"/>
        <v>0</v>
      </c>
      <c r="U88" s="81"/>
      <c r="V88" s="78">
        <f>+G88*tab!$C$69</f>
        <v>5581.8600000000006</v>
      </c>
      <c r="W88" s="78">
        <f>+H88*tab!$D$69</f>
        <v>5699.04</v>
      </c>
      <c r="X88" s="78">
        <f>+I88*tab!$D$69</f>
        <v>5699.04</v>
      </c>
      <c r="Y88" s="78">
        <f>+J88*tab!$D$69</f>
        <v>5699.04</v>
      </c>
      <c r="Z88" s="81"/>
      <c r="AA88" s="77">
        <v>0</v>
      </c>
      <c r="AB88" s="182">
        <f t="shared" si="10"/>
        <v>0</v>
      </c>
      <c r="AC88" s="141">
        <f t="shared" si="9"/>
        <v>0</v>
      </c>
      <c r="AD88" s="141">
        <f t="shared" si="9"/>
        <v>0</v>
      </c>
      <c r="AE88" s="102"/>
      <c r="AF88" s="154"/>
    </row>
    <row r="89" spans="2:32" s="134" customFormat="1" x14ac:dyDescent="0.2">
      <c r="B89" s="153"/>
      <c r="C89" s="174"/>
      <c r="D89" s="60">
        <v>77</v>
      </c>
      <c r="E89" s="429" t="str">
        <f>+'bas LO'!E89</f>
        <v>school 77</v>
      </c>
      <c r="F89" s="429" t="str">
        <f>+'bas LO'!F89</f>
        <v>11AA</v>
      </c>
      <c r="G89" s="430">
        <f>+'bas LO'!G89</f>
        <v>187</v>
      </c>
      <c r="H89" s="430">
        <f>+'bas LO'!H89</f>
        <v>187</v>
      </c>
      <c r="I89" s="430">
        <f>+'bas LO'!I89</f>
        <v>187</v>
      </c>
      <c r="J89" s="430">
        <f>+'bas LO'!J89</f>
        <v>187</v>
      </c>
      <c r="K89" s="81"/>
      <c r="L89" s="78">
        <f>ROUND(G89*tab!$C$66,2)</f>
        <v>59621.21</v>
      </c>
      <c r="M89" s="78">
        <f>ROUND(H89*tab!$C$66,2)</f>
        <v>59621.21</v>
      </c>
      <c r="N89" s="78">
        <f>ROUND(I89*tab!$C$66,2)</f>
        <v>59621.21</v>
      </c>
      <c r="O89" s="78">
        <f>ROUND(J89*tab!$C$66,2)</f>
        <v>59621.21</v>
      </c>
      <c r="P89" s="81"/>
      <c r="Q89" s="182">
        <v>0</v>
      </c>
      <c r="R89" s="141">
        <f t="shared" si="8"/>
        <v>0</v>
      </c>
      <c r="S89" s="141">
        <f t="shared" si="8"/>
        <v>0</v>
      </c>
      <c r="T89" s="141">
        <f t="shared" si="8"/>
        <v>0</v>
      </c>
      <c r="U89" s="81"/>
      <c r="V89" s="78">
        <f>+G89*tab!$C$69</f>
        <v>5611.87</v>
      </c>
      <c r="W89" s="78">
        <f>+H89*tab!$D$69</f>
        <v>5729.68</v>
      </c>
      <c r="X89" s="78">
        <f>+I89*tab!$D$69</f>
        <v>5729.68</v>
      </c>
      <c r="Y89" s="78">
        <f>+J89*tab!$D$69</f>
        <v>5729.68</v>
      </c>
      <c r="Z89" s="81"/>
      <c r="AA89" s="77">
        <v>0</v>
      </c>
      <c r="AB89" s="182">
        <f t="shared" si="10"/>
        <v>0</v>
      </c>
      <c r="AC89" s="141">
        <f t="shared" si="9"/>
        <v>0</v>
      </c>
      <c r="AD89" s="141">
        <f t="shared" si="9"/>
        <v>0</v>
      </c>
      <c r="AE89" s="102"/>
      <c r="AF89" s="154"/>
    </row>
    <row r="90" spans="2:32" s="134" customFormat="1" x14ac:dyDescent="0.2">
      <c r="B90" s="153"/>
      <c r="C90" s="174"/>
      <c r="D90" s="60">
        <v>78</v>
      </c>
      <c r="E90" s="429" t="str">
        <f>+'bas LO'!E90</f>
        <v>school 78</v>
      </c>
      <c r="F90" s="429" t="str">
        <f>+'bas LO'!F90</f>
        <v>11AA</v>
      </c>
      <c r="G90" s="430">
        <f>+'bas LO'!G90</f>
        <v>188</v>
      </c>
      <c r="H90" s="430">
        <f>+'bas LO'!H90</f>
        <v>188</v>
      </c>
      <c r="I90" s="430">
        <f>+'bas LO'!I90</f>
        <v>188</v>
      </c>
      <c r="J90" s="430">
        <f>+'bas LO'!J90</f>
        <v>188</v>
      </c>
      <c r="K90" s="81"/>
      <c r="L90" s="78">
        <f>ROUND(G90*tab!$C$66,2)</f>
        <v>59940.04</v>
      </c>
      <c r="M90" s="78">
        <f>ROUND(H90*tab!$C$66,2)</f>
        <v>59940.04</v>
      </c>
      <c r="N90" s="78">
        <f>ROUND(I90*tab!$C$66,2)</f>
        <v>59940.04</v>
      </c>
      <c r="O90" s="78">
        <f>ROUND(J90*tab!$C$66,2)</f>
        <v>59940.04</v>
      </c>
      <c r="P90" s="81"/>
      <c r="Q90" s="182">
        <v>0</v>
      </c>
      <c r="R90" s="141">
        <f t="shared" si="8"/>
        <v>0</v>
      </c>
      <c r="S90" s="141">
        <f t="shared" si="8"/>
        <v>0</v>
      </c>
      <c r="T90" s="141">
        <f t="shared" si="8"/>
        <v>0</v>
      </c>
      <c r="U90" s="81"/>
      <c r="V90" s="78">
        <f>+G90*tab!$C$69</f>
        <v>5641.88</v>
      </c>
      <c r="W90" s="78">
        <f>+H90*tab!$D$69</f>
        <v>5760.32</v>
      </c>
      <c r="X90" s="78">
        <f>+I90*tab!$D$69</f>
        <v>5760.32</v>
      </c>
      <c r="Y90" s="78">
        <f>+J90*tab!$D$69</f>
        <v>5760.32</v>
      </c>
      <c r="Z90" s="81"/>
      <c r="AA90" s="77">
        <v>0</v>
      </c>
      <c r="AB90" s="182">
        <f t="shared" si="10"/>
        <v>0</v>
      </c>
      <c r="AC90" s="141">
        <f t="shared" si="9"/>
        <v>0</v>
      </c>
      <c r="AD90" s="141">
        <f t="shared" si="9"/>
        <v>0</v>
      </c>
      <c r="AE90" s="102"/>
      <c r="AF90" s="154"/>
    </row>
    <row r="91" spans="2:32" s="134" customFormat="1" x14ac:dyDescent="0.2">
      <c r="B91" s="153"/>
      <c r="C91" s="174"/>
      <c r="D91" s="60">
        <v>79</v>
      </c>
      <c r="E91" s="429" t="str">
        <f>+'bas LO'!E91</f>
        <v>school 79</v>
      </c>
      <c r="F91" s="429" t="str">
        <f>+'bas LO'!F91</f>
        <v>11AA</v>
      </c>
      <c r="G91" s="430">
        <f>+'bas LO'!G91</f>
        <v>189</v>
      </c>
      <c r="H91" s="430">
        <f>+'bas LO'!H91</f>
        <v>189</v>
      </c>
      <c r="I91" s="430">
        <f>+'bas LO'!I91</f>
        <v>189</v>
      </c>
      <c r="J91" s="430">
        <f>+'bas LO'!J91</f>
        <v>189</v>
      </c>
      <c r="K91" s="81"/>
      <c r="L91" s="78">
        <f>ROUND(G91*tab!$C$66,2)</f>
        <v>60258.87</v>
      </c>
      <c r="M91" s="78">
        <f>ROUND(H91*tab!$C$66,2)</f>
        <v>60258.87</v>
      </c>
      <c r="N91" s="78">
        <f>ROUND(I91*tab!$C$66,2)</f>
        <v>60258.87</v>
      </c>
      <c r="O91" s="78">
        <f>ROUND(J91*tab!$C$66,2)</f>
        <v>60258.87</v>
      </c>
      <c r="P91" s="81"/>
      <c r="Q91" s="182">
        <v>0</v>
      </c>
      <c r="R91" s="141">
        <f t="shared" si="8"/>
        <v>0</v>
      </c>
      <c r="S91" s="141">
        <f t="shared" si="8"/>
        <v>0</v>
      </c>
      <c r="T91" s="141">
        <f t="shared" si="8"/>
        <v>0</v>
      </c>
      <c r="U91" s="81"/>
      <c r="V91" s="78">
        <f>+G91*tab!$C$69</f>
        <v>5671.89</v>
      </c>
      <c r="W91" s="78">
        <f>+H91*tab!$D$69</f>
        <v>5790.96</v>
      </c>
      <c r="X91" s="78">
        <f>+I91*tab!$D$69</f>
        <v>5790.96</v>
      </c>
      <c r="Y91" s="78">
        <f>+J91*tab!$D$69</f>
        <v>5790.96</v>
      </c>
      <c r="Z91" s="81"/>
      <c r="AA91" s="77">
        <v>0</v>
      </c>
      <c r="AB91" s="182">
        <f t="shared" si="10"/>
        <v>0</v>
      </c>
      <c r="AC91" s="141">
        <f t="shared" si="9"/>
        <v>0</v>
      </c>
      <c r="AD91" s="141">
        <f t="shared" si="9"/>
        <v>0</v>
      </c>
      <c r="AE91" s="102"/>
      <c r="AF91" s="154"/>
    </row>
    <row r="92" spans="2:32" s="134" customFormat="1" x14ac:dyDescent="0.2">
      <c r="B92" s="153"/>
      <c r="C92" s="174"/>
      <c r="D92" s="60">
        <v>80</v>
      </c>
      <c r="E92" s="429" t="str">
        <f>+'bas LO'!E92</f>
        <v>school 80</v>
      </c>
      <c r="F92" s="429" t="str">
        <f>+'bas LO'!F92</f>
        <v>11AA</v>
      </c>
      <c r="G92" s="430">
        <f>+'bas LO'!G92</f>
        <v>190</v>
      </c>
      <c r="H92" s="430">
        <f>+'bas LO'!H92</f>
        <v>190</v>
      </c>
      <c r="I92" s="430">
        <f>+'bas LO'!I92</f>
        <v>190</v>
      </c>
      <c r="J92" s="430">
        <f>+'bas LO'!J92</f>
        <v>190</v>
      </c>
      <c r="K92" s="81"/>
      <c r="L92" s="78">
        <f>ROUND(G92*tab!$C$66,2)</f>
        <v>60577.7</v>
      </c>
      <c r="M92" s="78">
        <f>ROUND(H92*tab!$C$66,2)</f>
        <v>60577.7</v>
      </c>
      <c r="N92" s="78">
        <f>ROUND(I92*tab!$C$66,2)</f>
        <v>60577.7</v>
      </c>
      <c r="O92" s="78">
        <f>ROUND(J92*tab!$C$66,2)</f>
        <v>60577.7</v>
      </c>
      <c r="P92" s="81"/>
      <c r="Q92" s="182">
        <v>0</v>
      </c>
      <c r="R92" s="141">
        <f t="shared" si="8"/>
        <v>0</v>
      </c>
      <c r="S92" s="141">
        <f t="shared" si="8"/>
        <v>0</v>
      </c>
      <c r="T92" s="141">
        <f t="shared" si="8"/>
        <v>0</v>
      </c>
      <c r="U92" s="81"/>
      <c r="V92" s="78">
        <f>+G92*tab!$C$69</f>
        <v>5701.9000000000005</v>
      </c>
      <c r="W92" s="78">
        <f>+H92*tab!$D$69</f>
        <v>5821.6</v>
      </c>
      <c r="X92" s="78">
        <f>+I92*tab!$D$69</f>
        <v>5821.6</v>
      </c>
      <c r="Y92" s="78">
        <f>+J92*tab!$D$69</f>
        <v>5821.6</v>
      </c>
      <c r="Z92" s="81"/>
      <c r="AA92" s="77">
        <v>0</v>
      </c>
      <c r="AB92" s="182">
        <f t="shared" si="10"/>
        <v>0</v>
      </c>
      <c r="AC92" s="141">
        <f t="shared" si="9"/>
        <v>0</v>
      </c>
      <c r="AD92" s="141">
        <f t="shared" si="9"/>
        <v>0</v>
      </c>
      <c r="AE92" s="102"/>
      <c r="AF92" s="154"/>
    </row>
    <row r="93" spans="2:32" s="134" customFormat="1" x14ac:dyDescent="0.2">
      <c r="B93" s="153"/>
      <c r="C93" s="174"/>
      <c r="D93" s="60">
        <v>81</v>
      </c>
      <c r="E93" s="429" t="str">
        <f>+'bas LO'!E93</f>
        <v>school 81</v>
      </c>
      <c r="F93" s="429" t="str">
        <f>+'bas LO'!F93</f>
        <v>11AA</v>
      </c>
      <c r="G93" s="430">
        <f>+'bas LO'!G93</f>
        <v>191</v>
      </c>
      <c r="H93" s="430">
        <f>+'bas LO'!H93</f>
        <v>191</v>
      </c>
      <c r="I93" s="430">
        <f>+'bas LO'!I93</f>
        <v>191</v>
      </c>
      <c r="J93" s="430">
        <f>+'bas LO'!J93</f>
        <v>191</v>
      </c>
      <c r="K93" s="81"/>
      <c r="L93" s="78">
        <f>ROUND(G93*tab!$C$66,2)</f>
        <v>60896.53</v>
      </c>
      <c r="M93" s="78">
        <f>ROUND(H93*tab!$C$66,2)</f>
        <v>60896.53</v>
      </c>
      <c r="N93" s="78">
        <f>ROUND(I93*tab!$C$66,2)</f>
        <v>60896.53</v>
      </c>
      <c r="O93" s="78">
        <f>ROUND(J93*tab!$C$66,2)</f>
        <v>60896.53</v>
      </c>
      <c r="P93" s="81"/>
      <c r="Q93" s="182">
        <v>0</v>
      </c>
      <c r="R93" s="141">
        <f t="shared" ref="R93:T112" si="11">Q93</f>
        <v>0</v>
      </c>
      <c r="S93" s="141">
        <f t="shared" si="11"/>
        <v>0</v>
      </c>
      <c r="T93" s="141">
        <f t="shared" si="11"/>
        <v>0</v>
      </c>
      <c r="U93" s="81"/>
      <c r="V93" s="78">
        <f>+G93*tab!$C$69</f>
        <v>5731.91</v>
      </c>
      <c r="W93" s="78">
        <f>+H93*tab!$D$69</f>
        <v>5852.24</v>
      </c>
      <c r="X93" s="78">
        <f>+I93*tab!$D$69</f>
        <v>5852.24</v>
      </c>
      <c r="Y93" s="78">
        <f>+J93*tab!$D$69</f>
        <v>5852.24</v>
      </c>
      <c r="Z93" s="81"/>
      <c r="AA93" s="77">
        <v>0</v>
      </c>
      <c r="AB93" s="182">
        <f t="shared" si="10"/>
        <v>0</v>
      </c>
      <c r="AC93" s="141">
        <f t="shared" ref="AC93:AD112" si="12">AB93</f>
        <v>0</v>
      </c>
      <c r="AD93" s="141">
        <f t="shared" si="12"/>
        <v>0</v>
      </c>
      <c r="AE93" s="102"/>
      <c r="AF93" s="154"/>
    </row>
    <row r="94" spans="2:32" s="134" customFormat="1" x14ac:dyDescent="0.2">
      <c r="B94" s="153"/>
      <c r="C94" s="174"/>
      <c r="D94" s="60">
        <v>82</v>
      </c>
      <c r="E94" s="429" t="str">
        <f>+'bas LO'!E94</f>
        <v>school 82</v>
      </c>
      <c r="F94" s="429" t="str">
        <f>+'bas LO'!F94</f>
        <v>11AA</v>
      </c>
      <c r="G94" s="430">
        <f>+'bas LO'!G94</f>
        <v>192</v>
      </c>
      <c r="H94" s="430">
        <f>+'bas LO'!H94</f>
        <v>192</v>
      </c>
      <c r="I94" s="430">
        <f>+'bas LO'!I94</f>
        <v>192</v>
      </c>
      <c r="J94" s="430">
        <f>+'bas LO'!J94</f>
        <v>192</v>
      </c>
      <c r="K94" s="81"/>
      <c r="L94" s="78">
        <f>ROUND(G94*tab!$C$66,2)</f>
        <v>61215.360000000001</v>
      </c>
      <c r="M94" s="78">
        <f>ROUND(H94*tab!$C$66,2)</f>
        <v>61215.360000000001</v>
      </c>
      <c r="N94" s="78">
        <f>ROUND(I94*tab!$C$66,2)</f>
        <v>61215.360000000001</v>
      </c>
      <c r="O94" s="78">
        <f>ROUND(J94*tab!$C$66,2)</f>
        <v>61215.360000000001</v>
      </c>
      <c r="P94" s="81"/>
      <c r="Q94" s="182">
        <v>0</v>
      </c>
      <c r="R94" s="141">
        <f t="shared" si="11"/>
        <v>0</v>
      </c>
      <c r="S94" s="141">
        <f t="shared" si="11"/>
        <v>0</v>
      </c>
      <c r="T94" s="141">
        <f t="shared" si="11"/>
        <v>0</v>
      </c>
      <c r="U94" s="81"/>
      <c r="V94" s="78">
        <f>+G94*tab!$C$69</f>
        <v>5761.92</v>
      </c>
      <c r="W94" s="78">
        <f>+H94*tab!$D$69</f>
        <v>5882.88</v>
      </c>
      <c r="X94" s="78">
        <f>+I94*tab!$D$69</f>
        <v>5882.88</v>
      </c>
      <c r="Y94" s="78">
        <f>+J94*tab!$D$69</f>
        <v>5882.88</v>
      </c>
      <c r="Z94" s="81"/>
      <c r="AA94" s="77">
        <v>0</v>
      </c>
      <c r="AB94" s="182">
        <f t="shared" si="10"/>
        <v>0</v>
      </c>
      <c r="AC94" s="141">
        <f t="shared" si="12"/>
        <v>0</v>
      </c>
      <c r="AD94" s="141">
        <f t="shared" si="12"/>
        <v>0</v>
      </c>
      <c r="AE94" s="102"/>
      <c r="AF94" s="154"/>
    </row>
    <row r="95" spans="2:32" s="134" customFormat="1" x14ac:dyDescent="0.2">
      <c r="B95" s="153"/>
      <c r="C95" s="174"/>
      <c r="D95" s="60">
        <v>83</v>
      </c>
      <c r="E95" s="429" t="str">
        <f>+'bas LO'!E95</f>
        <v>school 83</v>
      </c>
      <c r="F95" s="429" t="str">
        <f>+'bas LO'!F95</f>
        <v>11AA</v>
      </c>
      <c r="G95" s="430">
        <f>+'bas LO'!G95</f>
        <v>193</v>
      </c>
      <c r="H95" s="430">
        <f>+'bas LO'!H95</f>
        <v>193</v>
      </c>
      <c r="I95" s="430">
        <f>+'bas LO'!I95</f>
        <v>193</v>
      </c>
      <c r="J95" s="430">
        <f>+'bas LO'!J95</f>
        <v>193</v>
      </c>
      <c r="K95" s="81"/>
      <c r="L95" s="78">
        <f>ROUND(G95*tab!$C$66,2)</f>
        <v>61534.19</v>
      </c>
      <c r="M95" s="78">
        <f>ROUND(H95*tab!$C$66,2)</f>
        <v>61534.19</v>
      </c>
      <c r="N95" s="78">
        <f>ROUND(I95*tab!$C$66,2)</f>
        <v>61534.19</v>
      </c>
      <c r="O95" s="78">
        <f>ROUND(J95*tab!$C$66,2)</f>
        <v>61534.19</v>
      </c>
      <c r="P95" s="81"/>
      <c r="Q95" s="182">
        <v>0</v>
      </c>
      <c r="R95" s="141">
        <f t="shared" si="11"/>
        <v>0</v>
      </c>
      <c r="S95" s="141">
        <f t="shared" si="11"/>
        <v>0</v>
      </c>
      <c r="T95" s="141">
        <f t="shared" si="11"/>
        <v>0</v>
      </c>
      <c r="U95" s="81"/>
      <c r="V95" s="78">
        <f>+G95*tab!$C$69</f>
        <v>5791.93</v>
      </c>
      <c r="W95" s="78">
        <f>+H95*tab!$D$69</f>
        <v>5913.52</v>
      </c>
      <c r="X95" s="78">
        <f>+I95*tab!$D$69</f>
        <v>5913.52</v>
      </c>
      <c r="Y95" s="78">
        <f>+J95*tab!$D$69</f>
        <v>5913.52</v>
      </c>
      <c r="Z95" s="81"/>
      <c r="AA95" s="77">
        <v>0</v>
      </c>
      <c r="AB95" s="182">
        <f t="shared" si="10"/>
        <v>0</v>
      </c>
      <c r="AC95" s="141">
        <f t="shared" si="12"/>
        <v>0</v>
      </c>
      <c r="AD95" s="141">
        <f t="shared" si="12"/>
        <v>0</v>
      </c>
      <c r="AE95" s="102"/>
      <c r="AF95" s="154"/>
    </row>
    <row r="96" spans="2:32" s="134" customFormat="1" x14ac:dyDescent="0.2">
      <c r="B96" s="153"/>
      <c r="C96" s="174"/>
      <c r="D96" s="60">
        <v>84</v>
      </c>
      <c r="E96" s="429" t="str">
        <f>+'bas LO'!E96</f>
        <v>school 84</v>
      </c>
      <c r="F96" s="429" t="str">
        <f>+'bas LO'!F96</f>
        <v>11AA</v>
      </c>
      <c r="G96" s="430">
        <f>+'bas LO'!G96</f>
        <v>194</v>
      </c>
      <c r="H96" s="430">
        <f>+'bas LO'!H96</f>
        <v>194</v>
      </c>
      <c r="I96" s="430">
        <f>+'bas LO'!I96</f>
        <v>194</v>
      </c>
      <c r="J96" s="430">
        <f>+'bas LO'!J96</f>
        <v>194</v>
      </c>
      <c r="K96" s="81"/>
      <c r="L96" s="78">
        <f>ROUND(G96*tab!$C$66,2)</f>
        <v>61853.02</v>
      </c>
      <c r="M96" s="78">
        <f>ROUND(H96*tab!$C$66,2)</f>
        <v>61853.02</v>
      </c>
      <c r="N96" s="78">
        <f>ROUND(I96*tab!$C$66,2)</f>
        <v>61853.02</v>
      </c>
      <c r="O96" s="78">
        <f>ROUND(J96*tab!$C$66,2)</f>
        <v>61853.02</v>
      </c>
      <c r="P96" s="81"/>
      <c r="Q96" s="182">
        <v>0</v>
      </c>
      <c r="R96" s="141">
        <f t="shared" si="11"/>
        <v>0</v>
      </c>
      <c r="S96" s="141">
        <f t="shared" si="11"/>
        <v>0</v>
      </c>
      <c r="T96" s="141">
        <f t="shared" si="11"/>
        <v>0</v>
      </c>
      <c r="U96" s="81"/>
      <c r="V96" s="78">
        <f>+G96*tab!$C$69</f>
        <v>5821.9400000000005</v>
      </c>
      <c r="W96" s="78">
        <f>+H96*tab!$D$69</f>
        <v>5944.16</v>
      </c>
      <c r="X96" s="78">
        <f>+I96*tab!$D$69</f>
        <v>5944.16</v>
      </c>
      <c r="Y96" s="78">
        <f>+J96*tab!$D$69</f>
        <v>5944.16</v>
      </c>
      <c r="Z96" s="81"/>
      <c r="AA96" s="77">
        <v>0</v>
      </c>
      <c r="AB96" s="182">
        <f t="shared" si="10"/>
        <v>0</v>
      </c>
      <c r="AC96" s="141">
        <f t="shared" si="12"/>
        <v>0</v>
      </c>
      <c r="AD96" s="141">
        <f t="shared" si="12"/>
        <v>0</v>
      </c>
      <c r="AE96" s="102"/>
      <c r="AF96" s="154"/>
    </row>
    <row r="97" spans="2:32" s="134" customFormat="1" x14ac:dyDescent="0.2">
      <c r="B97" s="153"/>
      <c r="C97" s="174"/>
      <c r="D97" s="60">
        <v>85</v>
      </c>
      <c r="E97" s="429" t="str">
        <f>+'bas LO'!E97</f>
        <v>school 85</v>
      </c>
      <c r="F97" s="429" t="str">
        <f>+'bas LO'!F97</f>
        <v>11AA</v>
      </c>
      <c r="G97" s="430">
        <f>+'bas LO'!G97</f>
        <v>195</v>
      </c>
      <c r="H97" s="430">
        <f>+'bas LO'!H97</f>
        <v>195</v>
      </c>
      <c r="I97" s="430">
        <f>+'bas LO'!I97</f>
        <v>195</v>
      </c>
      <c r="J97" s="430">
        <f>+'bas LO'!J97</f>
        <v>195</v>
      </c>
      <c r="K97" s="81"/>
      <c r="L97" s="78">
        <f>ROUND(G97*tab!$C$66,2)</f>
        <v>62171.85</v>
      </c>
      <c r="M97" s="78">
        <f>ROUND(H97*tab!$C$66,2)</f>
        <v>62171.85</v>
      </c>
      <c r="N97" s="78">
        <f>ROUND(I97*tab!$C$66,2)</f>
        <v>62171.85</v>
      </c>
      <c r="O97" s="78">
        <f>ROUND(J97*tab!$C$66,2)</f>
        <v>62171.85</v>
      </c>
      <c r="P97" s="81"/>
      <c r="Q97" s="182">
        <v>0</v>
      </c>
      <c r="R97" s="141">
        <f t="shared" si="11"/>
        <v>0</v>
      </c>
      <c r="S97" s="141">
        <f t="shared" si="11"/>
        <v>0</v>
      </c>
      <c r="T97" s="141">
        <f t="shared" si="11"/>
        <v>0</v>
      </c>
      <c r="U97" s="81"/>
      <c r="V97" s="78">
        <f>+G97*tab!$C$69</f>
        <v>5851.9500000000007</v>
      </c>
      <c r="W97" s="78">
        <f>+H97*tab!$D$69</f>
        <v>5974.8</v>
      </c>
      <c r="X97" s="78">
        <f>+I97*tab!$D$69</f>
        <v>5974.8</v>
      </c>
      <c r="Y97" s="78">
        <f>+J97*tab!$D$69</f>
        <v>5974.8</v>
      </c>
      <c r="Z97" s="81"/>
      <c r="AA97" s="77">
        <v>0</v>
      </c>
      <c r="AB97" s="182">
        <f t="shared" si="10"/>
        <v>0</v>
      </c>
      <c r="AC97" s="141">
        <f t="shared" si="12"/>
        <v>0</v>
      </c>
      <c r="AD97" s="141">
        <f t="shared" si="12"/>
        <v>0</v>
      </c>
      <c r="AE97" s="102"/>
      <c r="AF97" s="154"/>
    </row>
    <row r="98" spans="2:32" s="134" customFormat="1" x14ac:dyDescent="0.2">
      <c r="B98" s="153"/>
      <c r="C98" s="174"/>
      <c r="D98" s="60">
        <v>86</v>
      </c>
      <c r="E98" s="429" t="str">
        <f>+'bas LO'!E98</f>
        <v>school 86</v>
      </c>
      <c r="F98" s="429" t="str">
        <f>+'bas LO'!F98</f>
        <v>11AA</v>
      </c>
      <c r="G98" s="430">
        <f>+'bas LO'!G98</f>
        <v>196</v>
      </c>
      <c r="H98" s="430">
        <f>+'bas LO'!H98</f>
        <v>196</v>
      </c>
      <c r="I98" s="430">
        <f>+'bas LO'!I98</f>
        <v>196</v>
      </c>
      <c r="J98" s="430">
        <f>+'bas LO'!J98</f>
        <v>196</v>
      </c>
      <c r="K98" s="81"/>
      <c r="L98" s="78">
        <f>ROUND(G98*tab!$C$66,2)</f>
        <v>62490.68</v>
      </c>
      <c r="M98" s="78">
        <f>ROUND(H98*tab!$C$66,2)</f>
        <v>62490.68</v>
      </c>
      <c r="N98" s="78">
        <f>ROUND(I98*tab!$C$66,2)</f>
        <v>62490.68</v>
      </c>
      <c r="O98" s="78">
        <f>ROUND(J98*tab!$C$66,2)</f>
        <v>62490.68</v>
      </c>
      <c r="P98" s="81"/>
      <c r="Q98" s="182">
        <v>0</v>
      </c>
      <c r="R98" s="141">
        <f t="shared" si="11"/>
        <v>0</v>
      </c>
      <c r="S98" s="141">
        <f t="shared" si="11"/>
        <v>0</v>
      </c>
      <c r="T98" s="141">
        <f t="shared" si="11"/>
        <v>0</v>
      </c>
      <c r="U98" s="81"/>
      <c r="V98" s="78">
        <f>+G98*tab!$C$69</f>
        <v>5881.96</v>
      </c>
      <c r="W98" s="78">
        <f>+H98*tab!$D$69</f>
        <v>6005.4400000000005</v>
      </c>
      <c r="X98" s="78">
        <f>+I98*tab!$D$69</f>
        <v>6005.4400000000005</v>
      </c>
      <c r="Y98" s="78">
        <f>+J98*tab!$D$69</f>
        <v>6005.4400000000005</v>
      </c>
      <c r="Z98" s="81"/>
      <c r="AA98" s="77">
        <v>0</v>
      </c>
      <c r="AB98" s="182">
        <f t="shared" si="10"/>
        <v>0</v>
      </c>
      <c r="AC98" s="141">
        <f t="shared" si="12"/>
        <v>0</v>
      </c>
      <c r="AD98" s="141">
        <f t="shared" si="12"/>
        <v>0</v>
      </c>
      <c r="AE98" s="102"/>
      <c r="AF98" s="154"/>
    </row>
    <row r="99" spans="2:32" s="134" customFormat="1" x14ac:dyDescent="0.2">
      <c r="B99" s="153"/>
      <c r="C99" s="174"/>
      <c r="D99" s="60">
        <v>87</v>
      </c>
      <c r="E99" s="429" t="str">
        <f>+'bas LO'!E99</f>
        <v>school 87</v>
      </c>
      <c r="F99" s="429" t="str">
        <f>+'bas LO'!F99</f>
        <v>11AA</v>
      </c>
      <c r="G99" s="430">
        <f>+'bas LO'!G99</f>
        <v>197</v>
      </c>
      <c r="H99" s="430">
        <f>+'bas LO'!H99</f>
        <v>197</v>
      </c>
      <c r="I99" s="430">
        <f>+'bas LO'!I99</f>
        <v>197</v>
      </c>
      <c r="J99" s="430">
        <f>+'bas LO'!J99</f>
        <v>197</v>
      </c>
      <c r="K99" s="81"/>
      <c r="L99" s="78">
        <f>ROUND(G99*tab!$C$66,2)</f>
        <v>62809.51</v>
      </c>
      <c r="M99" s="78">
        <f>ROUND(H99*tab!$C$66,2)</f>
        <v>62809.51</v>
      </c>
      <c r="N99" s="78">
        <f>ROUND(I99*tab!$C$66,2)</f>
        <v>62809.51</v>
      </c>
      <c r="O99" s="78">
        <f>ROUND(J99*tab!$C$66,2)</f>
        <v>62809.51</v>
      </c>
      <c r="P99" s="81"/>
      <c r="Q99" s="182">
        <v>0</v>
      </c>
      <c r="R99" s="141">
        <f t="shared" si="11"/>
        <v>0</v>
      </c>
      <c r="S99" s="141">
        <f t="shared" si="11"/>
        <v>0</v>
      </c>
      <c r="T99" s="141">
        <f t="shared" si="11"/>
        <v>0</v>
      </c>
      <c r="U99" s="81"/>
      <c r="V99" s="78">
        <f>+G99*tab!$C$69</f>
        <v>5911.97</v>
      </c>
      <c r="W99" s="78">
        <f>+H99*tab!$D$69</f>
        <v>6036.08</v>
      </c>
      <c r="X99" s="78">
        <f>+I99*tab!$D$69</f>
        <v>6036.08</v>
      </c>
      <c r="Y99" s="78">
        <f>+J99*tab!$D$69</f>
        <v>6036.08</v>
      </c>
      <c r="Z99" s="81"/>
      <c r="AA99" s="77">
        <v>0</v>
      </c>
      <c r="AB99" s="182">
        <f t="shared" si="10"/>
        <v>0</v>
      </c>
      <c r="AC99" s="141">
        <f t="shared" si="12"/>
        <v>0</v>
      </c>
      <c r="AD99" s="141">
        <f t="shared" si="12"/>
        <v>0</v>
      </c>
      <c r="AE99" s="102"/>
      <c r="AF99" s="154"/>
    </row>
    <row r="100" spans="2:32" s="134" customFormat="1" x14ac:dyDescent="0.2">
      <c r="B100" s="153"/>
      <c r="C100" s="174"/>
      <c r="D100" s="60">
        <v>88</v>
      </c>
      <c r="E100" s="429" t="str">
        <f>+'bas LO'!E100</f>
        <v>school 88</v>
      </c>
      <c r="F100" s="429" t="str">
        <f>+'bas LO'!F100</f>
        <v>11AA</v>
      </c>
      <c r="G100" s="430">
        <f>+'bas LO'!G100</f>
        <v>198</v>
      </c>
      <c r="H100" s="430">
        <f>+'bas LO'!H100</f>
        <v>198</v>
      </c>
      <c r="I100" s="430">
        <f>+'bas LO'!I100</f>
        <v>198</v>
      </c>
      <c r="J100" s="430">
        <f>+'bas LO'!J100</f>
        <v>198</v>
      </c>
      <c r="K100" s="81"/>
      <c r="L100" s="78">
        <f>ROUND(G100*tab!$C$66,2)</f>
        <v>63128.34</v>
      </c>
      <c r="M100" s="78">
        <f>ROUND(H100*tab!$C$66,2)</f>
        <v>63128.34</v>
      </c>
      <c r="N100" s="78">
        <f>ROUND(I100*tab!$C$66,2)</f>
        <v>63128.34</v>
      </c>
      <c r="O100" s="78">
        <f>ROUND(J100*tab!$C$66,2)</f>
        <v>63128.34</v>
      </c>
      <c r="P100" s="81"/>
      <c r="Q100" s="182">
        <v>0</v>
      </c>
      <c r="R100" s="141">
        <f t="shared" si="11"/>
        <v>0</v>
      </c>
      <c r="S100" s="141">
        <f t="shared" si="11"/>
        <v>0</v>
      </c>
      <c r="T100" s="141">
        <f t="shared" si="11"/>
        <v>0</v>
      </c>
      <c r="U100" s="81"/>
      <c r="V100" s="78">
        <f>+G100*tab!$C$69</f>
        <v>5941.9800000000005</v>
      </c>
      <c r="W100" s="78">
        <f>+H100*tab!$D$69</f>
        <v>6066.72</v>
      </c>
      <c r="X100" s="78">
        <f>+I100*tab!$D$69</f>
        <v>6066.72</v>
      </c>
      <c r="Y100" s="78">
        <f>+J100*tab!$D$69</f>
        <v>6066.72</v>
      </c>
      <c r="Z100" s="81"/>
      <c r="AA100" s="77">
        <v>0</v>
      </c>
      <c r="AB100" s="182">
        <f t="shared" si="10"/>
        <v>0</v>
      </c>
      <c r="AC100" s="141">
        <f t="shared" si="12"/>
        <v>0</v>
      </c>
      <c r="AD100" s="141">
        <f t="shared" si="12"/>
        <v>0</v>
      </c>
      <c r="AE100" s="102"/>
      <c r="AF100" s="154"/>
    </row>
    <row r="101" spans="2:32" s="134" customFormat="1" x14ac:dyDescent="0.2">
      <c r="B101" s="153"/>
      <c r="C101" s="174"/>
      <c r="D101" s="60">
        <v>89</v>
      </c>
      <c r="E101" s="429" t="str">
        <f>+'bas LO'!E101</f>
        <v>school 89</v>
      </c>
      <c r="F101" s="429" t="str">
        <f>+'bas LO'!F101</f>
        <v>11AA</v>
      </c>
      <c r="G101" s="430">
        <f>+'bas LO'!G101</f>
        <v>199</v>
      </c>
      <c r="H101" s="430">
        <f>+'bas LO'!H101</f>
        <v>199</v>
      </c>
      <c r="I101" s="430">
        <f>+'bas LO'!I101</f>
        <v>199</v>
      </c>
      <c r="J101" s="430">
        <f>+'bas LO'!J101</f>
        <v>199</v>
      </c>
      <c r="K101" s="81"/>
      <c r="L101" s="78">
        <f>ROUND(G101*tab!$C$66,2)</f>
        <v>63447.17</v>
      </c>
      <c r="M101" s="78">
        <f>ROUND(H101*tab!$C$66,2)</f>
        <v>63447.17</v>
      </c>
      <c r="N101" s="78">
        <f>ROUND(I101*tab!$C$66,2)</f>
        <v>63447.17</v>
      </c>
      <c r="O101" s="78">
        <f>ROUND(J101*tab!$C$66,2)</f>
        <v>63447.17</v>
      </c>
      <c r="P101" s="81"/>
      <c r="Q101" s="182">
        <v>0</v>
      </c>
      <c r="R101" s="141">
        <f t="shared" si="11"/>
        <v>0</v>
      </c>
      <c r="S101" s="141">
        <f t="shared" si="11"/>
        <v>0</v>
      </c>
      <c r="T101" s="141">
        <f t="shared" si="11"/>
        <v>0</v>
      </c>
      <c r="U101" s="81"/>
      <c r="V101" s="78">
        <f>+G101*tab!$C$69</f>
        <v>5971.9900000000007</v>
      </c>
      <c r="W101" s="78">
        <f>+H101*tab!$D$69</f>
        <v>6097.36</v>
      </c>
      <c r="X101" s="78">
        <f>+I101*tab!$D$69</f>
        <v>6097.36</v>
      </c>
      <c r="Y101" s="78">
        <f>+J101*tab!$D$69</f>
        <v>6097.36</v>
      </c>
      <c r="Z101" s="81"/>
      <c r="AA101" s="77">
        <v>0</v>
      </c>
      <c r="AB101" s="182">
        <f t="shared" si="10"/>
        <v>0</v>
      </c>
      <c r="AC101" s="141">
        <f t="shared" si="12"/>
        <v>0</v>
      </c>
      <c r="AD101" s="141">
        <f t="shared" si="12"/>
        <v>0</v>
      </c>
      <c r="AE101" s="102"/>
      <c r="AF101" s="154"/>
    </row>
    <row r="102" spans="2:32" s="134" customFormat="1" x14ac:dyDescent="0.2">
      <c r="B102" s="153"/>
      <c r="C102" s="174"/>
      <c r="D102" s="60">
        <v>90</v>
      </c>
      <c r="E102" s="429" t="str">
        <f>+'bas LO'!E102</f>
        <v>school 90</v>
      </c>
      <c r="F102" s="429" t="str">
        <f>+'bas LO'!F102</f>
        <v>11AA</v>
      </c>
      <c r="G102" s="430">
        <f>+'bas LO'!G102</f>
        <v>200</v>
      </c>
      <c r="H102" s="430">
        <f>+'bas LO'!H102</f>
        <v>200</v>
      </c>
      <c r="I102" s="430">
        <f>+'bas LO'!I102</f>
        <v>200</v>
      </c>
      <c r="J102" s="430">
        <f>+'bas LO'!J102</f>
        <v>200</v>
      </c>
      <c r="K102" s="81"/>
      <c r="L102" s="78">
        <f>ROUND(G102*tab!$C$66,2)</f>
        <v>63766</v>
      </c>
      <c r="M102" s="78">
        <f>ROUND(H102*tab!$C$66,2)</f>
        <v>63766</v>
      </c>
      <c r="N102" s="78">
        <f>ROUND(I102*tab!$C$66,2)</f>
        <v>63766</v>
      </c>
      <c r="O102" s="78">
        <f>ROUND(J102*tab!$C$66,2)</f>
        <v>63766</v>
      </c>
      <c r="P102" s="81"/>
      <c r="Q102" s="182">
        <v>0</v>
      </c>
      <c r="R102" s="141">
        <f t="shared" si="11"/>
        <v>0</v>
      </c>
      <c r="S102" s="141">
        <f t="shared" si="11"/>
        <v>0</v>
      </c>
      <c r="T102" s="141">
        <f t="shared" si="11"/>
        <v>0</v>
      </c>
      <c r="U102" s="81"/>
      <c r="V102" s="78">
        <f>+G102*tab!$C$69</f>
        <v>6002</v>
      </c>
      <c r="W102" s="78">
        <f>+H102*tab!$D$69</f>
        <v>6128</v>
      </c>
      <c r="X102" s="78">
        <f>+I102*tab!$D$69</f>
        <v>6128</v>
      </c>
      <c r="Y102" s="78">
        <f>+J102*tab!$D$69</f>
        <v>6128</v>
      </c>
      <c r="Z102" s="81"/>
      <c r="AA102" s="77">
        <v>0</v>
      </c>
      <c r="AB102" s="182">
        <f t="shared" si="10"/>
        <v>0</v>
      </c>
      <c r="AC102" s="141">
        <f t="shared" si="12"/>
        <v>0</v>
      </c>
      <c r="AD102" s="141">
        <f t="shared" si="12"/>
        <v>0</v>
      </c>
      <c r="AE102" s="102"/>
      <c r="AF102" s="154"/>
    </row>
    <row r="103" spans="2:32" s="134" customFormat="1" x14ac:dyDescent="0.2">
      <c r="B103" s="153"/>
      <c r="C103" s="174"/>
      <c r="D103" s="60">
        <v>91</v>
      </c>
      <c r="E103" s="429" t="str">
        <f>+'bas LO'!E103</f>
        <v>school 91</v>
      </c>
      <c r="F103" s="429" t="str">
        <f>+'bas LO'!F103</f>
        <v>11AA</v>
      </c>
      <c r="G103" s="430">
        <f>+'bas LO'!G103</f>
        <v>201</v>
      </c>
      <c r="H103" s="430">
        <f>+'bas LO'!H103</f>
        <v>201</v>
      </c>
      <c r="I103" s="430">
        <f>+'bas LO'!I103</f>
        <v>201</v>
      </c>
      <c r="J103" s="430">
        <f>+'bas LO'!J103</f>
        <v>201</v>
      </c>
      <c r="K103" s="81"/>
      <c r="L103" s="78">
        <f>ROUND(G103*tab!$C$66,2)</f>
        <v>64084.83</v>
      </c>
      <c r="M103" s="78">
        <f>ROUND(H103*tab!$C$66,2)</f>
        <v>64084.83</v>
      </c>
      <c r="N103" s="78">
        <f>ROUND(I103*tab!$C$66,2)</f>
        <v>64084.83</v>
      </c>
      <c r="O103" s="78">
        <f>ROUND(J103*tab!$C$66,2)</f>
        <v>64084.83</v>
      </c>
      <c r="P103" s="81"/>
      <c r="Q103" s="182">
        <v>0</v>
      </c>
      <c r="R103" s="141">
        <f t="shared" si="11"/>
        <v>0</v>
      </c>
      <c r="S103" s="141">
        <f t="shared" si="11"/>
        <v>0</v>
      </c>
      <c r="T103" s="141">
        <f t="shared" si="11"/>
        <v>0</v>
      </c>
      <c r="U103" s="81"/>
      <c r="V103" s="78">
        <f>+G103*tab!$C$69</f>
        <v>6032.01</v>
      </c>
      <c r="W103" s="78">
        <f>+H103*tab!$D$69</f>
        <v>6158.64</v>
      </c>
      <c r="X103" s="78">
        <f>+I103*tab!$D$69</f>
        <v>6158.64</v>
      </c>
      <c r="Y103" s="78">
        <f>+J103*tab!$D$69</f>
        <v>6158.64</v>
      </c>
      <c r="Z103" s="81"/>
      <c r="AA103" s="77">
        <v>0</v>
      </c>
      <c r="AB103" s="182">
        <f t="shared" si="10"/>
        <v>0</v>
      </c>
      <c r="AC103" s="141">
        <f t="shared" si="12"/>
        <v>0</v>
      </c>
      <c r="AD103" s="141">
        <f t="shared" si="12"/>
        <v>0</v>
      </c>
      <c r="AE103" s="102"/>
      <c r="AF103" s="154"/>
    </row>
    <row r="104" spans="2:32" s="134" customFormat="1" x14ac:dyDescent="0.2">
      <c r="B104" s="153"/>
      <c r="C104" s="174"/>
      <c r="D104" s="60">
        <v>92</v>
      </c>
      <c r="E104" s="429" t="str">
        <f>+'bas LO'!E104</f>
        <v>school 92</v>
      </c>
      <c r="F104" s="429" t="str">
        <f>+'bas LO'!F104</f>
        <v>11AA</v>
      </c>
      <c r="G104" s="430">
        <f>+'bas LO'!G104</f>
        <v>202</v>
      </c>
      <c r="H104" s="430">
        <f>+'bas LO'!H104</f>
        <v>202</v>
      </c>
      <c r="I104" s="430">
        <f>+'bas LO'!I104</f>
        <v>202</v>
      </c>
      <c r="J104" s="430">
        <f>+'bas LO'!J104</f>
        <v>202</v>
      </c>
      <c r="K104" s="81"/>
      <c r="L104" s="78">
        <f>ROUND(G104*tab!$C$66,2)</f>
        <v>64403.66</v>
      </c>
      <c r="M104" s="78">
        <f>ROUND(H104*tab!$C$66,2)</f>
        <v>64403.66</v>
      </c>
      <c r="N104" s="78">
        <f>ROUND(I104*tab!$C$66,2)</f>
        <v>64403.66</v>
      </c>
      <c r="O104" s="78">
        <f>ROUND(J104*tab!$C$66,2)</f>
        <v>64403.66</v>
      </c>
      <c r="P104" s="81"/>
      <c r="Q104" s="182">
        <v>0</v>
      </c>
      <c r="R104" s="141">
        <f t="shared" si="11"/>
        <v>0</v>
      </c>
      <c r="S104" s="141">
        <f t="shared" si="11"/>
        <v>0</v>
      </c>
      <c r="T104" s="141">
        <f t="shared" si="11"/>
        <v>0</v>
      </c>
      <c r="U104" s="81"/>
      <c r="V104" s="78">
        <f>+G104*tab!$C$69</f>
        <v>6062.02</v>
      </c>
      <c r="W104" s="78">
        <f>+H104*tab!$D$69</f>
        <v>6189.28</v>
      </c>
      <c r="X104" s="78">
        <f>+I104*tab!$D$69</f>
        <v>6189.28</v>
      </c>
      <c r="Y104" s="78">
        <f>+J104*tab!$D$69</f>
        <v>6189.28</v>
      </c>
      <c r="Z104" s="81"/>
      <c r="AA104" s="77">
        <v>0</v>
      </c>
      <c r="AB104" s="182">
        <f t="shared" si="10"/>
        <v>0</v>
      </c>
      <c r="AC104" s="141">
        <f t="shared" si="12"/>
        <v>0</v>
      </c>
      <c r="AD104" s="141">
        <f t="shared" si="12"/>
        <v>0</v>
      </c>
      <c r="AE104" s="102"/>
      <c r="AF104" s="154"/>
    </row>
    <row r="105" spans="2:32" s="134" customFormat="1" x14ac:dyDescent="0.2">
      <c r="B105" s="153"/>
      <c r="C105" s="174"/>
      <c r="D105" s="60">
        <v>93</v>
      </c>
      <c r="E105" s="429" t="str">
        <f>+'bas LO'!E105</f>
        <v>school 93</v>
      </c>
      <c r="F105" s="429" t="str">
        <f>+'bas LO'!F105</f>
        <v>11AA</v>
      </c>
      <c r="G105" s="430">
        <f>+'bas LO'!G105</f>
        <v>203</v>
      </c>
      <c r="H105" s="430">
        <f>+'bas LO'!H105</f>
        <v>203</v>
      </c>
      <c r="I105" s="430">
        <f>+'bas LO'!I105</f>
        <v>203</v>
      </c>
      <c r="J105" s="430">
        <f>+'bas LO'!J105</f>
        <v>203</v>
      </c>
      <c r="K105" s="81"/>
      <c r="L105" s="78">
        <f>ROUND(G105*tab!$C$66,2)</f>
        <v>64722.49</v>
      </c>
      <c r="M105" s="78">
        <f>ROUND(H105*tab!$C$66,2)</f>
        <v>64722.49</v>
      </c>
      <c r="N105" s="78">
        <f>ROUND(I105*tab!$C$66,2)</f>
        <v>64722.49</v>
      </c>
      <c r="O105" s="78">
        <f>ROUND(J105*tab!$C$66,2)</f>
        <v>64722.49</v>
      </c>
      <c r="P105" s="81"/>
      <c r="Q105" s="182">
        <v>0</v>
      </c>
      <c r="R105" s="141">
        <f t="shared" si="11"/>
        <v>0</v>
      </c>
      <c r="S105" s="141">
        <f t="shared" si="11"/>
        <v>0</v>
      </c>
      <c r="T105" s="141">
        <f t="shared" si="11"/>
        <v>0</v>
      </c>
      <c r="U105" s="81"/>
      <c r="V105" s="78">
        <f>+G105*tab!$C$69</f>
        <v>6092.0300000000007</v>
      </c>
      <c r="W105" s="78">
        <f>+H105*tab!$D$69</f>
        <v>6219.92</v>
      </c>
      <c r="X105" s="78">
        <f>+I105*tab!$D$69</f>
        <v>6219.92</v>
      </c>
      <c r="Y105" s="78">
        <f>+J105*tab!$D$69</f>
        <v>6219.92</v>
      </c>
      <c r="Z105" s="81"/>
      <c r="AA105" s="77">
        <v>0</v>
      </c>
      <c r="AB105" s="182">
        <f t="shared" si="10"/>
        <v>0</v>
      </c>
      <c r="AC105" s="141">
        <f t="shared" si="12"/>
        <v>0</v>
      </c>
      <c r="AD105" s="141">
        <f t="shared" si="12"/>
        <v>0</v>
      </c>
      <c r="AE105" s="102"/>
      <c r="AF105" s="154"/>
    </row>
    <row r="106" spans="2:32" s="134" customFormat="1" x14ac:dyDescent="0.2">
      <c r="B106" s="153"/>
      <c r="C106" s="174"/>
      <c r="D106" s="60">
        <v>94</v>
      </c>
      <c r="E106" s="429" t="str">
        <f>+'bas LO'!E106</f>
        <v>school 94</v>
      </c>
      <c r="F106" s="429" t="str">
        <f>+'bas LO'!F106</f>
        <v>11AA</v>
      </c>
      <c r="G106" s="430">
        <f>+'bas LO'!G106</f>
        <v>204</v>
      </c>
      <c r="H106" s="430">
        <f>+'bas LO'!H106</f>
        <v>204</v>
      </c>
      <c r="I106" s="430">
        <f>+'bas LO'!I106</f>
        <v>204</v>
      </c>
      <c r="J106" s="430">
        <f>+'bas LO'!J106</f>
        <v>204</v>
      </c>
      <c r="K106" s="81"/>
      <c r="L106" s="78">
        <f>ROUND(G106*tab!$C$66,2)</f>
        <v>65041.32</v>
      </c>
      <c r="M106" s="78">
        <f>ROUND(H106*tab!$C$66,2)</f>
        <v>65041.32</v>
      </c>
      <c r="N106" s="78">
        <f>ROUND(I106*tab!$C$66,2)</f>
        <v>65041.32</v>
      </c>
      <c r="O106" s="78">
        <f>ROUND(J106*tab!$C$66,2)</f>
        <v>65041.32</v>
      </c>
      <c r="P106" s="81"/>
      <c r="Q106" s="182">
        <v>0</v>
      </c>
      <c r="R106" s="141">
        <f t="shared" si="11"/>
        <v>0</v>
      </c>
      <c r="S106" s="141">
        <f t="shared" si="11"/>
        <v>0</v>
      </c>
      <c r="T106" s="141">
        <f t="shared" si="11"/>
        <v>0</v>
      </c>
      <c r="U106" s="81"/>
      <c r="V106" s="78">
        <f>+G106*tab!$C$69</f>
        <v>6122.04</v>
      </c>
      <c r="W106" s="78">
        <f>+H106*tab!$D$69</f>
        <v>6250.56</v>
      </c>
      <c r="X106" s="78">
        <f>+I106*tab!$D$69</f>
        <v>6250.56</v>
      </c>
      <c r="Y106" s="78">
        <f>+J106*tab!$D$69</f>
        <v>6250.56</v>
      </c>
      <c r="Z106" s="81"/>
      <c r="AA106" s="77">
        <v>0</v>
      </c>
      <c r="AB106" s="182">
        <f t="shared" si="10"/>
        <v>0</v>
      </c>
      <c r="AC106" s="141">
        <f t="shared" si="12"/>
        <v>0</v>
      </c>
      <c r="AD106" s="141">
        <f t="shared" si="12"/>
        <v>0</v>
      </c>
      <c r="AE106" s="102"/>
      <c r="AF106" s="154"/>
    </row>
    <row r="107" spans="2:32" s="134" customFormat="1" x14ac:dyDescent="0.2">
      <c r="B107" s="153"/>
      <c r="C107" s="174"/>
      <c r="D107" s="60">
        <v>95</v>
      </c>
      <c r="E107" s="429" t="str">
        <f>+'bas LO'!E107</f>
        <v>school 95</v>
      </c>
      <c r="F107" s="429" t="str">
        <f>+'bas LO'!F107</f>
        <v>11AA</v>
      </c>
      <c r="G107" s="430">
        <f>+'bas LO'!G107</f>
        <v>205</v>
      </c>
      <c r="H107" s="430">
        <f>+'bas LO'!H107</f>
        <v>205</v>
      </c>
      <c r="I107" s="430">
        <f>+'bas LO'!I107</f>
        <v>205</v>
      </c>
      <c r="J107" s="430">
        <f>+'bas LO'!J107</f>
        <v>205</v>
      </c>
      <c r="K107" s="81"/>
      <c r="L107" s="78">
        <f>ROUND(G107*tab!$C$66,2)</f>
        <v>65360.15</v>
      </c>
      <c r="M107" s="78">
        <f>ROUND(H107*tab!$C$66,2)</f>
        <v>65360.15</v>
      </c>
      <c r="N107" s="78">
        <f>ROUND(I107*tab!$C$66,2)</f>
        <v>65360.15</v>
      </c>
      <c r="O107" s="78">
        <f>ROUND(J107*tab!$C$66,2)</f>
        <v>65360.15</v>
      </c>
      <c r="P107" s="81"/>
      <c r="Q107" s="182">
        <v>0</v>
      </c>
      <c r="R107" s="141">
        <f t="shared" si="11"/>
        <v>0</v>
      </c>
      <c r="S107" s="141">
        <f t="shared" si="11"/>
        <v>0</v>
      </c>
      <c r="T107" s="141">
        <f t="shared" si="11"/>
        <v>0</v>
      </c>
      <c r="U107" s="81"/>
      <c r="V107" s="78">
        <f>+G107*tab!$C$69</f>
        <v>6152.05</v>
      </c>
      <c r="W107" s="78">
        <f>+H107*tab!$D$69</f>
        <v>6281.2</v>
      </c>
      <c r="X107" s="78">
        <f>+I107*tab!$D$69</f>
        <v>6281.2</v>
      </c>
      <c r="Y107" s="78">
        <f>+J107*tab!$D$69</f>
        <v>6281.2</v>
      </c>
      <c r="Z107" s="81"/>
      <c r="AA107" s="77">
        <v>0</v>
      </c>
      <c r="AB107" s="182">
        <f t="shared" si="10"/>
        <v>0</v>
      </c>
      <c r="AC107" s="141">
        <f t="shared" si="12"/>
        <v>0</v>
      </c>
      <c r="AD107" s="141">
        <f t="shared" si="12"/>
        <v>0</v>
      </c>
      <c r="AE107" s="102"/>
      <c r="AF107" s="154"/>
    </row>
    <row r="108" spans="2:32" s="134" customFormat="1" x14ac:dyDescent="0.2">
      <c r="B108" s="153"/>
      <c r="C108" s="174"/>
      <c r="D108" s="60">
        <v>96</v>
      </c>
      <c r="E108" s="429" t="str">
        <f>+'bas LO'!E108</f>
        <v>school 96</v>
      </c>
      <c r="F108" s="429" t="str">
        <f>+'bas LO'!F108</f>
        <v>11AA</v>
      </c>
      <c r="G108" s="430">
        <f>+'bas LO'!G108</f>
        <v>206</v>
      </c>
      <c r="H108" s="430">
        <f>+'bas LO'!H108</f>
        <v>206</v>
      </c>
      <c r="I108" s="430">
        <f>+'bas LO'!I108</f>
        <v>206</v>
      </c>
      <c r="J108" s="430">
        <f>+'bas LO'!J108</f>
        <v>206</v>
      </c>
      <c r="K108" s="81"/>
      <c r="L108" s="78">
        <f>ROUND(G108*tab!$C$66,2)</f>
        <v>65678.98</v>
      </c>
      <c r="M108" s="78">
        <f>ROUND(H108*tab!$C$66,2)</f>
        <v>65678.98</v>
      </c>
      <c r="N108" s="78">
        <f>ROUND(I108*tab!$C$66,2)</f>
        <v>65678.98</v>
      </c>
      <c r="O108" s="78">
        <f>ROUND(J108*tab!$C$66,2)</f>
        <v>65678.98</v>
      </c>
      <c r="P108" s="81"/>
      <c r="Q108" s="182">
        <v>0</v>
      </c>
      <c r="R108" s="141">
        <f t="shared" si="11"/>
        <v>0</v>
      </c>
      <c r="S108" s="141">
        <f t="shared" si="11"/>
        <v>0</v>
      </c>
      <c r="T108" s="141">
        <f t="shared" si="11"/>
        <v>0</v>
      </c>
      <c r="U108" s="81"/>
      <c r="V108" s="78">
        <f>+G108*tab!$C$69</f>
        <v>6182.06</v>
      </c>
      <c r="W108" s="78">
        <f>+H108*tab!$D$69</f>
        <v>6311.84</v>
      </c>
      <c r="X108" s="78">
        <f>+I108*tab!$D$69</f>
        <v>6311.84</v>
      </c>
      <c r="Y108" s="78">
        <f>+J108*tab!$D$69</f>
        <v>6311.84</v>
      </c>
      <c r="Z108" s="81"/>
      <c r="AA108" s="77">
        <v>0</v>
      </c>
      <c r="AB108" s="182">
        <f t="shared" si="10"/>
        <v>0</v>
      </c>
      <c r="AC108" s="141">
        <f t="shared" si="12"/>
        <v>0</v>
      </c>
      <c r="AD108" s="141">
        <f t="shared" si="12"/>
        <v>0</v>
      </c>
      <c r="AE108" s="102"/>
      <c r="AF108" s="154"/>
    </row>
    <row r="109" spans="2:32" s="134" customFormat="1" x14ac:dyDescent="0.2">
      <c r="B109" s="153"/>
      <c r="C109" s="174"/>
      <c r="D109" s="60">
        <v>97</v>
      </c>
      <c r="E109" s="429" t="str">
        <f>+'bas LO'!E109</f>
        <v>school 97</v>
      </c>
      <c r="F109" s="429" t="str">
        <f>+'bas LO'!F109</f>
        <v>11AA</v>
      </c>
      <c r="G109" s="430">
        <f>+'bas LO'!G109</f>
        <v>207</v>
      </c>
      <c r="H109" s="430">
        <f>+'bas LO'!H109</f>
        <v>207</v>
      </c>
      <c r="I109" s="430">
        <f>+'bas LO'!I109</f>
        <v>207</v>
      </c>
      <c r="J109" s="430">
        <f>+'bas LO'!J109</f>
        <v>207</v>
      </c>
      <c r="K109" s="81"/>
      <c r="L109" s="78">
        <f>ROUND(G109*tab!$C$66,2)</f>
        <v>65997.81</v>
      </c>
      <c r="M109" s="78">
        <f>ROUND(H109*tab!$C$66,2)</f>
        <v>65997.81</v>
      </c>
      <c r="N109" s="78">
        <f>ROUND(I109*tab!$C$66,2)</f>
        <v>65997.81</v>
      </c>
      <c r="O109" s="78">
        <f>ROUND(J109*tab!$C$66,2)</f>
        <v>65997.81</v>
      </c>
      <c r="P109" s="81"/>
      <c r="Q109" s="182">
        <v>0</v>
      </c>
      <c r="R109" s="141">
        <f t="shared" si="11"/>
        <v>0</v>
      </c>
      <c r="S109" s="141">
        <f t="shared" si="11"/>
        <v>0</v>
      </c>
      <c r="T109" s="141">
        <f t="shared" si="11"/>
        <v>0</v>
      </c>
      <c r="U109" s="81"/>
      <c r="V109" s="78">
        <f>+G109*tab!$C$69</f>
        <v>6212.0700000000006</v>
      </c>
      <c r="W109" s="78">
        <f>+H109*tab!$D$69</f>
        <v>6342.4800000000005</v>
      </c>
      <c r="X109" s="78">
        <f>+I109*tab!$D$69</f>
        <v>6342.4800000000005</v>
      </c>
      <c r="Y109" s="78">
        <f>+J109*tab!$D$69</f>
        <v>6342.4800000000005</v>
      </c>
      <c r="Z109" s="81"/>
      <c r="AA109" s="77">
        <v>0</v>
      </c>
      <c r="AB109" s="182">
        <f t="shared" ref="AB109:AB137" si="13">AA109*7/12</f>
        <v>0</v>
      </c>
      <c r="AC109" s="141">
        <f t="shared" si="12"/>
        <v>0</v>
      </c>
      <c r="AD109" s="141">
        <f t="shared" si="12"/>
        <v>0</v>
      </c>
      <c r="AE109" s="102"/>
      <c r="AF109" s="154"/>
    </row>
    <row r="110" spans="2:32" s="134" customFormat="1" x14ac:dyDescent="0.2">
      <c r="B110" s="153"/>
      <c r="C110" s="174"/>
      <c r="D110" s="60">
        <v>98</v>
      </c>
      <c r="E110" s="429" t="str">
        <f>+'bas LO'!E110</f>
        <v>school 98</v>
      </c>
      <c r="F110" s="429" t="str">
        <f>+'bas LO'!F110</f>
        <v>11AA</v>
      </c>
      <c r="G110" s="430">
        <f>+'bas LO'!G110</f>
        <v>208</v>
      </c>
      <c r="H110" s="430">
        <f>+'bas LO'!H110</f>
        <v>208</v>
      </c>
      <c r="I110" s="430">
        <f>+'bas LO'!I110</f>
        <v>208</v>
      </c>
      <c r="J110" s="430">
        <f>+'bas LO'!J110</f>
        <v>208</v>
      </c>
      <c r="K110" s="81"/>
      <c r="L110" s="78">
        <f>ROUND(G110*tab!$C$66,2)</f>
        <v>66316.639999999999</v>
      </c>
      <c r="M110" s="78">
        <f>ROUND(H110*tab!$C$66,2)</f>
        <v>66316.639999999999</v>
      </c>
      <c r="N110" s="78">
        <f>ROUND(I110*tab!$C$66,2)</f>
        <v>66316.639999999999</v>
      </c>
      <c r="O110" s="78">
        <f>ROUND(J110*tab!$C$66,2)</f>
        <v>66316.639999999999</v>
      </c>
      <c r="P110" s="81"/>
      <c r="Q110" s="182">
        <v>0</v>
      </c>
      <c r="R110" s="141">
        <f t="shared" si="11"/>
        <v>0</v>
      </c>
      <c r="S110" s="141">
        <f t="shared" si="11"/>
        <v>0</v>
      </c>
      <c r="T110" s="141">
        <f t="shared" si="11"/>
        <v>0</v>
      </c>
      <c r="U110" s="81"/>
      <c r="V110" s="78">
        <f>+G110*tab!$C$69</f>
        <v>6242.08</v>
      </c>
      <c r="W110" s="78">
        <f>+H110*tab!$D$69</f>
        <v>6373.12</v>
      </c>
      <c r="X110" s="78">
        <f>+I110*tab!$D$69</f>
        <v>6373.12</v>
      </c>
      <c r="Y110" s="78">
        <f>+J110*tab!$D$69</f>
        <v>6373.12</v>
      </c>
      <c r="Z110" s="81"/>
      <c r="AA110" s="77">
        <v>0</v>
      </c>
      <c r="AB110" s="182">
        <f t="shared" si="13"/>
        <v>0</v>
      </c>
      <c r="AC110" s="141">
        <f t="shared" si="12"/>
        <v>0</v>
      </c>
      <c r="AD110" s="141">
        <f t="shared" si="12"/>
        <v>0</v>
      </c>
      <c r="AE110" s="102"/>
      <c r="AF110" s="154"/>
    </row>
    <row r="111" spans="2:32" s="134" customFormat="1" x14ac:dyDescent="0.2">
      <c r="B111" s="153"/>
      <c r="C111" s="174"/>
      <c r="D111" s="60">
        <v>99</v>
      </c>
      <c r="E111" s="429" t="str">
        <f>+'bas LO'!E111</f>
        <v>school 99</v>
      </c>
      <c r="F111" s="429" t="str">
        <f>+'bas LO'!F111</f>
        <v>11AA</v>
      </c>
      <c r="G111" s="430">
        <f>+'bas LO'!G111</f>
        <v>209</v>
      </c>
      <c r="H111" s="430">
        <f>+'bas LO'!H111</f>
        <v>209</v>
      </c>
      <c r="I111" s="430">
        <f>+'bas LO'!I111</f>
        <v>209</v>
      </c>
      <c r="J111" s="430">
        <f>+'bas LO'!J111</f>
        <v>209</v>
      </c>
      <c r="K111" s="81"/>
      <c r="L111" s="78">
        <f>ROUND(G111*tab!$C$66,2)</f>
        <v>66635.47</v>
      </c>
      <c r="M111" s="78">
        <f>ROUND(H111*tab!$C$66,2)</f>
        <v>66635.47</v>
      </c>
      <c r="N111" s="78">
        <f>ROUND(I111*tab!$C$66,2)</f>
        <v>66635.47</v>
      </c>
      <c r="O111" s="78">
        <f>ROUND(J111*tab!$C$66,2)</f>
        <v>66635.47</v>
      </c>
      <c r="P111" s="81"/>
      <c r="Q111" s="182">
        <v>0</v>
      </c>
      <c r="R111" s="141">
        <f t="shared" si="11"/>
        <v>0</v>
      </c>
      <c r="S111" s="141">
        <f t="shared" si="11"/>
        <v>0</v>
      </c>
      <c r="T111" s="141">
        <f t="shared" si="11"/>
        <v>0</v>
      </c>
      <c r="U111" s="81"/>
      <c r="V111" s="78">
        <f>+G111*tab!$C$69</f>
        <v>6272.09</v>
      </c>
      <c r="W111" s="78">
        <f>+H111*tab!$D$69</f>
        <v>6403.76</v>
      </c>
      <c r="X111" s="78">
        <f>+I111*tab!$D$69</f>
        <v>6403.76</v>
      </c>
      <c r="Y111" s="78">
        <f>+J111*tab!$D$69</f>
        <v>6403.76</v>
      </c>
      <c r="Z111" s="81"/>
      <c r="AA111" s="77">
        <v>0</v>
      </c>
      <c r="AB111" s="182">
        <f t="shared" si="13"/>
        <v>0</v>
      </c>
      <c r="AC111" s="141">
        <f t="shared" si="12"/>
        <v>0</v>
      </c>
      <c r="AD111" s="141">
        <f t="shared" si="12"/>
        <v>0</v>
      </c>
      <c r="AE111" s="102"/>
      <c r="AF111" s="154"/>
    </row>
    <row r="112" spans="2:32" s="134" customFormat="1" x14ac:dyDescent="0.2">
      <c r="B112" s="153"/>
      <c r="C112" s="174"/>
      <c r="D112" s="60">
        <v>100</v>
      </c>
      <c r="E112" s="429" t="str">
        <f>+'bas LO'!E112</f>
        <v>school 100</v>
      </c>
      <c r="F112" s="429" t="str">
        <f>+'bas LO'!F112</f>
        <v>11AA</v>
      </c>
      <c r="G112" s="430">
        <f>+'bas LO'!G112</f>
        <v>210</v>
      </c>
      <c r="H112" s="430">
        <f>+'bas LO'!H112</f>
        <v>210</v>
      </c>
      <c r="I112" s="430">
        <f>+'bas LO'!I112</f>
        <v>210</v>
      </c>
      <c r="J112" s="430">
        <f>+'bas LO'!J112</f>
        <v>210</v>
      </c>
      <c r="K112" s="81"/>
      <c r="L112" s="78">
        <f>ROUND(G112*tab!$C$66,2)</f>
        <v>66954.3</v>
      </c>
      <c r="M112" s="78">
        <f>ROUND(H112*tab!$C$66,2)</f>
        <v>66954.3</v>
      </c>
      <c r="N112" s="78">
        <f>ROUND(I112*tab!$C$66,2)</f>
        <v>66954.3</v>
      </c>
      <c r="O112" s="78">
        <f>ROUND(J112*tab!$C$66,2)</f>
        <v>66954.3</v>
      </c>
      <c r="P112" s="81"/>
      <c r="Q112" s="182">
        <v>0</v>
      </c>
      <c r="R112" s="141">
        <f t="shared" si="11"/>
        <v>0</v>
      </c>
      <c r="S112" s="141">
        <f t="shared" si="11"/>
        <v>0</v>
      </c>
      <c r="T112" s="141">
        <f t="shared" si="11"/>
        <v>0</v>
      </c>
      <c r="U112" s="81"/>
      <c r="V112" s="78">
        <f>+G112*tab!$C$69</f>
        <v>6302.1</v>
      </c>
      <c r="W112" s="78">
        <f>+H112*tab!$D$69</f>
        <v>6434.4000000000005</v>
      </c>
      <c r="X112" s="78">
        <f>+I112*tab!$D$69</f>
        <v>6434.4000000000005</v>
      </c>
      <c r="Y112" s="78">
        <f>+J112*tab!$D$69</f>
        <v>6434.4000000000005</v>
      </c>
      <c r="Z112" s="81"/>
      <c r="AA112" s="77">
        <v>0</v>
      </c>
      <c r="AB112" s="182">
        <f t="shared" si="13"/>
        <v>0</v>
      </c>
      <c r="AC112" s="141">
        <f t="shared" si="12"/>
        <v>0</v>
      </c>
      <c r="AD112" s="141">
        <f t="shared" si="12"/>
        <v>0</v>
      </c>
      <c r="AE112" s="102"/>
      <c r="AF112" s="154"/>
    </row>
    <row r="113" spans="2:32" s="134" customFormat="1" x14ac:dyDescent="0.2">
      <c r="B113" s="153"/>
      <c r="C113" s="174"/>
      <c r="D113" s="60">
        <v>101</v>
      </c>
      <c r="E113" s="429" t="str">
        <f>+'bas LO'!E113</f>
        <v>school 101</v>
      </c>
      <c r="F113" s="429" t="str">
        <f>+'bas LO'!F113</f>
        <v>11AA</v>
      </c>
      <c r="G113" s="430">
        <f>+'bas LO'!G113</f>
        <v>210</v>
      </c>
      <c r="H113" s="430">
        <f>+'bas LO'!H113</f>
        <v>210</v>
      </c>
      <c r="I113" s="430">
        <f>+'bas LO'!I113</f>
        <v>210</v>
      </c>
      <c r="J113" s="430">
        <f>+'bas LO'!J113</f>
        <v>210</v>
      </c>
      <c r="K113" s="81"/>
      <c r="L113" s="78">
        <f>ROUND(G113*tab!$C$66,2)</f>
        <v>66954.3</v>
      </c>
      <c r="M113" s="78">
        <f>ROUND(H113*tab!$C$66,2)</f>
        <v>66954.3</v>
      </c>
      <c r="N113" s="78">
        <f>ROUND(I113*tab!$C$66,2)</f>
        <v>66954.3</v>
      </c>
      <c r="O113" s="78">
        <f>ROUND(J113*tab!$C$66,2)</f>
        <v>66954.3</v>
      </c>
      <c r="P113" s="81"/>
      <c r="Q113" s="182">
        <v>0</v>
      </c>
      <c r="R113" s="141">
        <f t="shared" ref="R113:T132" si="14">Q113</f>
        <v>0</v>
      </c>
      <c r="S113" s="141">
        <f t="shared" si="14"/>
        <v>0</v>
      </c>
      <c r="T113" s="141">
        <f t="shared" si="14"/>
        <v>0</v>
      </c>
      <c r="U113" s="81"/>
      <c r="V113" s="78">
        <f>+G113*tab!$C$69</f>
        <v>6302.1</v>
      </c>
      <c r="W113" s="78">
        <f>+H113*tab!$D$69</f>
        <v>6434.4000000000005</v>
      </c>
      <c r="X113" s="78">
        <f>+I113*tab!$D$69</f>
        <v>6434.4000000000005</v>
      </c>
      <c r="Y113" s="78">
        <f>+J113*tab!$D$69</f>
        <v>6434.4000000000005</v>
      </c>
      <c r="Z113" s="81"/>
      <c r="AA113" s="77">
        <v>0</v>
      </c>
      <c r="AB113" s="182">
        <f t="shared" si="13"/>
        <v>0</v>
      </c>
      <c r="AC113" s="141">
        <f t="shared" ref="AC113:AD132" si="15">AB113</f>
        <v>0</v>
      </c>
      <c r="AD113" s="141">
        <f t="shared" si="15"/>
        <v>0</v>
      </c>
      <c r="AE113" s="102"/>
      <c r="AF113" s="154"/>
    </row>
    <row r="114" spans="2:32" s="134" customFormat="1" x14ac:dyDescent="0.2">
      <c r="B114" s="153"/>
      <c r="C114" s="174"/>
      <c r="D114" s="60">
        <v>102</v>
      </c>
      <c r="E114" s="429" t="str">
        <f>+'bas LO'!E114</f>
        <v>school 102</v>
      </c>
      <c r="F114" s="429" t="str">
        <f>+'bas LO'!F114</f>
        <v>11AA</v>
      </c>
      <c r="G114" s="430">
        <f>+'bas LO'!G114</f>
        <v>210</v>
      </c>
      <c r="H114" s="430">
        <f>+'bas LO'!H114</f>
        <v>210</v>
      </c>
      <c r="I114" s="430">
        <f>+'bas LO'!I114</f>
        <v>210</v>
      </c>
      <c r="J114" s="430">
        <f>+'bas LO'!J114</f>
        <v>210</v>
      </c>
      <c r="K114" s="81"/>
      <c r="L114" s="78">
        <f>ROUND(G114*tab!$C$66,2)</f>
        <v>66954.3</v>
      </c>
      <c r="M114" s="78">
        <f>ROUND(H114*tab!$C$66,2)</f>
        <v>66954.3</v>
      </c>
      <c r="N114" s="78">
        <f>ROUND(I114*tab!$C$66,2)</f>
        <v>66954.3</v>
      </c>
      <c r="O114" s="78">
        <f>ROUND(J114*tab!$C$66,2)</f>
        <v>66954.3</v>
      </c>
      <c r="P114" s="81"/>
      <c r="Q114" s="182">
        <v>0</v>
      </c>
      <c r="R114" s="141">
        <f t="shared" si="14"/>
        <v>0</v>
      </c>
      <c r="S114" s="141">
        <f t="shared" si="14"/>
        <v>0</v>
      </c>
      <c r="T114" s="141">
        <f t="shared" si="14"/>
        <v>0</v>
      </c>
      <c r="U114" s="81"/>
      <c r="V114" s="78">
        <f>+G114*tab!$C$69</f>
        <v>6302.1</v>
      </c>
      <c r="W114" s="78">
        <f>+H114*tab!$D$69</f>
        <v>6434.4000000000005</v>
      </c>
      <c r="X114" s="78">
        <f>+I114*tab!$D$69</f>
        <v>6434.4000000000005</v>
      </c>
      <c r="Y114" s="78">
        <f>+J114*tab!$D$69</f>
        <v>6434.4000000000005</v>
      </c>
      <c r="Z114" s="81"/>
      <c r="AA114" s="77">
        <v>0</v>
      </c>
      <c r="AB114" s="182">
        <f t="shared" si="13"/>
        <v>0</v>
      </c>
      <c r="AC114" s="141">
        <f t="shared" si="15"/>
        <v>0</v>
      </c>
      <c r="AD114" s="141">
        <f t="shared" si="15"/>
        <v>0</v>
      </c>
      <c r="AE114" s="102"/>
      <c r="AF114" s="154"/>
    </row>
    <row r="115" spans="2:32" s="134" customFormat="1" x14ac:dyDescent="0.2">
      <c r="B115" s="153"/>
      <c r="C115" s="174"/>
      <c r="D115" s="60">
        <v>103</v>
      </c>
      <c r="E115" s="429" t="str">
        <f>+'bas LO'!E115</f>
        <v>school 103</v>
      </c>
      <c r="F115" s="429" t="str">
        <f>+'bas LO'!F115</f>
        <v>11AA</v>
      </c>
      <c r="G115" s="430">
        <f>+'bas LO'!G115</f>
        <v>210</v>
      </c>
      <c r="H115" s="430">
        <f>+'bas LO'!H115</f>
        <v>210</v>
      </c>
      <c r="I115" s="430">
        <f>+'bas LO'!I115</f>
        <v>210</v>
      </c>
      <c r="J115" s="430">
        <f>+'bas LO'!J115</f>
        <v>210</v>
      </c>
      <c r="K115" s="81"/>
      <c r="L115" s="78">
        <f>ROUND(G115*tab!$C$66,2)</f>
        <v>66954.3</v>
      </c>
      <c r="M115" s="78">
        <f>ROUND(H115*tab!$C$66,2)</f>
        <v>66954.3</v>
      </c>
      <c r="N115" s="78">
        <f>ROUND(I115*tab!$C$66,2)</f>
        <v>66954.3</v>
      </c>
      <c r="O115" s="78">
        <f>ROUND(J115*tab!$C$66,2)</f>
        <v>66954.3</v>
      </c>
      <c r="P115" s="81"/>
      <c r="Q115" s="182">
        <v>0</v>
      </c>
      <c r="R115" s="141">
        <f t="shared" si="14"/>
        <v>0</v>
      </c>
      <c r="S115" s="141">
        <f t="shared" si="14"/>
        <v>0</v>
      </c>
      <c r="T115" s="141">
        <f t="shared" si="14"/>
        <v>0</v>
      </c>
      <c r="U115" s="81"/>
      <c r="V115" s="78">
        <f>+G115*tab!$C$69</f>
        <v>6302.1</v>
      </c>
      <c r="W115" s="78">
        <f>+H115*tab!$D$69</f>
        <v>6434.4000000000005</v>
      </c>
      <c r="X115" s="78">
        <f>+I115*tab!$D$69</f>
        <v>6434.4000000000005</v>
      </c>
      <c r="Y115" s="78">
        <f>+J115*tab!$D$69</f>
        <v>6434.4000000000005</v>
      </c>
      <c r="Z115" s="81"/>
      <c r="AA115" s="77">
        <v>0</v>
      </c>
      <c r="AB115" s="182">
        <f t="shared" si="13"/>
        <v>0</v>
      </c>
      <c r="AC115" s="141">
        <f t="shared" si="15"/>
        <v>0</v>
      </c>
      <c r="AD115" s="141">
        <f t="shared" si="15"/>
        <v>0</v>
      </c>
      <c r="AE115" s="102"/>
      <c r="AF115" s="154"/>
    </row>
    <row r="116" spans="2:32" s="134" customFormat="1" x14ac:dyDescent="0.2">
      <c r="B116" s="153"/>
      <c r="C116" s="174"/>
      <c r="D116" s="60">
        <v>104</v>
      </c>
      <c r="E116" s="429" t="str">
        <f>+'bas LO'!E116</f>
        <v>school 104</v>
      </c>
      <c r="F116" s="429" t="str">
        <f>+'bas LO'!F116</f>
        <v>11AA</v>
      </c>
      <c r="G116" s="430">
        <f>+'bas LO'!G116</f>
        <v>210</v>
      </c>
      <c r="H116" s="430">
        <f>+'bas LO'!H116</f>
        <v>210</v>
      </c>
      <c r="I116" s="430">
        <f>+'bas LO'!I116</f>
        <v>210</v>
      </c>
      <c r="J116" s="430">
        <f>+'bas LO'!J116</f>
        <v>210</v>
      </c>
      <c r="K116" s="81"/>
      <c r="L116" s="78">
        <f>ROUND(G116*tab!$C$66,2)</f>
        <v>66954.3</v>
      </c>
      <c r="M116" s="78">
        <f>ROUND(H116*tab!$C$66,2)</f>
        <v>66954.3</v>
      </c>
      <c r="N116" s="78">
        <f>ROUND(I116*tab!$C$66,2)</f>
        <v>66954.3</v>
      </c>
      <c r="O116" s="78">
        <f>ROUND(J116*tab!$C$66,2)</f>
        <v>66954.3</v>
      </c>
      <c r="P116" s="81"/>
      <c r="Q116" s="182">
        <v>0</v>
      </c>
      <c r="R116" s="141">
        <f t="shared" si="14"/>
        <v>0</v>
      </c>
      <c r="S116" s="141">
        <f t="shared" si="14"/>
        <v>0</v>
      </c>
      <c r="T116" s="141">
        <f t="shared" si="14"/>
        <v>0</v>
      </c>
      <c r="U116" s="81"/>
      <c r="V116" s="78">
        <f>+G116*tab!$C$69</f>
        <v>6302.1</v>
      </c>
      <c r="W116" s="78">
        <f>+H116*tab!$D$69</f>
        <v>6434.4000000000005</v>
      </c>
      <c r="X116" s="78">
        <f>+I116*tab!$D$69</f>
        <v>6434.4000000000005</v>
      </c>
      <c r="Y116" s="78">
        <f>+J116*tab!$D$69</f>
        <v>6434.4000000000005</v>
      </c>
      <c r="Z116" s="81"/>
      <c r="AA116" s="77">
        <v>0</v>
      </c>
      <c r="AB116" s="182">
        <f t="shared" si="13"/>
        <v>0</v>
      </c>
      <c r="AC116" s="141">
        <f t="shared" si="15"/>
        <v>0</v>
      </c>
      <c r="AD116" s="141">
        <f t="shared" si="15"/>
        <v>0</v>
      </c>
      <c r="AE116" s="102"/>
      <c r="AF116" s="154"/>
    </row>
    <row r="117" spans="2:32" s="134" customFormat="1" x14ac:dyDescent="0.2">
      <c r="B117" s="153"/>
      <c r="C117" s="174"/>
      <c r="D117" s="60">
        <v>105</v>
      </c>
      <c r="E117" s="429" t="str">
        <f>+'bas LO'!E117</f>
        <v>school 105</v>
      </c>
      <c r="F117" s="429" t="str">
        <f>+'bas LO'!F117</f>
        <v>11AA</v>
      </c>
      <c r="G117" s="430">
        <f>+'bas LO'!G117</f>
        <v>210</v>
      </c>
      <c r="H117" s="430">
        <f>+'bas LO'!H117</f>
        <v>210</v>
      </c>
      <c r="I117" s="430">
        <f>+'bas LO'!I117</f>
        <v>210</v>
      </c>
      <c r="J117" s="430">
        <f>+'bas LO'!J117</f>
        <v>210</v>
      </c>
      <c r="K117" s="81"/>
      <c r="L117" s="78">
        <f>ROUND(G117*tab!$C$66,2)</f>
        <v>66954.3</v>
      </c>
      <c r="M117" s="78">
        <f>ROUND(H117*tab!$C$66,2)</f>
        <v>66954.3</v>
      </c>
      <c r="N117" s="78">
        <f>ROUND(I117*tab!$C$66,2)</f>
        <v>66954.3</v>
      </c>
      <c r="O117" s="78">
        <f>ROUND(J117*tab!$C$66,2)</f>
        <v>66954.3</v>
      </c>
      <c r="P117" s="81"/>
      <c r="Q117" s="182">
        <v>0</v>
      </c>
      <c r="R117" s="141">
        <f t="shared" si="14"/>
        <v>0</v>
      </c>
      <c r="S117" s="141">
        <f t="shared" si="14"/>
        <v>0</v>
      </c>
      <c r="T117" s="141">
        <f t="shared" si="14"/>
        <v>0</v>
      </c>
      <c r="U117" s="81"/>
      <c r="V117" s="78">
        <f>+G117*tab!$C$69</f>
        <v>6302.1</v>
      </c>
      <c r="W117" s="78">
        <f>+H117*tab!$D$69</f>
        <v>6434.4000000000005</v>
      </c>
      <c r="X117" s="78">
        <f>+I117*tab!$D$69</f>
        <v>6434.4000000000005</v>
      </c>
      <c r="Y117" s="78">
        <f>+J117*tab!$D$69</f>
        <v>6434.4000000000005</v>
      </c>
      <c r="Z117" s="81"/>
      <c r="AA117" s="77">
        <v>0</v>
      </c>
      <c r="AB117" s="182">
        <f t="shared" si="13"/>
        <v>0</v>
      </c>
      <c r="AC117" s="141">
        <f t="shared" si="15"/>
        <v>0</v>
      </c>
      <c r="AD117" s="141">
        <f t="shared" si="15"/>
        <v>0</v>
      </c>
      <c r="AE117" s="102"/>
      <c r="AF117" s="154"/>
    </row>
    <row r="118" spans="2:32" s="134" customFormat="1" x14ac:dyDescent="0.2">
      <c r="B118" s="153"/>
      <c r="C118" s="174"/>
      <c r="D118" s="60">
        <v>106</v>
      </c>
      <c r="E118" s="429" t="str">
        <f>+'bas LO'!E118</f>
        <v>school 106</v>
      </c>
      <c r="F118" s="429" t="str">
        <f>+'bas LO'!F118</f>
        <v>11AA</v>
      </c>
      <c r="G118" s="430">
        <f>+'bas LO'!G118</f>
        <v>210</v>
      </c>
      <c r="H118" s="430">
        <f>+'bas LO'!H118</f>
        <v>210</v>
      </c>
      <c r="I118" s="430">
        <f>+'bas LO'!I118</f>
        <v>210</v>
      </c>
      <c r="J118" s="430">
        <f>+'bas LO'!J118</f>
        <v>210</v>
      </c>
      <c r="K118" s="81"/>
      <c r="L118" s="78">
        <f>ROUND(G118*tab!$C$66,2)</f>
        <v>66954.3</v>
      </c>
      <c r="M118" s="78">
        <f>ROUND(H118*tab!$C$66,2)</f>
        <v>66954.3</v>
      </c>
      <c r="N118" s="78">
        <f>ROUND(I118*tab!$C$66,2)</f>
        <v>66954.3</v>
      </c>
      <c r="O118" s="78">
        <f>ROUND(J118*tab!$C$66,2)</f>
        <v>66954.3</v>
      </c>
      <c r="P118" s="81"/>
      <c r="Q118" s="182">
        <v>0</v>
      </c>
      <c r="R118" s="141">
        <f t="shared" si="14"/>
        <v>0</v>
      </c>
      <c r="S118" s="141">
        <f t="shared" si="14"/>
        <v>0</v>
      </c>
      <c r="T118" s="141">
        <f t="shared" si="14"/>
        <v>0</v>
      </c>
      <c r="U118" s="81"/>
      <c r="V118" s="78">
        <f>+G118*tab!$C$69</f>
        <v>6302.1</v>
      </c>
      <c r="W118" s="78">
        <f>+H118*tab!$D$69</f>
        <v>6434.4000000000005</v>
      </c>
      <c r="X118" s="78">
        <f>+I118*tab!$D$69</f>
        <v>6434.4000000000005</v>
      </c>
      <c r="Y118" s="78">
        <f>+J118*tab!$D$69</f>
        <v>6434.4000000000005</v>
      </c>
      <c r="Z118" s="81"/>
      <c r="AA118" s="77">
        <v>0</v>
      </c>
      <c r="AB118" s="182">
        <f t="shared" si="13"/>
        <v>0</v>
      </c>
      <c r="AC118" s="141">
        <f t="shared" si="15"/>
        <v>0</v>
      </c>
      <c r="AD118" s="141">
        <f t="shared" si="15"/>
        <v>0</v>
      </c>
      <c r="AE118" s="102"/>
      <c r="AF118" s="154"/>
    </row>
    <row r="119" spans="2:32" s="134" customFormat="1" x14ac:dyDescent="0.2">
      <c r="B119" s="153"/>
      <c r="C119" s="174"/>
      <c r="D119" s="60">
        <v>107</v>
      </c>
      <c r="E119" s="429" t="str">
        <f>+'bas LO'!E119</f>
        <v>school 107</v>
      </c>
      <c r="F119" s="429" t="str">
        <f>+'bas LO'!F119</f>
        <v>11AA</v>
      </c>
      <c r="G119" s="430">
        <f>+'bas LO'!G119</f>
        <v>210</v>
      </c>
      <c r="H119" s="430">
        <f>+'bas LO'!H119</f>
        <v>210</v>
      </c>
      <c r="I119" s="430">
        <f>+'bas LO'!I119</f>
        <v>210</v>
      </c>
      <c r="J119" s="430">
        <f>+'bas LO'!J119</f>
        <v>210</v>
      </c>
      <c r="K119" s="81"/>
      <c r="L119" s="78">
        <f>ROUND(G119*tab!$C$66,2)</f>
        <v>66954.3</v>
      </c>
      <c r="M119" s="78">
        <f>ROUND(H119*tab!$C$66,2)</f>
        <v>66954.3</v>
      </c>
      <c r="N119" s="78">
        <f>ROUND(I119*tab!$C$66,2)</f>
        <v>66954.3</v>
      </c>
      <c r="O119" s="78">
        <f>ROUND(J119*tab!$C$66,2)</f>
        <v>66954.3</v>
      </c>
      <c r="P119" s="81"/>
      <c r="Q119" s="182">
        <v>0</v>
      </c>
      <c r="R119" s="141">
        <f t="shared" si="14"/>
        <v>0</v>
      </c>
      <c r="S119" s="141">
        <f t="shared" si="14"/>
        <v>0</v>
      </c>
      <c r="T119" s="141">
        <f t="shared" si="14"/>
        <v>0</v>
      </c>
      <c r="U119" s="81"/>
      <c r="V119" s="78">
        <f>+G119*tab!$C$69</f>
        <v>6302.1</v>
      </c>
      <c r="W119" s="78">
        <f>+H119*tab!$D$69</f>
        <v>6434.4000000000005</v>
      </c>
      <c r="X119" s="78">
        <f>+I119*tab!$D$69</f>
        <v>6434.4000000000005</v>
      </c>
      <c r="Y119" s="78">
        <f>+J119*tab!$D$69</f>
        <v>6434.4000000000005</v>
      </c>
      <c r="Z119" s="81"/>
      <c r="AA119" s="77">
        <v>0</v>
      </c>
      <c r="AB119" s="182">
        <f t="shared" si="13"/>
        <v>0</v>
      </c>
      <c r="AC119" s="141">
        <f t="shared" si="15"/>
        <v>0</v>
      </c>
      <c r="AD119" s="141">
        <f t="shared" si="15"/>
        <v>0</v>
      </c>
      <c r="AE119" s="102"/>
      <c r="AF119" s="154"/>
    </row>
    <row r="120" spans="2:32" s="134" customFormat="1" x14ac:dyDescent="0.2">
      <c r="B120" s="153"/>
      <c r="C120" s="174"/>
      <c r="D120" s="60">
        <v>108</v>
      </c>
      <c r="E120" s="429" t="str">
        <f>+'bas LO'!E120</f>
        <v>school 108</v>
      </c>
      <c r="F120" s="429" t="str">
        <f>+'bas LO'!F120</f>
        <v>11AA</v>
      </c>
      <c r="G120" s="430">
        <f>+'bas LO'!G120</f>
        <v>210</v>
      </c>
      <c r="H120" s="430">
        <f>+'bas LO'!H120</f>
        <v>210</v>
      </c>
      <c r="I120" s="430">
        <f>+'bas LO'!I120</f>
        <v>210</v>
      </c>
      <c r="J120" s="430">
        <f>+'bas LO'!J120</f>
        <v>210</v>
      </c>
      <c r="K120" s="81"/>
      <c r="L120" s="78">
        <f>ROUND(G120*tab!$C$66,2)</f>
        <v>66954.3</v>
      </c>
      <c r="M120" s="78">
        <f>ROUND(H120*tab!$C$66,2)</f>
        <v>66954.3</v>
      </c>
      <c r="N120" s="78">
        <f>ROUND(I120*tab!$C$66,2)</f>
        <v>66954.3</v>
      </c>
      <c r="O120" s="78">
        <f>ROUND(J120*tab!$C$66,2)</f>
        <v>66954.3</v>
      </c>
      <c r="P120" s="81"/>
      <c r="Q120" s="182">
        <v>0</v>
      </c>
      <c r="R120" s="141">
        <f t="shared" si="14"/>
        <v>0</v>
      </c>
      <c r="S120" s="141">
        <f t="shared" si="14"/>
        <v>0</v>
      </c>
      <c r="T120" s="141">
        <f t="shared" si="14"/>
        <v>0</v>
      </c>
      <c r="U120" s="81"/>
      <c r="V120" s="78">
        <f>+G120*tab!$C$69</f>
        <v>6302.1</v>
      </c>
      <c r="W120" s="78">
        <f>+H120*tab!$D$69</f>
        <v>6434.4000000000005</v>
      </c>
      <c r="X120" s="78">
        <f>+I120*tab!$D$69</f>
        <v>6434.4000000000005</v>
      </c>
      <c r="Y120" s="78">
        <f>+J120*tab!$D$69</f>
        <v>6434.4000000000005</v>
      </c>
      <c r="Z120" s="81"/>
      <c r="AA120" s="77">
        <v>0</v>
      </c>
      <c r="AB120" s="182">
        <f t="shared" si="13"/>
        <v>0</v>
      </c>
      <c r="AC120" s="141">
        <f t="shared" si="15"/>
        <v>0</v>
      </c>
      <c r="AD120" s="141">
        <f t="shared" si="15"/>
        <v>0</v>
      </c>
      <c r="AE120" s="102"/>
      <c r="AF120" s="154"/>
    </row>
    <row r="121" spans="2:32" s="134" customFormat="1" x14ac:dyDescent="0.2">
      <c r="B121" s="153"/>
      <c r="C121" s="174"/>
      <c r="D121" s="60">
        <v>109</v>
      </c>
      <c r="E121" s="429" t="str">
        <f>+'bas LO'!E121</f>
        <v>school 109</v>
      </c>
      <c r="F121" s="429" t="str">
        <f>+'bas LO'!F121</f>
        <v>11AA</v>
      </c>
      <c r="G121" s="430">
        <f>+'bas LO'!G121</f>
        <v>210</v>
      </c>
      <c r="H121" s="430">
        <f>+'bas LO'!H121</f>
        <v>210</v>
      </c>
      <c r="I121" s="430">
        <f>+'bas LO'!I121</f>
        <v>210</v>
      </c>
      <c r="J121" s="430">
        <f>+'bas LO'!J121</f>
        <v>210</v>
      </c>
      <c r="K121" s="81"/>
      <c r="L121" s="78">
        <f>ROUND(G121*tab!$C$66,2)</f>
        <v>66954.3</v>
      </c>
      <c r="M121" s="78">
        <f>ROUND(H121*tab!$C$66,2)</f>
        <v>66954.3</v>
      </c>
      <c r="N121" s="78">
        <f>ROUND(I121*tab!$C$66,2)</f>
        <v>66954.3</v>
      </c>
      <c r="O121" s="78">
        <f>ROUND(J121*tab!$C$66,2)</f>
        <v>66954.3</v>
      </c>
      <c r="P121" s="81"/>
      <c r="Q121" s="182">
        <v>0</v>
      </c>
      <c r="R121" s="141">
        <f t="shared" si="14"/>
        <v>0</v>
      </c>
      <c r="S121" s="141">
        <f t="shared" si="14"/>
        <v>0</v>
      </c>
      <c r="T121" s="141">
        <f t="shared" si="14"/>
        <v>0</v>
      </c>
      <c r="U121" s="81"/>
      <c r="V121" s="78">
        <f>+G121*tab!$C$69</f>
        <v>6302.1</v>
      </c>
      <c r="W121" s="78">
        <f>+H121*tab!$D$69</f>
        <v>6434.4000000000005</v>
      </c>
      <c r="X121" s="78">
        <f>+I121*tab!$D$69</f>
        <v>6434.4000000000005</v>
      </c>
      <c r="Y121" s="78">
        <f>+J121*tab!$D$69</f>
        <v>6434.4000000000005</v>
      </c>
      <c r="Z121" s="81"/>
      <c r="AA121" s="77">
        <v>0</v>
      </c>
      <c r="AB121" s="182">
        <f t="shared" si="13"/>
        <v>0</v>
      </c>
      <c r="AC121" s="141">
        <f t="shared" si="15"/>
        <v>0</v>
      </c>
      <c r="AD121" s="141">
        <f t="shared" si="15"/>
        <v>0</v>
      </c>
      <c r="AE121" s="102"/>
      <c r="AF121" s="154"/>
    </row>
    <row r="122" spans="2:32" s="134" customFormat="1" x14ac:dyDescent="0.2">
      <c r="B122" s="153"/>
      <c r="C122" s="174"/>
      <c r="D122" s="60">
        <v>110</v>
      </c>
      <c r="E122" s="429" t="str">
        <f>+'bas LO'!E122</f>
        <v>school 110</v>
      </c>
      <c r="F122" s="429" t="str">
        <f>+'bas LO'!F122</f>
        <v>11AA</v>
      </c>
      <c r="G122" s="430">
        <f>+'bas LO'!G122</f>
        <v>210</v>
      </c>
      <c r="H122" s="430">
        <f>+'bas LO'!H122</f>
        <v>210</v>
      </c>
      <c r="I122" s="430">
        <f>+'bas LO'!I122</f>
        <v>210</v>
      </c>
      <c r="J122" s="430">
        <f>+'bas LO'!J122</f>
        <v>210</v>
      </c>
      <c r="K122" s="81"/>
      <c r="L122" s="78">
        <f>ROUND(G122*tab!$C$66,2)</f>
        <v>66954.3</v>
      </c>
      <c r="M122" s="78">
        <f>ROUND(H122*tab!$C$66,2)</f>
        <v>66954.3</v>
      </c>
      <c r="N122" s="78">
        <f>ROUND(I122*tab!$C$66,2)</f>
        <v>66954.3</v>
      </c>
      <c r="O122" s="78">
        <f>ROUND(J122*tab!$C$66,2)</f>
        <v>66954.3</v>
      </c>
      <c r="P122" s="81"/>
      <c r="Q122" s="182">
        <v>0</v>
      </c>
      <c r="R122" s="141">
        <f t="shared" si="14"/>
        <v>0</v>
      </c>
      <c r="S122" s="141">
        <f t="shared" si="14"/>
        <v>0</v>
      </c>
      <c r="T122" s="141">
        <f t="shared" si="14"/>
        <v>0</v>
      </c>
      <c r="U122" s="81"/>
      <c r="V122" s="78">
        <f>+G122*tab!$C$69</f>
        <v>6302.1</v>
      </c>
      <c r="W122" s="78">
        <f>+H122*tab!$D$69</f>
        <v>6434.4000000000005</v>
      </c>
      <c r="X122" s="78">
        <f>+I122*tab!$D$69</f>
        <v>6434.4000000000005</v>
      </c>
      <c r="Y122" s="78">
        <f>+J122*tab!$D$69</f>
        <v>6434.4000000000005</v>
      </c>
      <c r="Z122" s="81"/>
      <c r="AA122" s="77">
        <v>0</v>
      </c>
      <c r="AB122" s="182">
        <f t="shared" si="13"/>
        <v>0</v>
      </c>
      <c r="AC122" s="141">
        <f t="shared" si="15"/>
        <v>0</v>
      </c>
      <c r="AD122" s="141">
        <f t="shared" si="15"/>
        <v>0</v>
      </c>
      <c r="AE122" s="102"/>
      <c r="AF122" s="154"/>
    </row>
    <row r="123" spans="2:32" s="134" customFormat="1" x14ac:dyDescent="0.2">
      <c r="B123" s="153"/>
      <c r="C123" s="174"/>
      <c r="D123" s="60">
        <v>111</v>
      </c>
      <c r="E123" s="429" t="str">
        <f>+'bas LO'!E123</f>
        <v>school 111</v>
      </c>
      <c r="F123" s="429" t="str">
        <f>+'bas LO'!F123</f>
        <v>11AA</v>
      </c>
      <c r="G123" s="430">
        <f>+'bas LO'!G123</f>
        <v>210</v>
      </c>
      <c r="H123" s="430">
        <f>+'bas LO'!H123</f>
        <v>210</v>
      </c>
      <c r="I123" s="430">
        <f>+'bas LO'!I123</f>
        <v>210</v>
      </c>
      <c r="J123" s="430">
        <f>+'bas LO'!J123</f>
        <v>210</v>
      </c>
      <c r="K123" s="81"/>
      <c r="L123" s="78">
        <f>ROUND(G123*tab!$C$66,2)</f>
        <v>66954.3</v>
      </c>
      <c r="M123" s="78">
        <f>ROUND(H123*tab!$C$66,2)</f>
        <v>66954.3</v>
      </c>
      <c r="N123" s="78">
        <f>ROUND(I123*tab!$C$66,2)</f>
        <v>66954.3</v>
      </c>
      <c r="O123" s="78">
        <f>ROUND(J123*tab!$C$66,2)</f>
        <v>66954.3</v>
      </c>
      <c r="P123" s="81"/>
      <c r="Q123" s="182">
        <v>0</v>
      </c>
      <c r="R123" s="141">
        <f t="shared" si="14"/>
        <v>0</v>
      </c>
      <c r="S123" s="141">
        <f t="shared" si="14"/>
        <v>0</v>
      </c>
      <c r="T123" s="141">
        <f t="shared" si="14"/>
        <v>0</v>
      </c>
      <c r="U123" s="81"/>
      <c r="V123" s="78">
        <f>+G123*tab!$C$69</f>
        <v>6302.1</v>
      </c>
      <c r="W123" s="78">
        <f>+H123*tab!$D$69</f>
        <v>6434.4000000000005</v>
      </c>
      <c r="X123" s="78">
        <f>+I123*tab!$D$69</f>
        <v>6434.4000000000005</v>
      </c>
      <c r="Y123" s="78">
        <f>+J123*tab!$D$69</f>
        <v>6434.4000000000005</v>
      </c>
      <c r="Z123" s="81"/>
      <c r="AA123" s="77">
        <v>0</v>
      </c>
      <c r="AB123" s="182">
        <f t="shared" si="13"/>
        <v>0</v>
      </c>
      <c r="AC123" s="141">
        <f t="shared" si="15"/>
        <v>0</v>
      </c>
      <c r="AD123" s="141">
        <f t="shared" si="15"/>
        <v>0</v>
      </c>
      <c r="AE123" s="102"/>
      <c r="AF123" s="154"/>
    </row>
    <row r="124" spans="2:32" s="134" customFormat="1" x14ac:dyDescent="0.2">
      <c r="B124" s="153"/>
      <c r="C124" s="174"/>
      <c r="D124" s="60">
        <v>112</v>
      </c>
      <c r="E124" s="429" t="str">
        <f>+'bas LO'!E124</f>
        <v>school 112</v>
      </c>
      <c r="F124" s="429" t="str">
        <f>+'bas LO'!F124</f>
        <v>11AA</v>
      </c>
      <c r="G124" s="430">
        <f>+'bas LO'!G124</f>
        <v>210</v>
      </c>
      <c r="H124" s="430">
        <f>+'bas LO'!H124</f>
        <v>210</v>
      </c>
      <c r="I124" s="430">
        <f>+'bas LO'!I124</f>
        <v>210</v>
      </c>
      <c r="J124" s="430">
        <f>+'bas LO'!J124</f>
        <v>210</v>
      </c>
      <c r="K124" s="81"/>
      <c r="L124" s="78">
        <f>ROUND(G124*tab!$C$66,2)</f>
        <v>66954.3</v>
      </c>
      <c r="M124" s="78">
        <f>ROUND(H124*tab!$C$66,2)</f>
        <v>66954.3</v>
      </c>
      <c r="N124" s="78">
        <f>ROUND(I124*tab!$C$66,2)</f>
        <v>66954.3</v>
      </c>
      <c r="O124" s="78">
        <f>ROUND(J124*tab!$C$66,2)</f>
        <v>66954.3</v>
      </c>
      <c r="P124" s="81"/>
      <c r="Q124" s="182">
        <v>0</v>
      </c>
      <c r="R124" s="141">
        <f t="shared" si="14"/>
        <v>0</v>
      </c>
      <c r="S124" s="141">
        <f t="shared" si="14"/>
        <v>0</v>
      </c>
      <c r="T124" s="141">
        <f t="shared" si="14"/>
        <v>0</v>
      </c>
      <c r="U124" s="81"/>
      <c r="V124" s="78">
        <f>+G124*tab!$C$69</f>
        <v>6302.1</v>
      </c>
      <c r="W124" s="78">
        <f>+H124*tab!$D$69</f>
        <v>6434.4000000000005</v>
      </c>
      <c r="X124" s="78">
        <f>+I124*tab!$D$69</f>
        <v>6434.4000000000005</v>
      </c>
      <c r="Y124" s="78">
        <f>+J124*tab!$D$69</f>
        <v>6434.4000000000005</v>
      </c>
      <c r="Z124" s="81"/>
      <c r="AA124" s="77">
        <v>0</v>
      </c>
      <c r="AB124" s="182">
        <f t="shared" si="13"/>
        <v>0</v>
      </c>
      <c r="AC124" s="141">
        <f t="shared" si="15"/>
        <v>0</v>
      </c>
      <c r="AD124" s="141">
        <f t="shared" si="15"/>
        <v>0</v>
      </c>
      <c r="AE124" s="102"/>
      <c r="AF124" s="154"/>
    </row>
    <row r="125" spans="2:32" s="134" customFormat="1" x14ac:dyDescent="0.2">
      <c r="B125" s="153"/>
      <c r="C125" s="174"/>
      <c r="D125" s="60">
        <v>113</v>
      </c>
      <c r="E125" s="429" t="str">
        <f>+'bas LO'!E125</f>
        <v>school 113</v>
      </c>
      <c r="F125" s="429" t="str">
        <f>+'bas LO'!F125</f>
        <v>11AA</v>
      </c>
      <c r="G125" s="430">
        <f>+'bas LO'!G125</f>
        <v>210</v>
      </c>
      <c r="H125" s="430">
        <f>+'bas LO'!H125</f>
        <v>210</v>
      </c>
      <c r="I125" s="430">
        <f>+'bas LO'!I125</f>
        <v>210</v>
      </c>
      <c r="J125" s="430">
        <f>+'bas LO'!J125</f>
        <v>210</v>
      </c>
      <c r="K125" s="81"/>
      <c r="L125" s="78">
        <f>ROUND(G125*tab!$C$66,2)</f>
        <v>66954.3</v>
      </c>
      <c r="M125" s="78">
        <f>ROUND(H125*tab!$C$66,2)</f>
        <v>66954.3</v>
      </c>
      <c r="N125" s="78">
        <f>ROUND(I125*tab!$C$66,2)</f>
        <v>66954.3</v>
      </c>
      <c r="O125" s="78">
        <f>ROUND(J125*tab!$C$66,2)</f>
        <v>66954.3</v>
      </c>
      <c r="P125" s="81"/>
      <c r="Q125" s="182">
        <v>0</v>
      </c>
      <c r="R125" s="141">
        <f t="shared" si="14"/>
        <v>0</v>
      </c>
      <c r="S125" s="141">
        <f t="shared" si="14"/>
        <v>0</v>
      </c>
      <c r="T125" s="141">
        <f t="shared" si="14"/>
        <v>0</v>
      </c>
      <c r="U125" s="81"/>
      <c r="V125" s="78">
        <f>+G125*tab!$C$69</f>
        <v>6302.1</v>
      </c>
      <c r="W125" s="78">
        <f>+H125*tab!$D$69</f>
        <v>6434.4000000000005</v>
      </c>
      <c r="X125" s="78">
        <f>+I125*tab!$D$69</f>
        <v>6434.4000000000005</v>
      </c>
      <c r="Y125" s="78">
        <f>+J125*tab!$D$69</f>
        <v>6434.4000000000005</v>
      </c>
      <c r="Z125" s="81"/>
      <c r="AA125" s="77">
        <v>0</v>
      </c>
      <c r="AB125" s="182">
        <f t="shared" si="13"/>
        <v>0</v>
      </c>
      <c r="AC125" s="141">
        <f t="shared" si="15"/>
        <v>0</v>
      </c>
      <c r="AD125" s="141">
        <f t="shared" si="15"/>
        <v>0</v>
      </c>
      <c r="AE125" s="102"/>
      <c r="AF125" s="154"/>
    </row>
    <row r="126" spans="2:32" s="134" customFormat="1" x14ac:dyDescent="0.2">
      <c r="B126" s="153"/>
      <c r="C126" s="174"/>
      <c r="D126" s="60">
        <v>114</v>
      </c>
      <c r="E126" s="429" t="str">
        <f>+'bas LO'!E126</f>
        <v>school 114</v>
      </c>
      <c r="F126" s="429" t="str">
        <f>+'bas LO'!F126</f>
        <v>11AA</v>
      </c>
      <c r="G126" s="430">
        <f>+'bas LO'!G126</f>
        <v>210</v>
      </c>
      <c r="H126" s="430">
        <f>+'bas LO'!H126</f>
        <v>210</v>
      </c>
      <c r="I126" s="430">
        <f>+'bas LO'!I126</f>
        <v>210</v>
      </c>
      <c r="J126" s="430">
        <f>+'bas LO'!J126</f>
        <v>210</v>
      </c>
      <c r="K126" s="81"/>
      <c r="L126" s="78">
        <f>ROUND(G126*tab!$C$66,2)</f>
        <v>66954.3</v>
      </c>
      <c r="M126" s="78">
        <f>ROUND(H126*tab!$C$66,2)</f>
        <v>66954.3</v>
      </c>
      <c r="N126" s="78">
        <f>ROUND(I126*tab!$C$66,2)</f>
        <v>66954.3</v>
      </c>
      <c r="O126" s="78">
        <f>ROUND(J126*tab!$C$66,2)</f>
        <v>66954.3</v>
      </c>
      <c r="P126" s="81"/>
      <c r="Q126" s="182">
        <v>0</v>
      </c>
      <c r="R126" s="141">
        <f t="shared" si="14"/>
        <v>0</v>
      </c>
      <c r="S126" s="141">
        <f t="shared" si="14"/>
        <v>0</v>
      </c>
      <c r="T126" s="141">
        <f t="shared" si="14"/>
        <v>0</v>
      </c>
      <c r="U126" s="81"/>
      <c r="V126" s="78">
        <f>+G126*tab!$C$69</f>
        <v>6302.1</v>
      </c>
      <c r="W126" s="78">
        <f>+H126*tab!$D$69</f>
        <v>6434.4000000000005</v>
      </c>
      <c r="X126" s="78">
        <f>+I126*tab!$D$69</f>
        <v>6434.4000000000005</v>
      </c>
      <c r="Y126" s="78">
        <f>+J126*tab!$D$69</f>
        <v>6434.4000000000005</v>
      </c>
      <c r="Z126" s="81"/>
      <c r="AA126" s="77">
        <v>0</v>
      </c>
      <c r="AB126" s="182">
        <f t="shared" si="13"/>
        <v>0</v>
      </c>
      <c r="AC126" s="141">
        <f t="shared" si="15"/>
        <v>0</v>
      </c>
      <c r="AD126" s="141">
        <f t="shared" si="15"/>
        <v>0</v>
      </c>
      <c r="AE126" s="102"/>
      <c r="AF126" s="154"/>
    </row>
    <row r="127" spans="2:32" s="134" customFormat="1" x14ac:dyDescent="0.2">
      <c r="B127" s="153"/>
      <c r="C127" s="174"/>
      <c r="D127" s="60">
        <v>115</v>
      </c>
      <c r="E127" s="429" t="str">
        <f>+'bas LO'!E127</f>
        <v>school 115</v>
      </c>
      <c r="F127" s="429" t="str">
        <f>+'bas LO'!F127</f>
        <v>11AA</v>
      </c>
      <c r="G127" s="430">
        <f>+'bas LO'!G127</f>
        <v>210</v>
      </c>
      <c r="H127" s="430">
        <f>+'bas LO'!H127</f>
        <v>210</v>
      </c>
      <c r="I127" s="430">
        <f>+'bas LO'!I127</f>
        <v>210</v>
      </c>
      <c r="J127" s="430">
        <f>+'bas LO'!J127</f>
        <v>210</v>
      </c>
      <c r="K127" s="81"/>
      <c r="L127" s="78">
        <f>ROUND(G127*tab!$C$66,2)</f>
        <v>66954.3</v>
      </c>
      <c r="M127" s="78">
        <f>ROUND(H127*tab!$C$66,2)</f>
        <v>66954.3</v>
      </c>
      <c r="N127" s="78">
        <f>ROUND(I127*tab!$C$66,2)</f>
        <v>66954.3</v>
      </c>
      <c r="O127" s="78">
        <f>ROUND(J127*tab!$C$66,2)</f>
        <v>66954.3</v>
      </c>
      <c r="P127" s="81"/>
      <c r="Q127" s="182">
        <v>0</v>
      </c>
      <c r="R127" s="141">
        <f t="shared" si="14"/>
        <v>0</v>
      </c>
      <c r="S127" s="141">
        <f t="shared" si="14"/>
        <v>0</v>
      </c>
      <c r="T127" s="141">
        <f t="shared" si="14"/>
        <v>0</v>
      </c>
      <c r="U127" s="81"/>
      <c r="V127" s="78">
        <f>+G127*tab!$C$69</f>
        <v>6302.1</v>
      </c>
      <c r="W127" s="78">
        <f>+H127*tab!$D$69</f>
        <v>6434.4000000000005</v>
      </c>
      <c r="X127" s="78">
        <f>+I127*tab!$D$69</f>
        <v>6434.4000000000005</v>
      </c>
      <c r="Y127" s="78">
        <f>+J127*tab!$D$69</f>
        <v>6434.4000000000005</v>
      </c>
      <c r="Z127" s="81"/>
      <c r="AA127" s="77">
        <v>0</v>
      </c>
      <c r="AB127" s="182">
        <f t="shared" si="13"/>
        <v>0</v>
      </c>
      <c r="AC127" s="141">
        <f t="shared" si="15"/>
        <v>0</v>
      </c>
      <c r="AD127" s="141">
        <f t="shared" si="15"/>
        <v>0</v>
      </c>
      <c r="AE127" s="102"/>
      <c r="AF127" s="154"/>
    </row>
    <row r="128" spans="2:32" s="134" customFormat="1" x14ac:dyDescent="0.2">
      <c r="B128" s="153"/>
      <c r="C128" s="174"/>
      <c r="D128" s="60">
        <v>116</v>
      </c>
      <c r="E128" s="429" t="str">
        <f>+'bas LO'!E128</f>
        <v>school 116</v>
      </c>
      <c r="F128" s="429" t="str">
        <f>+'bas LO'!F128</f>
        <v>11AA</v>
      </c>
      <c r="G128" s="430">
        <f>+'bas LO'!G128</f>
        <v>210</v>
      </c>
      <c r="H128" s="430">
        <f>+'bas LO'!H128</f>
        <v>210</v>
      </c>
      <c r="I128" s="430">
        <f>+'bas LO'!I128</f>
        <v>210</v>
      </c>
      <c r="J128" s="430">
        <f>+'bas LO'!J128</f>
        <v>210</v>
      </c>
      <c r="K128" s="81"/>
      <c r="L128" s="78">
        <f>ROUND(G128*tab!$C$66,2)</f>
        <v>66954.3</v>
      </c>
      <c r="M128" s="78">
        <f>ROUND(H128*tab!$C$66,2)</f>
        <v>66954.3</v>
      </c>
      <c r="N128" s="78">
        <f>ROUND(I128*tab!$C$66,2)</f>
        <v>66954.3</v>
      </c>
      <c r="O128" s="78">
        <f>ROUND(J128*tab!$C$66,2)</f>
        <v>66954.3</v>
      </c>
      <c r="P128" s="81"/>
      <c r="Q128" s="182">
        <v>0</v>
      </c>
      <c r="R128" s="141">
        <f t="shared" si="14"/>
        <v>0</v>
      </c>
      <c r="S128" s="141">
        <f t="shared" si="14"/>
        <v>0</v>
      </c>
      <c r="T128" s="141">
        <f t="shared" si="14"/>
        <v>0</v>
      </c>
      <c r="U128" s="81"/>
      <c r="V128" s="78">
        <f>+G128*tab!$C$69</f>
        <v>6302.1</v>
      </c>
      <c r="W128" s="78">
        <f>+H128*tab!$D$69</f>
        <v>6434.4000000000005</v>
      </c>
      <c r="X128" s="78">
        <f>+I128*tab!$D$69</f>
        <v>6434.4000000000005</v>
      </c>
      <c r="Y128" s="78">
        <f>+J128*tab!$D$69</f>
        <v>6434.4000000000005</v>
      </c>
      <c r="Z128" s="81"/>
      <c r="AA128" s="77">
        <v>0</v>
      </c>
      <c r="AB128" s="182">
        <f t="shared" si="13"/>
        <v>0</v>
      </c>
      <c r="AC128" s="141">
        <f t="shared" si="15"/>
        <v>0</v>
      </c>
      <c r="AD128" s="141">
        <f t="shared" si="15"/>
        <v>0</v>
      </c>
      <c r="AE128" s="102"/>
      <c r="AF128" s="154"/>
    </row>
    <row r="129" spans="2:32" s="134" customFormat="1" x14ac:dyDescent="0.2">
      <c r="B129" s="153"/>
      <c r="C129" s="174"/>
      <c r="D129" s="60">
        <v>117</v>
      </c>
      <c r="E129" s="429" t="str">
        <f>+'bas LO'!E129</f>
        <v>school 117</v>
      </c>
      <c r="F129" s="429" t="str">
        <f>+'bas LO'!F129</f>
        <v>11AA</v>
      </c>
      <c r="G129" s="430">
        <f>+'bas LO'!G129</f>
        <v>210</v>
      </c>
      <c r="H129" s="430">
        <f>+'bas LO'!H129</f>
        <v>210</v>
      </c>
      <c r="I129" s="430">
        <f>+'bas LO'!I129</f>
        <v>210</v>
      </c>
      <c r="J129" s="430">
        <f>+'bas LO'!J129</f>
        <v>210</v>
      </c>
      <c r="K129" s="81"/>
      <c r="L129" s="78">
        <f>ROUND(G129*tab!$C$66,2)</f>
        <v>66954.3</v>
      </c>
      <c r="M129" s="78">
        <f>ROUND(H129*tab!$C$66,2)</f>
        <v>66954.3</v>
      </c>
      <c r="N129" s="78">
        <f>ROUND(I129*tab!$C$66,2)</f>
        <v>66954.3</v>
      </c>
      <c r="O129" s="78">
        <f>ROUND(J129*tab!$C$66,2)</f>
        <v>66954.3</v>
      </c>
      <c r="P129" s="81"/>
      <c r="Q129" s="182">
        <v>0</v>
      </c>
      <c r="R129" s="141">
        <f t="shared" si="14"/>
        <v>0</v>
      </c>
      <c r="S129" s="141">
        <f t="shared" si="14"/>
        <v>0</v>
      </c>
      <c r="T129" s="141">
        <f t="shared" si="14"/>
        <v>0</v>
      </c>
      <c r="U129" s="81"/>
      <c r="V129" s="78">
        <f>+G129*tab!$C$69</f>
        <v>6302.1</v>
      </c>
      <c r="W129" s="78">
        <f>+H129*tab!$D$69</f>
        <v>6434.4000000000005</v>
      </c>
      <c r="X129" s="78">
        <f>+I129*tab!$D$69</f>
        <v>6434.4000000000005</v>
      </c>
      <c r="Y129" s="78">
        <f>+J129*tab!$D$69</f>
        <v>6434.4000000000005</v>
      </c>
      <c r="Z129" s="81"/>
      <c r="AA129" s="77">
        <v>0</v>
      </c>
      <c r="AB129" s="182">
        <f t="shared" si="13"/>
        <v>0</v>
      </c>
      <c r="AC129" s="141">
        <f t="shared" si="15"/>
        <v>0</v>
      </c>
      <c r="AD129" s="141">
        <f t="shared" si="15"/>
        <v>0</v>
      </c>
      <c r="AE129" s="102"/>
      <c r="AF129" s="154"/>
    </row>
    <row r="130" spans="2:32" s="134" customFormat="1" x14ac:dyDescent="0.2">
      <c r="B130" s="153"/>
      <c r="C130" s="174"/>
      <c r="D130" s="60">
        <v>118</v>
      </c>
      <c r="E130" s="429" t="str">
        <f>+'bas LO'!E130</f>
        <v>school 118</v>
      </c>
      <c r="F130" s="429" t="str">
        <f>+'bas LO'!F130</f>
        <v>11AA</v>
      </c>
      <c r="G130" s="430">
        <f>+'bas LO'!G130</f>
        <v>210</v>
      </c>
      <c r="H130" s="430">
        <f>+'bas LO'!H130</f>
        <v>210</v>
      </c>
      <c r="I130" s="430">
        <f>+'bas LO'!I130</f>
        <v>210</v>
      </c>
      <c r="J130" s="430">
        <f>+'bas LO'!J130</f>
        <v>210</v>
      </c>
      <c r="K130" s="81"/>
      <c r="L130" s="78">
        <f>ROUND(G130*tab!$C$66,2)</f>
        <v>66954.3</v>
      </c>
      <c r="M130" s="78">
        <f>ROUND(H130*tab!$C$66,2)</f>
        <v>66954.3</v>
      </c>
      <c r="N130" s="78">
        <f>ROUND(I130*tab!$C$66,2)</f>
        <v>66954.3</v>
      </c>
      <c r="O130" s="78">
        <f>ROUND(J130*tab!$C$66,2)</f>
        <v>66954.3</v>
      </c>
      <c r="P130" s="81"/>
      <c r="Q130" s="182">
        <v>0</v>
      </c>
      <c r="R130" s="141">
        <f t="shared" si="14"/>
        <v>0</v>
      </c>
      <c r="S130" s="141">
        <f t="shared" si="14"/>
        <v>0</v>
      </c>
      <c r="T130" s="141">
        <f t="shared" si="14"/>
        <v>0</v>
      </c>
      <c r="U130" s="81"/>
      <c r="V130" s="78">
        <f>+G130*tab!$C$69</f>
        <v>6302.1</v>
      </c>
      <c r="W130" s="78">
        <f>+H130*tab!$D$69</f>
        <v>6434.4000000000005</v>
      </c>
      <c r="X130" s="78">
        <f>+I130*tab!$D$69</f>
        <v>6434.4000000000005</v>
      </c>
      <c r="Y130" s="78">
        <f>+J130*tab!$D$69</f>
        <v>6434.4000000000005</v>
      </c>
      <c r="Z130" s="81"/>
      <c r="AA130" s="77">
        <v>0</v>
      </c>
      <c r="AB130" s="182">
        <f t="shared" si="13"/>
        <v>0</v>
      </c>
      <c r="AC130" s="141">
        <f t="shared" si="15"/>
        <v>0</v>
      </c>
      <c r="AD130" s="141">
        <f t="shared" si="15"/>
        <v>0</v>
      </c>
      <c r="AE130" s="102"/>
      <c r="AF130" s="154"/>
    </row>
    <row r="131" spans="2:32" s="134" customFormat="1" x14ac:dyDescent="0.2">
      <c r="B131" s="153"/>
      <c r="C131" s="174"/>
      <c r="D131" s="60">
        <v>119</v>
      </c>
      <c r="E131" s="429" t="str">
        <f>+'bas LO'!E131</f>
        <v>school 119</v>
      </c>
      <c r="F131" s="429" t="str">
        <f>+'bas LO'!F131</f>
        <v>11AA</v>
      </c>
      <c r="G131" s="430">
        <f>+'bas LO'!G131</f>
        <v>210</v>
      </c>
      <c r="H131" s="430">
        <f>+'bas LO'!H131</f>
        <v>210</v>
      </c>
      <c r="I131" s="430">
        <f>+'bas LO'!I131</f>
        <v>210</v>
      </c>
      <c r="J131" s="430">
        <f>+'bas LO'!J131</f>
        <v>210</v>
      </c>
      <c r="K131" s="81"/>
      <c r="L131" s="78">
        <f>ROUND(G131*tab!$C$66,2)</f>
        <v>66954.3</v>
      </c>
      <c r="M131" s="78">
        <f>ROUND(H131*tab!$C$66,2)</f>
        <v>66954.3</v>
      </c>
      <c r="N131" s="78">
        <f>ROUND(I131*tab!$C$66,2)</f>
        <v>66954.3</v>
      </c>
      <c r="O131" s="78">
        <f>ROUND(J131*tab!$C$66,2)</f>
        <v>66954.3</v>
      </c>
      <c r="P131" s="81"/>
      <c r="Q131" s="182">
        <v>0</v>
      </c>
      <c r="R131" s="141">
        <f t="shared" si="14"/>
        <v>0</v>
      </c>
      <c r="S131" s="141">
        <f t="shared" si="14"/>
        <v>0</v>
      </c>
      <c r="T131" s="141">
        <f t="shared" si="14"/>
        <v>0</v>
      </c>
      <c r="U131" s="81"/>
      <c r="V131" s="78">
        <f>+G131*tab!$C$69</f>
        <v>6302.1</v>
      </c>
      <c r="W131" s="78">
        <f>+H131*tab!$D$69</f>
        <v>6434.4000000000005</v>
      </c>
      <c r="X131" s="78">
        <f>+I131*tab!$D$69</f>
        <v>6434.4000000000005</v>
      </c>
      <c r="Y131" s="78">
        <f>+J131*tab!$D$69</f>
        <v>6434.4000000000005</v>
      </c>
      <c r="Z131" s="81"/>
      <c r="AA131" s="77">
        <v>0</v>
      </c>
      <c r="AB131" s="182">
        <f t="shared" si="13"/>
        <v>0</v>
      </c>
      <c r="AC131" s="141">
        <f t="shared" si="15"/>
        <v>0</v>
      </c>
      <c r="AD131" s="141">
        <f t="shared" si="15"/>
        <v>0</v>
      </c>
      <c r="AE131" s="102"/>
      <c r="AF131" s="154"/>
    </row>
    <row r="132" spans="2:32" s="134" customFormat="1" x14ac:dyDescent="0.2">
      <c r="B132" s="153"/>
      <c r="C132" s="174"/>
      <c r="D132" s="60">
        <v>120</v>
      </c>
      <c r="E132" s="429" t="str">
        <f>+'bas LO'!E132</f>
        <v>school 120</v>
      </c>
      <c r="F132" s="429" t="str">
        <f>+'bas LO'!F132</f>
        <v>11AA</v>
      </c>
      <c r="G132" s="430">
        <f>+'bas LO'!G132</f>
        <v>210</v>
      </c>
      <c r="H132" s="430">
        <f>+'bas LO'!H132</f>
        <v>210</v>
      </c>
      <c r="I132" s="430">
        <f>+'bas LO'!I132</f>
        <v>210</v>
      </c>
      <c r="J132" s="430">
        <f>+'bas LO'!J132</f>
        <v>210</v>
      </c>
      <c r="K132" s="81"/>
      <c r="L132" s="78">
        <f>ROUND(G132*tab!$C$66,2)</f>
        <v>66954.3</v>
      </c>
      <c r="M132" s="78">
        <f>ROUND(H132*tab!$C$66,2)</f>
        <v>66954.3</v>
      </c>
      <c r="N132" s="78">
        <f>ROUND(I132*tab!$C$66,2)</f>
        <v>66954.3</v>
      </c>
      <c r="O132" s="78">
        <f>ROUND(J132*tab!$C$66,2)</f>
        <v>66954.3</v>
      </c>
      <c r="P132" s="81"/>
      <c r="Q132" s="182">
        <v>0</v>
      </c>
      <c r="R132" s="141">
        <f t="shared" si="14"/>
        <v>0</v>
      </c>
      <c r="S132" s="141">
        <f t="shared" si="14"/>
        <v>0</v>
      </c>
      <c r="T132" s="141">
        <f t="shared" si="14"/>
        <v>0</v>
      </c>
      <c r="U132" s="81"/>
      <c r="V132" s="78">
        <f>+G132*tab!$C$69</f>
        <v>6302.1</v>
      </c>
      <c r="W132" s="78">
        <f>+H132*tab!$D$69</f>
        <v>6434.4000000000005</v>
      </c>
      <c r="X132" s="78">
        <f>+I132*tab!$D$69</f>
        <v>6434.4000000000005</v>
      </c>
      <c r="Y132" s="78">
        <f>+J132*tab!$D$69</f>
        <v>6434.4000000000005</v>
      </c>
      <c r="Z132" s="81"/>
      <c r="AA132" s="77">
        <v>0</v>
      </c>
      <c r="AB132" s="182">
        <f t="shared" si="13"/>
        <v>0</v>
      </c>
      <c r="AC132" s="141">
        <f t="shared" si="15"/>
        <v>0</v>
      </c>
      <c r="AD132" s="141">
        <f t="shared" si="15"/>
        <v>0</v>
      </c>
      <c r="AE132" s="102"/>
      <c r="AF132" s="154"/>
    </row>
    <row r="133" spans="2:32" s="134" customFormat="1" x14ac:dyDescent="0.2">
      <c r="B133" s="153"/>
      <c r="C133" s="174"/>
      <c r="D133" s="60">
        <v>121</v>
      </c>
      <c r="E133" s="429" t="str">
        <f>+'bas LO'!E133</f>
        <v>school 121</v>
      </c>
      <c r="F133" s="429" t="str">
        <f>+'bas LO'!F133</f>
        <v>11AA</v>
      </c>
      <c r="G133" s="430">
        <f>+'bas LO'!G133</f>
        <v>210</v>
      </c>
      <c r="H133" s="430">
        <f>+'bas LO'!H133</f>
        <v>210</v>
      </c>
      <c r="I133" s="430">
        <f>+'bas LO'!I133</f>
        <v>210</v>
      </c>
      <c r="J133" s="430">
        <f>+'bas LO'!J133</f>
        <v>210</v>
      </c>
      <c r="K133" s="81"/>
      <c r="L133" s="78">
        <f>ROUND(G133*tab!$C$66,2)</f>
        <v>66954.3</v>
      </c>
      <c r="M133" s="78">
        <f>ROUND(H133*tab!$C$66,2)</f>
        <v>66954.3</v>
      </c>
      <c r="N133" s="78">
        <f>ROUND(I133*tab!$C$66,2)</f>
        <v>66954.3</v>
      </c>
      <c r="O133" s="78">
        <f>ROUND(J133*tab!$C$66,2)</f>
        <v>66954.3</v>
      </c>
      <c r="P133" s="81"/>
      <c r="Q133" s="182">
        <v>0</v>
      </c>
      <c r="R133" s="141">
        <f t="shared" ref="R133:T137" si="16">Q133</f>
        <v>0</v>
      </c>
      <c r="S133" s="141">
        <f t="shared" si="16"/>
        <v>0</v>
      </c>
      <c r="T133" s="141">
        <f t="shared" si="16"/>
        <v>0</v>
      </c>
      <c r="U133" s="81"/>
      <c r="V133" s="78">
        <f>+G133*tab!$C$69</f>
        <v>6302.1</v>
      </c>
      <c r="W133" s="78">
        <f>+H133*tab!$D$69</f>
        <v>6434.4000000000005</v>
      </c>
      <c r="X133" s="78">
        <f>+I133*tab!$D$69</f>
        <v>6434.4000000000005</v>
      </c>
      <c r="Y133" s="78">
        <f>+J133*tab!$D$69</f>
        <v>6434.4000000000005</v>
      </c>
      <c r="Z133" s="81"/>
      <c r="AA133" s="77">
        <v>0</v>
      </c>
      <c r="AB133" s="182">
        <f t="shared" si="13"/>
        <v>0</v>
      </c>
      <c r="AC133" s="141">
        <f t="shared" ref="AC133:AD137" si="17">AB133</f>
        <v>0</v>
      </c>
      <c r="AD133" s="141">
        <f t="shared" si="17"/>
        <v>0</v>
      </c>
      <c r="AE133" s="102"/>
      <c r="AF133" s="154"/>
    </row>
    <row r="134" spans="2:32" s="134" customFormat="1" x14ac:dyDescent="0.2">
      <c r="B134" s="153"/>
      <c r="C134" s="174"/>
      <c r="D134" s="60">
        <v>122</v>
      </c>
      <c r="E134" s="429" t="str">
        <f>+'bas LO'!E134</f>
        <v>school 122</v>
      </c>
      <c r="F134" s="429" t="str">
        <f>+'bas LO'!F134</f>
        <v>11AA</v>
      </c>
      <c r="G134" s="430">
        <f>+'bas LO'!G134</f>
        <v>210</v>
      </c>
      <c r="H134" s="430">
        <f>+'bas LO'!H134</f>
        <v>210</v>
      </c>
      <c r="I134" s="430">
        <f>+'bas LO'!I134</f>
        <v>210</v>
      </c>
      <c r="J134" s="430">
        <f>+'bas LO'!J134</f>
        <v>210</v>
      </c>
      <c r="K134" s="81"/>
      <c r="L134" s="78">
        <f>ROUND(G134*tab!$C$66,2)</f>
        <v>66954.3</v>
      </c>
      <c r="M134" s="78">
        <f>ROUND(H134*tab!$C$66,2)</f>
        <v>66954.3</v>
      </c>
      <c r="N134" s="78">
        <f>ROUND(I134*tab!$C$66,2)</f>
        <v>66954.3</v>
      </c>
      <c r="O134" s="78">
        <f>ROUND(J134*tab!$C$66,2)</f>
        <v>66954.3</v>
      </c>
      <c r="P134" s="81"/>
      <c r="Q134" s="182">
        <v>0</v>
      </c>
      <c r="R134" s="141">
        <f t="shared" si="16"/>
        <v>0</v>
      </c>
      <c r="S134" s="141">
        <f t="shared" si="16"/>
        <v>0</v>
      </c>
      <c r="T134" s="141">
        <f t="shared" si="16"/>
        <v>0</v>
      </c>
      <c r="U134" s="81"/>
      <c r="V134" s="78">
        <f>+G134*tab!$C$69</f>
        <v>6302.1</v>
      </c>
      <c r="W134" s="78">
        <f>+H134*tab!$D$69</f>
        <v>6434.4000000000005</v>
      </c>
      <c r="X134" s="78">
        <f>+I134*tab!$D$69</f>
        <v>6434.4000000000005</v>
      </c>
      <c r="Y134" s="78">
        <f>+J134*tab!$D$69</f>
        <v>6434.4000000000005</v>
      </c>
      <c r="Z134" s="81"/>
      <c r="AA134" s="77">
        <v>0</v>
      </c>
      <c r="AB134" s="182">
        <f t="shared" si="13"/>
        <v>0</v>
      </c>
      <c r="AC134" s="141">
        <f t="shared" si="17"/>
        <v>0</v>
      </c>
      <c r="AD134" s="141">
        <f t="shared" si="17"/>
        <v>0</v>
      </c>
      <c r="AE134" s="102"/>
      <c r="AF134" s="154"/>
    </row>
    <row r="135" spans="2:32" s="134" customFormat="1" x14ac:dyDescent="0.2">
      <c r="B135" s="153"/>
      <c r="C135" s="174"/>
      <c r="D135" s="60">
        <v>123</v>
      </c>
      <c r="E135" s="429" t="str">
        <f>+'bas LO'!E135</f>
        <v>school 123</v>
      </c>
      <c r="F135" s="429" t="str">
        <f>+'bas LO'!F135</f>
        <v>11AA</v>
      </c>
      <c r="G135" s="430">
        <f>+'bas LO'!G135</f>
        <v>210</v>
      </c>
      <c r="H135" s="430">
        <f>+'bas LO'!H135</f>
        <v>210</v>
      </c>
      <c r="I135" s="430">
        <f>+'bas LO'!I135</f>
        <v>210</v>
      </c>
      <c r="J135" s="430">
        <f>+'bas LO'!J135</f>
        <v>210</v>
      </c>
      <c r="K135" s="81"/>
      <c r="L135" s="78">
        <f>ROUND(G135*tab!$C$66,2)</f>
        <v>66954.3</v>
      </c>
      <c r="M135" s="78">
        <f>ROUND(H135*tab!$C$66,2)</f>
        <v>66954.3</v>
      </c>
      <c r="N135" s="78">
        <f>ROUND(I135*tab!$C$66,2)</f>
        <v>66954.3</v>
      </c>
      <c r="O135" s="78">
        <f>ROUND(J135*tab!$C$66,2)</f>
        <v>66954.3</v>
      </c>
      <c r="P135" s="81"/>
      <c r="Q135" s="182">
        <v>0</v>
      </c>
      <c r="R135" s="141">
        <f t="shared" si="16"/>
        <v>0</v>
      </c>
      <c r="S135" s="141">
        <f t="shared" si="16"/>
        <v>0</v>
      </c>
      <c r="T135" s="141">
        <f t="shared" si="16"/>
        <v>0</v>
      </c>
      <c r="U135" s="81"/>
      <c r="V135" s="78">
        <f>+G135*tab!$C$69</f>
        <v>6302.1</v>
      </c>
      <c r="W135" s="78">
        <f>+H135*tab!$D$69</f>
        <v>6434.4000000000005</v>
      </c>
      <c r="X135" s="78">
        <f>+I135*tab!$D$69</f>
        <v>6434.4000000000005</v>
      </c>
      <c r="Y135" s="78">
        <f>+J135*tab!$D$69</f>
        <v>6434.4000000000005</v>
      </c>
      <c r="Z135" s="81"/>
      <c r="AA135" s="77">
        <v>0</v>
      </c>
      <c r="AB135" s="182">
        <f t="shared" si="13"/>
        <v>0</v>
      </c>
      <c r="AC135" s="141">
        <f t="shared" si="17"/>
        <v>0</v>
      </c>
      <c r="AD135" s="141">
        <f t="shared" si="17"/>
        <v>0</v>
      </c>
      <c r="AE135" s="102"/>
      <c r="AF135" s="154"/>
    </row>
    <row r="136" spans="2:32" s="134" customFormat="1" x14ac:dyDescent="0.2">
      <c r="B136" s="153"/>
      <c r="C136" s="174"/>
      <c r="D136" s="60">
        <v>124</v>
      </c>
      <c r="E136" s="429" t="str">
        <f>+'bas LO'!E136</f>
        <v>school 124</v>
      </c>
      <c r="F136" s="429" t="str">
        <f>+'bas LO'!F136</f>
        <v>11AA</v>
      </c>
      <c r="G136" s="430">
        <f>+'bas LO'!G136</f>
        <v>210</v>
      </c>
      <c r="H136" s="430">
        <f>+'bas LO'!H136</f>
        <v>210</v>
      </c>
      <c r="I136" s="430">
        <f>+'bas LO'!I136</f>
        <v>210</v>
      </c>
      <c r="J136" s="430">
        <f>+'bas LO'!J136</f>
        <v>210</v>
      </c>
      <c r="K136" s="81"/>
      <c r="L136" s="78">
        <f>ROUND(G136*tab!$C$66,2)</f>
        <v>66954.3</v>
      </c>
      <c r="M136" s="78">
        <f>ROUND(H136*tab!$C$66,2)</f>
        <v>66954.3</v>
      </c>
      <c r="N136" s="78">
        <f>ROUND(I136*tab!$C$66,2)</f>
        <v>66954.3</v>
      </c>
      <c r="O136" s="78">
        <f>ROUND(J136*tab!$C$66,2)</f>
        <v>66954.3</v>
      </c>
      <c r="P136" s="81"/>
      <c r="Q136" s="182">
        <v>0</v>
      </c>
      <c r="R136" s="141">
        <f t="shared" si="16"/>
        <v>0</v>
      </c>
      <c r="S136" s="141">
        <f t="shared" si="16"/>
        <v>0</v>
      </c>
      <c r="T136" s="141">
        <f t="shared" si="16"/>
        <v>0</v>
      </c>
      <c r="U136" s="81"/>
      <c r="V136" s="78">
        <f>+G136*tab!$C$69</f>
        <v>6302.1</v>
      </c>
      <c r="W136" s="78">
        <f>+H136*tab!$D$69</f>
        <v>6434.4000000000005</v>
      </c>
      <c r="X136" s="78">
        <f>+I136*tab!$D$69</f>
        <v>6434.4000000000005</v>
      </c>
      <c r="Y136" s="78">
        <f>+J136*tab!$D$69</f>
        <v>6434.4000000000005</v>
      </c>
      <c r="Z136" s="81"/>
      <c r="AA136" s="77">
        <v>0</v>
      </c>
      <c r="AB136" s="182">
        <f t="shared" si="13"/>
        <v>0</v>
      </c>
      <c r="AC136" s="141">
        <f t="shared" si="17"/>
        <v>0</v>
      </c>
      <c r="AD136" s="141">
        <f t="shared" si="17"/>
        <v>0</v>
      </c>
      <c r="AE136" s="102"/>
      <c r="AF136" s="154"/>
    </row>
    <row r="137" spans="2:32" s="134" customFormat="1" x14ac:dyDescent="0.2">
      <c r="B137" s="153"/>
      <c r="C137" s="174"/>
      <c r="D137" s="60">
        <v>125</v>
      </c>
      <c r="E137" s="429" t="str">
        <f>+'bas LO'!E137</f>
        <v>school 125</v>
      </c>
      <c r="F137" s="429" t="str">
        <f>+'bas LO'!F137</f>
        <v>11AA</v>
      </c>
      <c r="G137" s="430">
        <f>+'bas LO'!G137</f>
        <v>210</v>
      </c>
      <c r="H137" s="430">
        <f>+'bas LO'!H137</f>
        <v>210</v>
      </c>
      <c r="I137" s="430">
        <f>+'bas LO'!I137</f>
        <v>210</v>
      </c>
      <c r="J137" s="430">
        <f>+'bas LO'!J137</f>
        <v>210</v>
      </c>
      <c r="K137" s="81"/>
      <c r="L137" s="78">
        <f>ROUND(G137*tab!$C$66,2)</f>
        <v>66954.3</v>
      </c>
      <c r="M137" s="78">
        <f>ROUND(H137*tab!$C$66,2)</f>
        <v>66954.3</v>
      </c>
      <c r="N137" s="78">
        <f>ROUND(I137*tab!$C$66,2)</f>
        <v>66954.3</v>
      </c>
      <c r="O137" s="78">
        <f>ROUND(J137*tab!$C$66,2)</f>
        <v>66954.3</v>
      </c>
      <c r="P137" s="81"/>
      <c r="Q137" s="182">
        <v>0</v>
      </c>
      <c r="R137" s="141">
        <f t="shared" si="16"/>
        <v>0</v>
      </c>
      <c r="S137" s="141">
        <f t="shared" si="16"/>
        <v>0</v>
      </c>
      <c r="T137" s="141">
        <f t="shared" si="16"/>
        <v>0</v>
      </c>
      <c r="U137" s="81"/>
      <c r="V137" s="78">
        <f>+G137*tab!$C$69</f>
        <v>6302.1</v>
      </c>
      <c r="W137" s="78">
        <f>+H137*tab!$D$69</f>
        <v>6434.4000000000005</v>
      </c>
      <c r="X137" s="78">
        <f>+I137*tab!$D$69</f>
        <v>6434.4000000000005</v>
      </c>
      <c r="Y137" s="78">
        <f>+J137*tab!$D$69</f>
        <v>6434.4000000000005</v>
      </c>
      <c r="Z137" s="81"/>
      <c r="AA137" s="77">
        <v>0</v>
      </c>
      <c r="AB137" s="182">
        <f t="shared" si="13"/>
        <v>0</v>
      </c>
      <c r="AC137" s="141">
        <f t="shared" si="17"/>
        <v>0</v>
      </c>
      <c r="AD137" s="141">
        <f t="shared" si="17"/>
        <v>0</v>
      </c>
      <c r="AE137" s="102"/>
      <c r="AF137" s="154"/>
    </row>
    <row r="138" spans="2:32" s="139" customFormat="1" x14ac:dyDescent="0.2">
      <c r="B138" s="34"/>
      <c r="C138" s="43"/>
      <c r="D138" s="103"/>
      <c r="E138" s="103"/>
      <c r="F138" s="175" t="s">
        <v>173</v>
      </c>
      <c r="G138" s="55">
        <f>SUM(G13:G137)</f>
        <v>22080</v>
      </c>
      <c r="H138" s="55">
        <f>SUM(H13:H137)</f>
        <v>22080</v>
      </c>
      <c r="I138" s="55">
        <f>SUM(I13:I137)</f>
        <v>22080</v>
      </c>
      <c r="J138" s="55">
        <f>SUM(J13:J137)</f>
        <v>22080</v>
      </c>
      <c r="K138" s="76"/>
      <c r="L138" s="108">
        <f>ROUND(SUM(L13:L137),0)</f>
        <v>7039766</v>
      </c>
      <c r="M138" s="108">
        <f>ROUND(SUM(M13:M137),0)</f>
        <v>7039766</v>
      </c>
      <c r="N138" s="108">
        <f>ROUND(SUM(N13:N137),0)</f>
        <v>7039766</v>
      </c>
      <c r="O138" s="108">
        <f>ROUND(SUM(O13:O137),0)</f>
        <v>7039766</v>
      </c>
      <c r="P138" s="76"/>
      <c r="Q138" s="119">
        <f>SUM(Q13:Q137)</f>
        <v>0</v>
      </c>
      <c r="R138" s="119">
        <f>SUM(R13:R137)</f>
        <v>0</v>
      </c>
      <c r="S138" s="119">
        <f>SUM(S13:S137)</f>
        <v>0</v>
      </c>
      <c r="T138" s="119">
        <f>SUM(T13:T137)</f>
        <v>0</v>
      </c>
      <c r="U138" s="76"/>
      <c r="V138" s="108">
        <f>SUM(V13:V137)</f>
        <v>662620.79999999946</v>
      </c>
      <c r="W138" s="108">
        <f>SUM(W13:W137)</f>
        <v>676531.20000000065</v>
      </c>
      <c r="X138" s="108">
        <f>SUM(X13:X137)</f>
        <v>676531.20000000065</v>
      </c>
      <c r="Y138" s="108">
        <f>SUM(Y13:Y137)</f>
        <v>676531.20000000065</v>
      </c>
      <c r="Z138" s="76"/>
      <c r="AA138" s="108">
        <f>SUM(AA13:AA137)</f>
        <v>0</v>
      </c>
      <c r="AB138" s="108">
        <f>SUM(AB13:AB137)</f>
        <v>0</v>
      </c>
      <c r="AC138" s="108">
        <f>SUM(AC13:AC137)</f>
        <v>0</v>
      </c>
      <c r="AD138" s="108">
        <f>SUM(AD13:AD137)</f>
        <v>0</v>
      </c>
      <c r="AE138" s="44"/>
      <c r="AF138" s="35"/>
    </row>
    <row r="139" spans="2:32" x14ac:dyDescent="0.2">
      <c r="B139" s="86"/>
      <c r="C139" s="91"/>
      <c r="D139" s="176"/>
      <c r="E139" s="176" t="s">
        <v>43</v>
      </c>
      <c r="F139" s="177"/>
      <c r="G139" s="79"/>
      <c r="H139" s="79"/>
      <c r="I139" s="79"/>
      <c r="J139" s="79"/>
      <c r="K139" s="79"/>
      <c r="L139" s="92"/>
      <c r="M139" s="92"/>
      <c r="N139" s="92"/>
      <c r="O139" s="92"/>
      <c r="P139" s="79"/>
      <c r="Q139" s="92"/>
      <c r="R139" s="92"/>
      <c r="S139" s="92"/>
      <c r="T139" s="92"/>
      <c r="U139" s="79"/>
      <c r="V139" s="92"/>
      <c r="W139" s="92"/>
      <c r="X139" s="92"/>
      <c r="Y139" s="92"/>
      <c r="Z139" s="79"/>
      <c r="AA139" s="92"/>
      <c r="AB139" s="92"/>
      <c r="AC139" s="92"/>
      <c r="AD139" s="92"/>
      <c r="AE139" s="178"/>
      <c r="AF139" s="88"/>
    </row>
    <row r="140" spans="2:32" s="134" customFormat="1" x14ac:dyDescent="0.2">
      <c r="B140" s="153"/>
      <c r="C140" s="174"/>
      <c r="D140" s="60">
        <v>1</v>
      </c>
      <c r="E140" s="429" t="str">
        <f>+'geg LO'!D21</f>
        <v>Naam SBO 1</v>
      </c>
      <c r="F140" s="431" t="s">
        <v>495</v>
      </c>
      <c r="G140" s="430">
        <f>+'geg LO'!G21</f>
        <v>0</v>
      </c>
      <c r="H140" s="430">
        <f t="shared" ref="H140:J145" si="18">G140</f>
        <v>0</v>
      </c>
      <c r="I140" s="430">
        <f t="shared" si="18"/>
        <v>0</v>
      </c>
      <c r="J140" s="430">
        <f t="shared" si="18"/>
        <v>0</v>
      </c>
      <c r="K140" s="81"/>
      <c r="L140" s="78">
        <f>ROUND(G140*tab!$C$66,2)</f>
        <v>0</v>
      </c>
      <c r="M140" s="78">
        <f>ROUND(H140*tab!$C$66,2)</f>
        <v>0</v>
      </c>
      <c r="N140" s="78">
        <f>ROUND(I140*tab!$C$66,2)</f>
        <v>0</v>
      </c>
      <c r="O140" s="78">
        <f>ROUND(J140*tab!$C$66,2)</f>
        <v>0</v>
      </c>
      <c r="P140" s="81"/>
      <c r="Q140" s="182">
        <v>0</v>
      </c>
      <c r="R140" s="141">
        <f t="shared" ref="R140:T145" si="19">Q140</f>
        <v>0</v>
      </c>
      <c r="S140" s="141">
        <f t="shared" si="19"/>
        <v>0</v>
      </c>
      <c r="T140" s="141">
        <f t="shared" si="19"/>
        <v>0</v>
      </c>
      <c r="U140" s="81"/>
      <c r="V140" s="78">
        <f>+G140*tab!$C$69</f>
        <v>0</v>
      </c>
      <c r="W140" s="78">
        <f>+H140*tab!$D$69</f>
        <v>0</v>
      </c>
      <c r="X140" s="78">
        <f>+I140*tab!$D$69</f>
        <v>0</v>
      </c>
      <c r="Y140" s="78">
        <f>+J140*tab!$D$69</f>
        <v>0</v>
      </c>
      <c r="Z140" s="81"/>
      <c r="AA140" s="77">
        <v>0</v>
      </c>
      <c r="AB140" s="182">
        <f t="shared" ref="AB140:AB145" si="20">AA140*7/12</f>
        <v>0</v>
      </c>
      <c r="AC140" s="141">
        <f t="shared" ref="AC140:AD145" si="21">AB140</f>
        <v>0</v>
      </c>
      <c r="AD140" s="141">
        <f t="shared" si="21"/>
        <v>0</v>
      </c>
      <c r="AE140" s="102"/>
      <c r="AF140" s="154"/>
    </row>
    <row r="141" spans="2:32" s="134" customFormat="1" x14ac:dyDescent="0.2">
      <c r="B141" s="153"/>
      <c r="C141" s="174"/>
      <c r="D141" s="60">
        <v>2</v>
      </c>
      <c r="E141" s="429" t="str">
        <f>+'geg LO'!D22</f>
        <v>Naam SBO 2</v>
      </c>
      <c r="F141" s="431" t="s">
        <v>495</v>
      </c>
      <c r="G141" s="430">
        <f>+'geg LO'!G22</f>
        <v>0</v>
      </c>
      <c r="H141" s="430">
        <f t="shared" si="18"/>
        <v>0</v>
      </c>
      <c r="I141" s="430">
        <f t="shared" si="18"/>
        <v>0</v>
      </c>
      <c r="J141" s="430">
        <f t="shared" si="18"/>
        <v>0</v>
      </c>
      <c r="K141" s="81"/>
      <c r="L141" s="78">
        <f>ROUND(G141*tab!$C$66,2)</f>
        <v>0</v>
      </c>
      <c r="M141" s="78">
        <f>ROUND(H141*tab!$C$66,2)</f>
        <v>0</v>
      </c>
      <c r="N141" s="78">
        <f>ROUND(I141*tab!$C$66,2)</f>
        <v>0</v>
      </c>
      <c r="O141" s="78">
        <f>ROUND(J141*tab!$C$66,2)</f>
        <v>0</v>
      </c>
      <c r="P141" s="81"/>
      <c r="Q141" s="182">
        <v>0</v>
      </c>
      <c r="R141" s="141">
        <f t="shared" si="19"/>
        <v>0</v>
      </c>
      <c r="S141" s="141">
        <f t="shared" si="19"/>
        <v>0</v>
      </c>
      <c r="T141" s="141">
        <f t="shared" si="19"/>
        <v>0</v>
      </c>
      <c r="U141" s="81"/>
      <c r="V141" s="78">
        <f>+G141*tab!$C$69</f>
        <v>0</v>
      </c>
      <c r="W141" s="78">
        <f>+H141*tab!$D$69</f>
        <v>0</v>
      </c>
      <c r="X141" s="78">
        <f>+I141*tab!$D$69</f>
        <v>0</v>
      </c>
      <c r="Y141" s="78">
        <f>+J141*tab!$D$69</f>
        <v>0</v>
      </c>
      <c r="Z141" s="81"/>
      <c r="AA141" s="77">
        <v>0</v>
      </c>
      <c r="AB141" s="182">
        <f t="shared" si="20"/>
        <v>0</v>
      </c>
      <c r="AC141" s="141">
        <f t="shared" si="21"/>
        <v>0</v>
      </c>
      <c r="AD141" s="141">
        <f t="shared" si="21"/>
        <v>0</v>
      </c>
      <c r="AE141" s="102"/>
      <c r="AF141" s="154"/>
    </row>
    <row r="142" spans="2:32" s="134" customFormat="1" x14ac:dyDescent="0.2">
      <c r="B142" s="153"/>
      <c r="C142" s="174"/>
      <c r="D142" s="60">
        <v>3</v>
      </c>
      <c r="E142" s="429" t="str">
        <f>+'geg LO'!D23</f>
        <v>Naam SBO 3</v>
      </c>
      <c r="F142" s="431" t="s">
        <v>495</v>
      </c>
      <c r="G142" s="430">
        <f>+'geg LO'!G23</f>
        <v>0</v>
      </c>
      <c r="H142" s="430">
        <f t="shared" si="18"/>
        <v>0</v>
      </c>
      <c r="I142" s="430">
        <f t="shared" si="18"/>
        <v>0</v>
      </c>
      <c r="J142" s="430">
        <f t="shared" si="18"/>
        <v>0</v>
      </c>
      <c r="K142" s="81"/>
      <c r="L142" s="78">
        <f>ROUND(G142*tab!$C$66,2)</f>
        <v>0</v>
      </c>
      <c r="M142" s="78">
        <f>ROUND(H142*tab!$C$66,2)</f>
        <v>0</v>
      </c>
      <c r="N142" s="78">
        <f>ROUND(I142*tab!$C$66,2)</f>
        <v>0</v>
      </c>
      <c r="O142" s="78">
        <f>ROUND(J142*tab!$C$66,2)</f>
        <v>0</v>
      </c>
      <c r="P142" s="81"/>
      <c r="Q142" s="182">
        <v>0</v>
      </c>
      <c r="R142" s="141">
        <f t="shared" si="19"/>
        <v>0</v>
      </c>
      <c r="S142" s="141">
        <f t="shared" si="19"/>
        <v>0</v>
      </c>
      <c r="T142" s="141">
        <f t="shared" si="19"/>
        <v>0</v>
      </c>
      <c r="U142" s="81"/>
      <c r="V142" s="78">
        <f>+G142*tab!$C$69</f>
        <v>0</v>
      </c>
      <c r="W142" s="78">
        <f>+H142*tab!$D$69</f>
        <v>0</v>
      </c>
      <c r="X142" s="78">
        <f>+I142*tab!$D$69</f>
        <v>0</v>
      </c>
      <c r="Y142" s="78">
        <f>+J142*tab!$D$69</f>
        <v>0</v>
      </c>
      <c r="Z142" s="81"/>
      <c r="AA142" s="77">
        <v>0</v>
      </c>
      <c r="AB142" s="182">
        <f t="shared" si="20"/>
        <v>0</v>
      </c>
      <c r="AC142" s="141">
        <f t="shared" si="21"/>
        <v>0</v>
      </c>
      <c r="AD142" s="141">
        <f t="shared" si="21"/>
        <v>0</v>
      </c>
      <c r="AE142" s="102"/>
      <c r="AF142" s="154"/>
    </row>
    <row r="143" spans="2:32" s="134" customFormat="1" x14ac:dyDescent="0.2">
      <c r="B143" s="153"/>
      <c r="C143" s="174"/>
      <c r="D143" s="60">
        <v>4</v>
      </c>
      <c r="E143" s="429" t="str">
        <f>+'geg LO'!D24</f>
        <v>Naam SBO 4</v>
      </c>
      <c r="F143" s="431" t="s">
        <v>495</v>
      </c>
      <c r="G143" s="430">
        <f>+'geg LO'!G24</f>
        <v>0</v>
      </c>
      <c r="H143" s="430">
        <f t="shared" si="18"/>
        <v>0</v>
      </c>
      <c r="I143" s="430">
        <f t="shared" si="18"/>
        <v>0</v>
      </c>
      <c r="J143" s="430">
        <f t="shared" si="18"/>
        <v>0</v>
      </c>
      <c r="K143" s="81"/>
      <c r="L143" s="78">
        <f>ROUND(G143*tab!$C$66,2)</f>
        <v>0</v>
      </c>
      <c r="M143" s="78">
        <f>ROUND(H143*tab!$C$66,2)</f>
        <v>0</v>
      </c>
      <c r="N143" s="78">
        <f>ROUND(I143*tab!$C$66,2)</f>
        <v>0</v>
      </c>
      <c r="O143" s="78">
        <f>ROUND(J143*tab!$C$66,2)</f>
        <v>0</v>
      </c>
      <c r="P143" s="81"/>
      <c r="Q143" s="182">
        <v>0</v>
      </c>
      <c r="R143" s="141">
        <f t="shared" si="19"/>
        <v>0</v>
      </c>
      <c r="S143" s="141">
        <f t="shared" si="19"/>
        <v>0</v>
      </c>
      <c r="T143" s="141">
        <f t="shared" si="19"/>
        <v>0</v>
      </c>
      <c r="U143" s="81"/>
      <c r="V143" s="78">
        <f>+G143*tab!$C$69</f>
        <v>0</v>
      </c>
      <c r="W143" s="78">
        <f>+H143*tab!$D$69</f>
        <v>0</v>
      </c>
      <c r="X143" s="78">
        <f>+I143*tab!$D$69</f>
        <v>0</v>
      </c>
      <c r="Y143" s="78">
        <f>+J143*tab!$D$69</f>
        <v>0</v>
      </c>
      <c r="Z143" s="81"/>
      <c r="AA143" s="77">
        <v>0</v>
      </c>
      <c r="AB143" s="182">
        <f t="shared" si="20"/>
        <v>0</v>
      </c>
      <c r="AC143" s="141">
        <f t="shared" si="21"/>
        <v>0</v>
      </c>
      <c r="AD143" s="141">
        <f t="shared" si="21"/>
        <v>0</v>
      </c>
      <c r="AE143" s="102"/>
      <c r="AF143" s="154"/>
    </row>
    <row r="144" spans="2:32" s="134" customFormat="1" x14ac:dyDescent="0.2">
      <c r="B144" s="153"/>
      <c r="C144" s="174"/>
      <c r="D144" s="60">
        <v>5</v>
      </c>
      <c r="E144" s="429" t="str">
        <f>+'geg LO'!D25</f>
        <v>Naam SBO 5</v>
      </c>
      <c r="F144" s="431" t="s">
        <v>495</v>
      </c>
      <c r="G144" s="430">
        <f>+'geg LO'!G25</f>
        <v>0</v>
      </c>
      <c r="H144" s="430">
        <f t="shared" si="18"/>
        <v>0</v>
      </c>
      <c r="I144" s="430">
        <f t="shared" si="18"/>
        <v>0</v>
      </c>
      <c r="J144" s="430">
        <f t="shared" si="18"/>
        <v>0</v>
      </c>
      <c r="K144" s="81"/>
      <c r="L144" s="78">
        <f>ROUND(G144*tab!$C$66,2)</f>
        <v>0</v>
      </c>
      <c r="M144" s="78">
        <f>ROUND(H144*tab!$C$66,2)</f>
        <v>0</v>
      </c>
      <c r="N144" s="78">
        <f>ROUND(I144*tab!$C$66,2)</f>
        <v>0</v>
      </c>
      <c r="O144" s="78">
        <f>ROUND(J144*tab!$C$66,2)</f>
        <v>0</v>
      </c>
      <c r="P144" s="81"/>
      <c r="Q144" s="182">
        <v>0</v>
      </c>
      <c r="R144" s="141">
        <f t="shared" si="19"/>
        <v>0</v>
      </c>
      <c r="S144" s="141">
        <f t="shared" si="19"/>
        <v>0</v>
      </c>
      <c r="T144" s="141">
        <f t="shared" si="19"/>
        <v>0</v>
      </c>
      <c r="U144" s="81"/>
      <c r="V144" s="78">
        <f>+G144*tab!$C$69</f>
        <v>0</v>
      </c>
      <c r="W144" s="78">
        <f>+H144*tab!$D$69</f>
        <v>0</v>
      </c>
      <c r="X144" s="78">
        <f>+I144*tab!$D$69</f>
        <v>0</v>
      </c>
      <c r="Y144" s="78">
        <f>+J144*tab!$D$69</f>
        <v>0</v>
      </c>
      <c r="Z144" s="81"/>
      <c r="AA144" s="77">
        <v>0</v>
      </c>
      <c r="AB144" s="182">
        <f t="shared" si="20"/>
        <v>0</v>
      </c>
      <c r="AC144" s="141">
        <f t="shared" si="21"/>
        <v>0</v>
      </c>
      <c r="AD144" s="141">
        <f t="shared" si="21"/>
        <v>0</v>
      </c>
      <c r="AE144" s="102"/>
      <c r="AF144" s="154"/>
    </row>
    <row r="145" spans="2:32" s="134" customFormat="1" x14ac:dyDescent="0.2">
      <c r="B145" s="153"/>
      <c r="C145" s="174"/>
      <c r="D145" s="60">
        <v>6</v>
      </c>
      <c r="E145" s="429" t="str">
        <f>+'geg LO'!D26</f>
        <v>Naam SBO 6</v>
      </c>
      <c r="F145" s="431" t="s">
        <v>495</v>
      </c>
      <c r="G145" s="430">
        <f>+'geg LO'!G26</f>
        <v>0</v>
      </c>
      <c r="H145" s="430">
        <f t="shared" si="18"/>
        <v>0</v>
      </c>
      <c r="I145" s="430">
        <f t="shared" si="18"/>
        <v>0</v>
      </c>
      <c r="J145" s="430">
        <f t="shared" si="18"/>
        <v>0</v>
      </c>
      <c r="K145" s="81"/>
      <c r="L145" s="78">
        <f>ROUND(G145*tab!$C$66,2)</f>
        <v>0</v>
      </c>
      <c r="M145" s="78">
        <f>ROUND(H145*tab!$C$66,2)</f>
        <v>0</v>
      </c>
      <c r="N145" s="78">
        <f>ROUND(I145*tab!$C$66,2)</f>
        <v>0</v>
      </c>
      <c r="O145" s="78">
        <f>ROUND(J145*tab!$C$66,2)</f>
        <v>0</v>
      </c>
      <c r="P145" s="81"/>
      <c r="Q145" s="182">
        <v>0</v>
      </c>
      <c r="R145" s="141">
        <f t="shared" si="19"/>
        <v>0</v>
      </c>
      <c r="S145" s="141">
        <f t="shared" si="19"/>
        <v>0</v>
      </c>
      <c r="T145" s="141">
        <f t="shared" si="19"/>
        <v>0</v>
      </c>
      <c r="U145" s="81"/>
      <c r="V145" s="78">
        <f>+G145*tab!$C$69</f>
        <v>0</v>
      </c>
      <c r="W145" s="78">
        <f>+H145*tab!$D$69</f>
        <v>0</v>
      </c>
      <c r="X145" s="78">
        <f>+I145*tab!$D$69</f>
        <v>0</v>
      </c>
      <c r="Y145" s="78">
        <f>+J145*tab!$D$69</f>
        <v>0</v>
      </c>
      <c r="Z145" s="81"/>
      <c r="AA145" s="77">
        <v>0</v>
      </c>
      <c r="AB145" s="182">
        <f t="shared" si="20"/>
        <v>0</v>
      </c>
      <c r="AC145" s="141">
        <f t="shared" si="21"/>
        <v>0</v>
      </c>
      <c r="AD145" s="141">
        <f t="shared" si="21"/>
        <v>0</v>
      </c>
      <c r="AE145" s="102"/>
      <c r="AF145" s="154"/>
    </row>
    <row r="146" spans="2:32" s="134" customFormat="1" x14ac:dyDescent="0.2">
      <c r="B146" s="153"/>
      <c r="C146" s="174"/>
      <c r="D146" s="60">
        <v>7</v>
      </c>
      <c r="E146" s="429" t="str">
        <f>+'geg LO'!D27</f>
        <v>Naam SBO 7</v>
      </c>
      <c r="F146" s="431" t="s">
        <v>495</v>
      </c>
      <c r="G146" s="430">
        <f>+'geg LO'!G27</f>
        <v>0</v>
      </c>
      <c r="H146" s="430">
        <f t="shared" ref="H146:H154" si="22">G146</f>
        <v>0</v>
      </c>
      <c r="I146" s="430">
        <f t="shared" ref="I146:I154" si="23">H146</f>
        <v>0</v>
      </c>
      <c r="J146" s="430">
        <f t="shared" ref="J146:J154" si="24">I146</f>
        <v>0</v>
      </c>
      <c r="K146" s="81"/>
      <c r="L146" s="78">
        <f>ROUND(G146*tab!$C$66,2)</f>
        <v>0</v>
      </c>
      <c r="M146" s="78">
        <f>ROUND(H146*tab!$C$66,2)</f>
        <v>0</v>
      </c>
      <c r="N146" s="78">
        <f>ROUND(I146*tab!$C$66,2)</f>
        <v>0</v>
      </c>
      <c r="O146" s="78">
        <f>ROUND(J146*tab!$C$66,2)</f>
        <v>0</v>
      </c>
      <c r="P146" s="81"/>
      <c r="Q146" s="182">
        <v>0</v>
      </c>
      <c r="R146" s="141">
        <f t="shared" ref="R146:R154" si="25">Q146</f>
        <v>0</v>
      </c>
      <c r="S146" s="141">
        <f t="shared" ref="S146:S154" si="26">R146</f>
        <v>0</v>
      </c>
      <c r="T146" s="141">
        <f t="shared" ref="T146:T154" si="27">S146</f>
        <v>0</v>
      </c>
      <c r="U146" s="81"/>
      <c r="V146" s="78">
        <f>+G146*tab!$C$69</f>
        <v>0</v>
      </c>
      <c r="W146" s="78">
        <f>+H146*tab!$D$69</f>
        <v>0</v>
      </c>
      <c r="X146" s="78">
        <f>+I146*tab!$D$69</f>
        <v>0</v>
      </c>
      <c r="Y146" s="78">
        <f>+J146*tab!$D$69</f>
        <v>0</v>
      </c>
      <c r="Z146" s="81"/>
      <c r="AA146" s="77">
        <v>0</v>
      </c>
      <c r="AB146" s="182">
        <f t="shared" ref="AB146:AB154" si="28">AA146*7/12</f>
        <v>0</v>
      </c>
      <c r="AC146" s="141">
        <f t="shared" ref="AC146:AC154" si="29">AB146</f>
        <v>0</v>
      </c>
      <c r="AD146" s="141">
        <f t="shared" ref="AD146:AD154" si="30">AC146</f>
        <v>0</v>
      </c>
      <c r="AE146" s="102"/>
      <c r="AF146" s="154"/>
    </row>
    <row r="147" spans="2:32" s="134" customFormat="1" x14ac:dyDescent="0.2">
      <c r="B147" s="153"/>
      <c r="C147" s="174"/>
      <c r="D147" s="60">
        <v>8</v>
      </c>
      <c r="E147" s="429" t="str">
        <f>+'geg LO'!D28</f>
        <v>Naam SBO 8</v>
      </c>
      <c r="F147" s="431" t="s">
        <v>495</v>
      </c>
      <c r="G147" s="430">
        <f>+'geg LO'!G28</f>
        <v>0</v>
      </c>
      <c r="H147" s="430">
        <f t="shared" si="22"/>
        <v>0</v>
      </c>
      <c r="I147" s="430">
        <f t="shared" si="23"/>
        <v>0</v>
      </c>
      <c r="J147" s="430">
        <f t="shared" si="24"/>
        <v>0</v>
      </c>
      <c r="K147" s="81"/>
      <c r="L147" s="78">
        <f>ROUND(G147*tab!$C$66,2)</f>
        <v>0</v>
      </c>
      <c r="M147" s="78">
        <f>ROUND(H147*tab!$C$66,2)</f>
        <v>0</v>
      </c>
      <c r="N147" s="78">
        <f>ROUND(I147*tab!$C$66,2)</f>
        <v>0</v>
      </c>
      <c r="O147" s="78">
        <f>ROUND(J147*tab!$C$66,2)</f>
        <v>0</v>
      </c>
      <c r="P147" s="81"/>
      <c r="Q147" s="182">
        <v>0</v>
      </c>
      <c r="R147" s="141">
        <f t="shared" si="25"/>
        <v>0</v>
      </c>
      <c r="S147" s="141">
        <f t="shared" si="26"/>
        <v>0</v>
      </c>
      <c r="T147" s="141">
        <f t="shared" si="27"/>
        <v>0</v>
      </c>
      <c r="U147" s="81"/>
      <c r="V147" s="78">
        <f>+G147*tab!$C$69</f>
        <v>0</v>
      </c>
      <c r="W147" s="78">
        <f>+H147*tab!$D$69</f>
        <v>0</v>
      </c>
      <c r="X147" s="78">
        <f>+I147*tab!$D$69</f>
        <v>0</v>
      </c>
      <c r="Y147" s="78">
        <f>+J147*tab!$D$69</f>
        <v>0</v>
      </c>
      <c r="Z147" s="81"/>
      <c r="AA147" s="77">
        <v>0</v>
      </c>
      <c r="AB147" s="182">
        <f t="shared" si="28"/>
        <v>0</v>
      </c>
      <c r="AC147" s="141">
        <f t="shared" si="29"/>
        <v>0</v>
      </c>
      <c r="AD147" s="141">
        <f t="shared" si="30"/>
        <v>0</v>
      </c>
      <c r="AE147" s="102"/>
      <c r="AF147" s="154"/>
    </row>
    <row r="148" spans="2:32" s="134" customFormat="1" x14ac:dyDescent="0.2">
      <c r="B148" s="153"/>
      <c r="C148" s="174"/>
      <c r="D148" s="60">
        <v>9</v>
      </c>
      <c r="E148" s="429" t="str">
        <f>+'geg LO'!D29</f>
        <v>Naam SBO 9</v>
      </c>
      <c r="F148" s="431" t="s">
        <v>495</v>
      </c>
      <c r="G148" s="430">
        <f>+'geg LO'!G29</f>
        <v>0</v>
      </c>
      <c r="H148" s="430">
        <f t="shared" si="22"/>
        <v>0</v>
      </c>
      <c r="I148" s="430">
        <f t="shared" si="23"/>
        <v>0</v>
      </c>
      <c r="J148" s="430">
        <f t="shared" si="24"/>
        <v>0</v>
      </c>
      <c r="K148" s="81"/>
      <c r="L148" s="78">
        <f>ROUND(G148*tab!$C$66,2)</f>
        <v>0</v>
      </c>
      <c r="M148" s="78">
        <f>ROUND(H148*tab!$C$66,2)</f>
        <v>0</v>
      </c>
      <c r="N148" s="78">
        <f>ROUND(I148*tab!$C$66,2)</f>
        <v>0</v>
      </c>
      <c r="O148" s="78">
        <f>ROUND(J148*tab!$C$66,2)</f>
        <v>0</v>
      </c>
      <c r="P148" s="81"/>
      <c r="Q148" s="182">
        <v>0</v>
      </c>
      <c r="R148" s="141">
        <f t="shared" si="25"/>
        <v>0</v>
      </c>
      <c r="S148" s="141">
        <f t="shared" si="26"/>
        <v>0</v>
      </c>
      <c r="T148" s="141">
        <f t="shared" si="27"/>
        <v>0</v>
      </c>
      <c r="U148" s="81"/>
      <c r="V148" s="78">
        <f>+G148*tab!$C$69</f>
        <v>0</v>
      </c>
      <c r="W148" s="78">
        <f>+H148*tab!$D$69</f>
        <v>0</v>
      </c>
      <c r="X148" s="78">
        <f>+I148*tab!$D$69</f>
        <v>0</v>
      </c>
      <c r="Y148" s="78">
        <f>+J148*tab!$D$69</f>
        <v>0</v>
      </c>
      <c r="Z148" s="81"/>
      <c r="AA148" s="77">
        <v>0</v>
      </c>
      <c r="AB148" s="182">
        <f t="shared" si="28"/>
        <v>0</v>
      </c>
      <c r="AC148" s="141">
        <f t="shared" si="29"/>
        <v>0</v>
      </c>
      <c r="AD148" s="141">
        <f t="shared" si="30"/>
        <v>0</v>
      </c>
      <c r="AE148" s="102"/>
      <c r="AF148" s="154"/>
    </row>
    <row r="149" spans="2:32" s="134" customFormat="1" x14ac:dyDescent="0.2">
      <c r="B149" s="153"/>
      <c r="C149" s="174"/>
      <c r="D149" s="60">
        <v>10</v>
      </c>
      <c r="E149" s="429" t="str">
        <f>+'geg LO'!D30</f>
        <v>Naam SBO 10</v>
      </c>
      <c r="F149" s="431" t="s">
        <v>495</v>
      </c>
      <c r="G149" s="430">
        <f>+'geg LO'!G30</f>
        <v>0</v>
      </c>
      <c r="H149" s="430">
        <f t="shared" si="22"/>
        <v>0</v>
      </c>
      <c r="I149" s="430">
        <f t="shared" si="23"/>
        <v>0</v>
      </c>
      <c r="J149" s="430">
        <f t="shared" si="24"/>
        <v>0</v>
      </c>
      <c r="K149" s="81"/>
      <c r="L149" s="78">
        <f>ROUND(G149*tab!$C$66,2)</f>
        <v>0</v>
      </c>
      <c r="M149" s="78">
        <f>ROUND(H149*tab!$C$66,2)</f>
        <v>0</v>
      </c>
      <c r="N149" s="78">
        <f>ROUND(I149*tab!$C$66,2)</f>
        <v>0</v>
      </c>
      <c r="O149" s="78">
        <f>ROUND(J149*tab!$C$66,2)</f>
        <v>0</v>
      </c>
      <c r="P149" s="81"/>
      <c r="Q149" s="182">
        <v>0</v>
      </c>
      <c r="R149" s="141">
        <f t="shared" si="25"/>
        <v>0</v>
      </c>
      <c r="S149" s="141">
        <f t="shared" si="26"/>
        <v>0</v>
      </c>
      <c r="T149" s="141">
        <f t="shared" si="27"/>
        <v>0</v>
      </c>
      <c r="U149" s="81"/>
      <c r="V149" s="78">
        <f>+G149*tab!$C$69</f>
        <v>0</v>
      </c>
      <c r="W149" s="78">
        <f>+H149*tab!$D$69</f>
        <v>0</v>
      </c>
      <c r="X149" s="78">
        <f>+I149*tab!$D$69</f>
        <v>0</v>
      </c>
      <c r="Y149" s="78">
        <f>+J149*tab!$D$69</f>
        <v>0</v>
      </c>
      <c r="Z149" s="81"/>
      <c r="AA149" s="77">
        <v>0</v>
      </c>
      <c r="AB149" s="182">
        <f t="shared" si="28"/>
        <v>0</v>
      </c>
      <c r="AC149" s="141">
        <f t="shared" si="29"/>
        <v>0</v>
      </c>
      <c r="AD149" s="141">
        <f t="shared" si="30"/>
        <v>0</v>
      </c>
      <c r="AE149" s="102"/>
      <c r="AF149" s="154"/>
    </row>
    <row r="150" spans="2:32" s="134" customFormat="1" x14ac:dyDescent="0.2">
      <c r="B150" s="153"/>
      <c r="C150" s="174"/>
      <c r="D150" s="60">
        <v>11</v>
      </c>
      <c r="E150" s="429" t="str">
        <f>+'geg LO'!D31</f>
        <v>Naam SBO 11</v>
      </c>
      <c r="F150" s="431" t="s">
        <v>495</v>
      </c>
      <c r="G150" s="430">
        <f>+'geg LO'!G31</f>
        <v>0</v>
      </c>
      <c r="H150" s="430">
        <f t="shared" si="22"/>
        <v>0</v>
      </c>
      <c r="I150" s="430">
        <f t="shared" si="23"/>
        <v>0</v>
      </c>
      <c r="J150" s="430">
        <f t="shared" si="24"/>
        <v>0</v>
      </c>
      <c r="K150" s="81"/>
      <c r="L150" s="78">
        <f>ROUND(G150*tab!$C$66,2)</f>
        <v>0</v>
      </c>
      <c r="M150" s="78">
        <f>ROUND(H150*tab!$C$66,2)</f>
        <v>0</v>
      </c>
      <c r="N150" s="78">
        <f>ROUND(I150*tab!$C$66,2)</f>
        <v>0</v>
      </c>
      <c r="O150" s="78">
        <f>ROUND(J150*tab!$C$66,2)</f>
        <v>0</v>
      </c>
      <c r="P150" s="81"/>
      <c r="Q150" s="182">
        <v>0</v>
      </c>
      <c r="R150" s="141">
        <f t="shared" si="25"/>
        <v>0</v>
      </c>
      <c r="S150" s="141">
        <f t="shared" si="26"/>
        <v>0</v>
      </c>
      <c r="T150" s="141">
        <f t="shared" si="27"/>
        <v>0</v>
      </c>
      <c r="U150" s="81"/>
      <c r="V150" s="78">
        <f>+G150*tab!$C$69</f>
        <v>0</v>
      </c>
      <c r="W150" s="78">
        <f>+H150*tab!$D$69</f>
        <v>0</v>
      </c>
      <c r="X150" s="78">
        <f>+I150*tab!$D$69</f>
        <v>0</v>
      </c>
      <c r="Y150" s="78">
        <f>+J150*tab!$D$69</f>
        <v>0</v>
      </c>
      <c r="Z150" s="81"/>
      <c r="AA150" s="77">
        <v>0</v>
      </c>
      <c r="AB150" s="182">
        <f t="shared" si="28"/>
        <v>0</v>
      </c>
      <c r="AC150" s="141">
        <f t="shared" si="29"/>
        <v>0</v>
      </c>
      <c r="AD150" s="141">
        <f t="shared" si="30"/>
        <v>0</v>
      </c>
      <c r="AE150" s="102"/>
      <c r="AF150" s="154"/>
    </row>
    <row r="151" spans="2:32" s="134" customFormat="1" x14ac:dyDescent="0.2">
      <c r="B151" s="153"/>
      <c r="C151" s="174"/>
      <c r="D151" s="60">
        <v>12</v>
      </c>
      <c r="E151" s="429" t="str">
        <f>+'geg LO'!D32</f>
        <v>Naam SBO 12</v>
      </c>
      <c r="F151" s="431" t="s">
        <v>495</v>
      </c>
      <c r="G151" s="430">
        <f>+'geg LO'!G32</f>
        <v>0</v>
      </c>
      <c r="H151" s="430">
        <f t="shared" si="22"/>
        <v>0</v>
      </c>
      <c r="I151" s="430">
        <f t="shared" si="23"/>
        <v>0</v>
      </c>
      <c r="J151" s="430">
        <f t="shared" si="24"/>
        <v>0</v>
      </c>
      <c r="K151" s="81"/>
      <c r="L151" s="78">
        <f>ROUND(G151*tab!$C$66,2)</f>
        <v>0</v>
      </c>
      <c r="M151" s="78">
        <f>ROUND(H151*tab!$C$66,2)</f>
        <v>0</v>
      </c>
      <c r="N151" s="78">
        <f>ROUND(I151*tab!$C$66,2)</f>
        <v>0</v>
      </c>
      <c r="O151" s="78">
        <f>ROUND(J151*tab!$C$66,2)</f>
        <v>0</v>
      </c>
      <c r="P151" s="81"/>
      <c r="Q151" s="182">
        <v>0</v>
      </c>
      <c r="R151" s="141">
        <f t="shared" si="25"/>
        <v>0</v>
      </c>
      <c r="S151" s="141">
        <f t="shared" si="26"/>
        <v>0</v>
      </c>
      <c r="T151" s="141">
        <f t="shared" si="27"/>
        <v>0</v>
      </c>
      <c r="U151" s="81"/>
      <c r="V151" s="78">
        <f>+G151*tab!$C$69</f>
        <v>0</v>
      </c>
      <c r="W151" s="78">
        <f>+H151*tab!$D$69</f>
        <v>0</v>
      </c>
      <c r="X151" s="78">
        <f>+I151*tab!$D$69</f>
        <v>0</v>
      </c>
      <c r="Y151" s="78">
        <f>+J151*tab!$D$69</f>
        <v>0</v>
      </c>
      <c r="Z151" s="81"/>
      <c r="AA151" s="77">
        <v>0</v>
      </c>
      <c r="AB151" s="182">
        <f t="shared" si="28"/>
        <v>0</v>
      </c>
      <c r="AC151" s="141">
        <f t="shared" si="29"/>
        <v>0</v>
      </c>
      <c r="AD151" s="141">
        <f t="shared" si="30"/>
        <v>0</v>
      </c>
      <c r="AE151" s="102"/>
      <c r="AF151" s="154"/>
    </row>
    <row r="152" spans="2:32" s="134" customFormat="1" x14ac:dyDescent="0.2">
      <c r="B152" s="153"/>
      <c r="C152" s="174"/>
      <c r="D152" s="60">
        <v>13</v>
      </c>
      <c r="E152" s="429" t="str">
        <f>+'geg LO'!D33</f>
        <v>Naam SBO 13</v>
      </c>
      <c r="F152" s="431" t="s">
        <v>495</v>
      </c>
      <c r="G152" s="430">
        <f>+'geg LO'!G33</f>
        <v>0</v>
      </c>
      <c r="H152" s="430">
        <f t="shared" si="22"/>
        <v>0</v>
      </c>
      <c r="I152" s="430">
        <f t="shared" si="23"/>
        <v>0</v>
      </c>
      <c r="J152" s="430">
        <f t="shared" si="24"/>
        <v>0</v>
      </c>
      <c r="K152" s="81"/>
      <c r="L152" s="78">
        <f>ROUND(G152*tab!$C$66,2)</f>
        <v>0</v>
      </c>
      <c r="M152" s="78">
        <f>ROUND(H152*tab!$C$66,2)</f>
        <v>0</v>
      </c>
      <c r="N152" s="78">
        <f>ROUND(I152*tab!$C$66,2)</f>
        <v>0</v>
      </c>
      <c r="O152" s="78">
        <f>ROUND(J152*tab!$C$66,2)</f>
        <v>0</v>
      </c>
      <c r="P152" s="81"/>
      <c r="Q152" s="182">
        <v>0</v>
      </c>
      <c r="R152" s="141">
        <f t="shared" si="25"/>
        <v>0</v>
      </c>
      <c r="S152" s="141">
        <f t="shared" si="26"/>
        <v>0</v>
      </c>
      <c r="T152" s="141">
        <f t="shared" si="27"/>
        <v>0</v>
      </c>
      <c r="U152" s="81"/>
      <c r="V152" s="78">
        <f>+G152*tab!$C$69</f>
        <v>0</v>
      </c>
      <c r="W152" s="78">
        <f>+H152*tab!$D$69</f>
        <v>0</v>
      </c>
      <c r="X152" s="78">
        <f>+I152*tab!$D$69</f>
        <v>0</v>
      </c>
      <c r="Y152" s="78">
        <f>+J152*tab!$D$69</f>
        <v>0</v>
      </c>
      <c r="Z152" s="81"/>
      <c r="AA152" s="77">
        <v>0</v>
      </c>
      <c r="AB152" s="182">
        <f t="shared" si="28"/>
        <v>0</v>
      </c>
      <c r="AC152" s="141">
        <f t="shared" si="29"/>
        <v>0</v>
      </c>
      <c r="AD152" s="141">
        <f t="shared" si="30"/>
        <v>0</v>
      </c>
      <c r="AE152" s="102"/>
      <c r="AF152" s="154"/>
    </row>
    <row r="153" spans="2:32" s="134" customFormat="1" x14ac:dyDescent="0.2">
      <c r="B153" s="153"/>
      <c r="C153" s="174"/>
      <c r="D153" s="60">
        <v>14</v>
      </c>
      <c r="E153" s="429" t="str">
        <f>+'geg LO'!D34</f>
        <v>Naam SBO 14</v>
      </c>
      <c r="F153" s="431" t="s">
        <v>495</v>
      </c>
      <c r="G153" s="430">
        <f>+'geg LO'!G34</f>
        <v>0</v>
      </c>
      <c r="H153" s="430">
        <f t="shared" si="22"/>
        <v>0</v>
      </c>
      <c r="I153" s="430">
        <f t="shared" si="23"/>
        <v>0</v>
      </c>
      <c r="J153" s="430">
        <f t="shared" si="24"/>
        <v>0</v>
      </c>
      <c r="K153" s="81"/>
      <c r="L153" s="78">
        <f>ROUND(G153*tab!$C$66,2)</f>
        <v>0</v>
      </c>
      <c r="M153" s="78">
        <f>ROUND(H153*tab!$C$66,2)</f>
        <v>0</v>
      </c>
      <c r="N153" s="78">
        <f>ROUND(I153*tab!$C$66,2)</f>
        <v>0</v>
      </c>
      <c r="O153" s="78">
        <f>ROUND(J153*tab!$C$66,2)</f>
        <v>0</v>
      </c>
      <c r="P153" s="81"/>
      <c r="Q153" s="182">
        <v>0</v>
      </c>
      <c r="R153" s="141">
        <f t="shared" si="25"/>
        <v>0</v>
      </c>
      <c r="S153" s="141">
        <f t="shared" si="26"/>
        <v>0</v>
      </c>
      <c r="T153" s="141">
        <f t="shared" si="27"/>
        <v>0</v>
      </c>
      <c r="U153" s="81"/>
      <c r="V153" s="78">
        <f>+G153*tab!$C$69</f>
        <v>0</v>
      </c>
      <c r="W153" s="78">
        <f>+H153*tab!$D$69</f>
        <v>0</v>
      </c>
      <c r="X153" s="78">
        <f>+I153*tab!$D$69</f>
        <v>0</v>
      </c>
      <c r="Y153" s="78">
        <f>+J153*tab!$D$69</f>
        <v>0</v>
      </c>
      <c r="Z153" s="81"/>
      <c r="AA153" s="77">
        <v>0</v>
      </c>
      <c r="AB153" s="182">
        <f t="shared" si="28"/>
        <v>0</v>
      </c>
      <c r="AC153" s="141">
        <f t="shared" si="29"/>
        <v>0</v>
      </c>
      <c r="AD153" s="141">
        <f t="shared" si="30"/>
        <v>0</v>
      </c>
      <c r="AE153" s="102"/>
      <c r="AF153" s="154"/>
    </row>
    <row r="154" spans="2:32" s="134" customFormat="1" x14ac:dyDescent="0.2">
      <c r="B154" s="153"/>
      <c r="C154" s="174"/>
      <c r="D154" s="60">
        <v>15</v>
      </c>
      <c r="E154" s="429" t="str">
        <f>+'geg LO'!D35</f>
        <v>Naam SBO 15</v>
      </c>
      <c r="F154" s="431" t="s">
        <v>495</v>
      </c>
      <c r="G154" s="430">
        <f>+'geg LO'!G35</f>
        <v>0</v>
      </c>
      <c r="H154" s="430">
        <f t="shared" si="22"/>
        <v>0</v>
      </c>
      <c r="I154" s="430">
        <f t="shared" si="23"/>
        <v>0</v>
      </c>
      <c r="J154" s="430">
        <f t="shared" si="24"/>
        <v>0</v>
      </c>
      <c r="K154" s="81"/>
      <c r="L154" s="78">
        <f>ROUND(G154*tab!$C$66,2)</f>
        <v>0</v>
      </c>
      <c r="M154" s="78">
        <f>ROUND(H154*tab!$C$66,2)</f>
        <v>0</v>
      </c>
      <c r="N154" s="78">
        <f>ROUND(I154*tab!$C$66,2)</f>
        <v>0</v>
      </c>
      <c r="O154" s="78">
        <f>ROUND(J154*tab!$C$66,2)</f>
        <v>0</v>
      </c>
      <c r="P154" s="81"/>
      <c r="Q154" s="182">
        <v>0</v>
      </c>
      <c r="R154" s="141">
        <f t="shared" si="25"/>
        <v>0</v>
      </c>
      <c r="S154" s="141">
        <f t="shared" si="26"/>
        <v>0</v>
      </c>
      <c r="T154" s="141">
        <f t="shared" si="27"/>
        <v>0</v>
      </c>
      <c r="U154" s="81"/>
      <c r="V154" s="78">
        <f>+G154*tab!$C$69</f>
        <v>0</v>
      </c>
      <c r="W154" s="78">
        <f>+H154*tab!$D$69</f>
        <v>0</v>
      </c>
      <c r="X154" s="78">
        <f>+I154*tab!$D$69</f>
        <v>0</v>
      </c>
      <c r="Y154" s="78">
        <f>+J154*tab!$D$69</f>
        <v>0</v>
      </c>
      <c r="Z154" s="81"/>
      <c r="AA154" s="77">
        <v>0</v>
      </c>
      <c r="AB154" s="182">
        <f t="shared" si="28"/>
        <v>0</v>
      </c>
      <c r="AC154" s="141">
        <f t="shared" si="29"/>
        <v>0</v>
      </c>
      <c r="AD154" s="141">
        <f t="shared" si="30"/>
        <v>0</v>
      </c>
      <c r="AE154" s="102"/>
      <c r="AF154" s="154"/>
    </row>
    <row r="155" spans="2:32" s="139" customFormat="1" x14ac:dyDescent="0.2">
      <c r="B155" s="34"/>
      <c r="C155" s="43"/>
      <c r="D155" s="103"/>
      <c r="E155" s="103"/>
      <c r="F155" s="175" t="s">
        <v>173</v>
      </c>
      <c r="G155" s="55">
        <f>SUM(G140:G154)</f>
        <v>0</v>
      </c>
      <c r="H155" s="55">
        <f>SUM(H140:H154)</f>
        <v>0</v>
      </c>
      <c r="I155" s="55">
        <f>SUM(I140:I154)</f>
        <v>0</v>
      </c>
      <c r="J155" s="55">
        <f>SUM(J140:J154)</f>
        <v>0</v>
      </c>
      <c r="K155" s="76"/>
      <c r="L155" s="190">
        <f>SUM(L140:L154)</f>
        <v>0</v>
      </c>
      <c r="M155" s="190">
        <f>SUM(M140:M154)</f>
        <v>0</v>
      </c>
      <c r="N155" s="190">
        <f>SUM(N140:N154)</f>
        <v>0</v>
      </c>
      <c r="O155" s="190">
        <f>SUM(O140:O154)</f>
        <v>0</v>
      </c>
      <c r="P155" s="76"/>
      <c r="Q155" s="190">
        <f>SUM(Q140:Q154)</f>
        <v>0</v>
      </c>
      <c r="R155" s="190">
        <f>SUM(R140:R154)</f>
        <v>0</v>
      </c>
      <c r="S155" s="190">
        <f>SUM(S140:S154)</f>
        <v>0</v>
      </c>
      <c r="T155" s="190">
        <f>SUM(T140:T154)</f>
        <v>0</v>
      </c>
      <c r="U155" s="76"/>
      <c r="V155" s="190">
        <f>SUM(V140:V154)</f>
        <v>0</v>
      </c>
      <c r="W155" s="190">
        <f>SUM(W140:W154)</f>
        <v>0</v>
      </c>
      <c r="X155" s="190">
        <f>SUM(X140:X154)</f>
        <v>0</v>
      </c>
      <c r="Y155" s="190">
        <f>SUM(Y140:Y154)</f>
        <v>0</v>
      </c>
      <c r="Z155" s="76"/>
      <c r="AA155" s="190">
        <f>SUM(AA140:AA154)</f>
        <v>0</v>
      </c>
      <c r="AB155" s="190">
        <f>SUM(AB140:AB154)</f>
        <v>0</v>
      </c>
      <c r="AC155" s="190">
        <f>SUM(AC140:AC154)</f>
        <v>0</v>
      </c>
      <c r="AD155" s="190">
        <f>SUM(AD140:AD154)</f>
        <v>0</v>
      </c>
      <c r="AE155" s="44"/>
      <c r="AF155" s="35"/>
    </row>
    <row r="156" spans="2:32" x14ac:dyDescent="0.2">
      <c r="B156" s="86"/>
      <c r="AF156" s="88"/>
    </row>
    <row r="157" spans="2:32" x14ac:dyDescent="0.2">
      <c r="B157" s="86"/>
      <c r="D157" s="136" t="s">
        <v>44</v>
      </c>
      <c r="G157" s="55">
        <f>G138+G155</f>
        <v>22080</v>
      </c>
      <c r="H157" s="55">
        <f>H138+H155</f>
        <v>22080</v>
      </c>
      <c r="I157" s="55">
        <f>I138+I155</f>
        <v>22080</v>
      </c>
      <c r="J157" s="55">
        <f>J138+J155</f>
        <v>22080</v>
      </c>
      <c r="K157" s="76"/>
      <c r="L157" s="190">
        <f>+L138+L155</f>
        <v>7039766</v>
      </c>
      <c r="M157" s="190">
        <f>+M138+M155</f>
        <v>7039766</v>
      </c>
      <c r="N157" s="190">
        <f>+N138+N155</f>
        <v>7039766</v>
      </c>
      <c r="O157" s="190">
        <f>+O138+O155</f>
        <v>7039766</v>
      </c>
      <c r="P157" s="76"/>
      <c r="Q157" s="190">
        <f>+Q138+Q155</f>
        <v>0</v>
      </c>
      <c r="R157" s="190">
        <f>+R138+R155</f>
        <v>0</v>
      </c>
      <c r="S157" s="190">
        <f>+S138+S155</f>
        <v>0</v>
      </c>
      <c r="T157" s="190">
        <f>+T138+T155</f>
        <v>0</v>
      </c>
      <c r="U157" s="76"/>
      <c r="V157" s="190">
        <f>+V138+V155</f>
        <v>662620.79999999946</v>
      </c>
      <c r="W157" s="190">
        <f>+W138+W155</f>
        <v>676531.20000000065</v>
      </c>
      <c r="X157" s="190">
        <f>+X138+X155</f>
        <v>676531.20000000065</v>
      </c>
      <c r="Y157" s="190">
        <f>+Y138+Y155</f>
        <v>676531.20000000065</v>
      </c>
      <c r="Z157" s="76"/>
      <c r="AA157" s="190">
        <f>+AA138+AA155</f>
        <v>0</v>
      </c>
      <c r="AB157" s="190">
        <f>+AB138+AB155</f>
        <v>0</v>
      </c>
      <c r="AC157" s="190">
        <f>+AC138+AC155</f>
        <v>0</v>
      </c>
      <c r="AD157" s="190">
        <f>+AD138+AD155</f>
        <v>0</v>
      </c>
      <c r="AF157" s="88"/>
    </row>
    <row r="158" spans="2:32" x14ac:dyDescent="0.2">
      <c r="B158" s="86"/>
      <c r="AF158" s="88"/>
    </row>
    <row r="159" spans="2:32" x14ac:dyDescent="0.2">
      <c r="B159" s="86"/>
      <c r="C159" s="87"/>
      <c r="D159" s="142"/>
      <c r="E159" s="142"/>
      <c r="F159" s="143"/>
      <c r="G159" s="80"/>
      <c r="H159" s="80"/>
      <c r="I159" s="80"/>
      <c r="J159" s="80"/>
      <c r="K159" s="80"/>
      <c r="L159" s="87"/>
      <c r="M159" s="87"/>
      <c r="N159" s="87"/>
      <c r="O159" s="87"/>
      <c r="P159" s="80"/>
      <c r="Q159" s="87"/>
      <c r="R159" s="87"/>
      <c r="S159" s="87"/>
      <c r="T159" s="87"/>
      <c r="U159" s="80"/>
      <c r="V159" s="87"/>
      <c r="W159" s="87"/>
      <c r="X159" s="87"/>
      <c r="Y159" s="87"/>
      <c r="Z159" s="80"/>
      <c r="AA159" s="87"/>
      <c r="AB159" s="87"/>
      <c r="AC159" s="87"/>
      <c r="AD159" s="87"/>
      <c r="AE159" s="87"/>
      <c r="AF159" s="88"/>
    </row>
    <row r="160" spans="2:32" x14ac:dyDescent="0.2">
      <c r="B160" s="96"/>
      <c r="C160" s="93"/>
      <c r="D160" s="155"/>
      <c r="E160" s="155"/>
      <c r="F160" s="156"/>
      <c r="G160" s="94"/>
      <c r="H160" s="94"/>
      <c r="I160" s="94"/>
      <c r="J160" s="94"/>
      <c r="K160" s="94"/>
      <c r="L160" s="93"/>
      <c r="M160" s="93"/>
      <c r="N160" s="93"/>
      <c r="O160" s="93"/>
      <c r="P160" s="94"/>
      <c r="Q160" s="93"/>
      <c r="R160" s="93"/>
      <c r="S160" s="93"/>
      <c r="T160" s="93"/>
      <c r="U160" s="94"/>
      <c r="V160" s="93"/>
      <c r="W160" s="93"/>
      <c r="X160" s="93"/>
      <c r="Y160" s="93"/>
      <c r="Z160" s="94"/>
      <c r="AA160" s="93"/>
      <c r="AB160" s="93"/>
      <c r="AC160" s="93"/>
      <c r="AD160" s="93"/>
      <c r="AE160" s="93"/>
      <c r="AF160" s="95"/>
    </row>
    <row r="163" spans="4:26" s="135" customFormat="1" x14ac:dyDescent="0.2">
      <c r="D163" s="136"/>
      <c r="E163" s="136"/>
      <c r="F163" s="137"/>
      <c r="G163" s="138"/>
      <c r="H163" s="138"/>
      <c r="I163" s="138"/>
      <c r="J163" s="138"/>
      <c r="K163" s="138"/>
      <c r="P163" s="138"/>
      <c r="U163" s="138"/>
      <c r="Z163" s="138"/>
    </row>
    <row r="173" spans="4:26" s="135" customFormat="1" x14ac:dyDescent="0.2">
      <c r="D173" s="136"/>
      <c r="E173" s="136"/>
      <c r="F173" s="137"/>
      <c r="G173" s="138"/>
      <c r="H173" s="138"/>
      <c r="I173" s="138"/>
      <c r="J173" s="138"/>
      <c r="K173" s="138"/>
      <c r="P173" s="138"/>
      <c r="U173" s="138"/>
      <c r="Z173" s="138"/>
    </row>
    <row r="178" spans="4:26" s="135" customFormat="1" x14ac:dyDescent="0.2">
      <c r="D178" s="136"/>
      <c r="E178" s="136"/>
      <c r="F178" s="137"/>
      <c r="G178" s="138"/>
      <c r="H178" s="138"/>
      <c r="I178" s="138"/>
      <c r="J178" s="138"/>
      <c r="K178" s="138"/>
      <c r="P178" s="138"/>
      <c r="U178" s="138"/>
      <c r="Z178" s="138"/>
    </row>
    <row r="183" spans="4:26" s="135" customFormat="1" x14ac:dyDescent="0.2">
      <c r="D183" s="136"/>
      <c r="E183" s="136"/>
      <c r="F183" s="137"/>
      <c r="G183" s="138"/>
      <c r="H183" s="138"/>
      <c r="I183" s="138"/>
      <c r="J183" s="138"/>
      <c r="K183" s="138"/>
      <c r="P183" s="138"/>
      <c r="U183" s="138"/>
      <c r="Z183" s="138"/>
    </row>
    <row r="188" spans="4:26" s="135" customFormat="1" x14ac:dyDescent="0.2">
      <c r="D188" s="136"/>
      <c r="E188" s="136"/>
      <c r="F188" s="137"/>
      <c r="G188" s="138"/>
      <c r="H188" s="138"/>
      <c r="I188" s="138"/>
      <c r="J188" s="138"/>
      <c r="K188" s="138"/>
      <c r="P188" s="138"/>
      <c r="U188" s="138"/>
      <c r="Z188" s="138"/>
    </row>
    <row r="193" spans="4:26" s="135" customFormat="1" x14ac:dyDescent="0.2">
      <c r="D193" s="136"/>
      <c r="E193" s="136"/>
      <c r="F193" s="137"/>
      <c r="G193" s="138"/>
      <c r="H193" s="138"/>
      <c r="I193" s="138"/>
      <c r="J193" s="138"/>
      <c r="K193" s="138"/>
      <c r="P193" s="138"/>
      <c r="U193" s="138"/>
      <c r="Z193" s="138"/>
    </row>
    <row r="198" spans="4:26" s="135" customFormat="1" x14ac:dyDescent="0.2">
      <c r="D198" s="136"/>
      <c r="E198" s="136"/>
      <c r="F198" s="137"/>
      <c r="G198" s="138"/>
      <c r="H198" s="138"/>
      <c r="I198" s="138"/>
      <c r="J198" s="138"/>
      <c r="K198" s="138"/>
      <c r="P198" s="138"/>
      <c r="U198" s="138"/>
      <c r="Z198" s="138"/>
    </row>
    <row r="209" spans="4:26" s="135" customFormat="1" x14ac:dyDescent="0.2">
      <c r="D209" s="136"/>
      <c r="E209" s="136"/>
      <c r="F209" s="137"/>
      <c r="G209" s="138"/>
      <c r="H209" s="138"/>
      <c r="I209" s="138"/>
      <c r="J209" s="138"/>
      <c r="K209" s="138"/>
      <c r="P209" s="138"/>
      <c r="U209" s="138"/>
      <c r="Z209" s="138"/>
    </row>
    <row r="214" spans="4:26" s="135" customFormat="1" x14ac:dyDescent="0.2">
      <c r="D214" s="136"/>
      <c r="E214" s="136"/>
      <c r="F214" s="137"/>
      <c r="G214" s="138"/>
      <c r="H214" s="138"/>
      <c r="I214" s="138"/>
      <c r="J214" s="138"/>
      <c r="K214" s="138"/>
      <c r="P214" s="138"/>
      <c r="U214" s="138"/>
      <c r="Z214" s="138"/>
    </row>
    <row r="219" spans="4:26" s="135" customFormat="1" x14ac:dyDescent="0.2">
      <c r="D219" s="136"/>
      <c r="E219" s="136"/>
      <c r="F219" s="137"/>
      <c r="G219" s="138"/>
      <c r="H219" s="138"/>
      <c r="I219" s="138"/>
      <c r="J219" s="138"/>
      <c r="K219" s="138"/>
      <c r="P219" s="138"/>
      <c r="U219" s="138"/>
      <c r="Z219" s="138"/>
    </row>
    <row r="224" spans="4:26" s="135" customFormat="1" x14ac:dyDescent="0.2">
      <c r="D224" s="136"/>
      <c r="E224" s="136"/>
      <c r="F224" s="137"/>
      <c r="G224" s="138"/>
      <c r="H224" s="138"/>
      <c r="I224" s="138"/>
      <c r="J224" s="138"/>
      <c r="K224" s="138"/>
      <c r="P224" s="138"/>
      <c r="U224" s="138"/>
      <c r="Z224" s="138"/>
    </row>
    <row r="229" spans="4:26" s="135" customFormat="1" x14ac:dyDescent="0.2">
      <c r="D229" s="136"/>
      <c r="E229" s="136"/>
      <c r="F229" s="137"/>
      <c r="G229" s="138"/>
      <c r="H229" s="138"/>
      <c r="I229" s="138"/>
      <c r="J229" s="138"/>
      <c r="K229" s="138"/>
      <c r="P229" s="138"/>
      <c r="U229" s="138"/>
      <c r="Z229" s="138"/>
    </row>
    <row r="232" spans="4:26" x14ac:dyDescent="0.2">
      <c r="D232" s="136"/>
      <c r="E232" s="136"/>
      <c r="F232" s="137"/>
      <c r="G232" s="138"/>
      <c r="H232" s="138"/>
      <c r="K232" s="138"/>
      <c r="P232" s="138"/>
      <c r="U232" s="138"/>
      <c r="Z232" s="138"/>
    </row>
    <row r="233" spans="4:26" x14ac:dyDescent="0.2">
      <c r="D233" s="136"/>
      <c r="E233" s="136"/>
      <c r="F233" s="137"/>
      <c r="G233" s="138"/>
      <c r="H233" s="138"/>
      <c r="K233" s="138"/>
      <c r="P233" s="138"/>
      <c r="U233" s="138"/>
      <c r="Z233" s="138"/>
    </row>
    <row r="234" spans="4:26" s="135" customFormat="1" x14ac:dyDescent="0.2">
      <c r="D234" s="136"/>
      <c r="E234" s="136"/>
      <c r="F234" s="137"/>
      <c r="G234" s="138"/>
      <c r="H234" s="138"/>
      <c r="I234" s="138"/>
      <c r="J234" s="138"/>
      <c r="K234" s="138"/>
      <c r="P234" s="138"/>
      <c r="U234" s="138"/>
      <c r="Z234" s="138"/>
    </row>
  </sheetData>
  <sheetProtection algorithmName="SHA-512" hashValue="bxQBbhw9ndmf4fojMkFtuzTMLhiikN8SXzK4Fks+OyXS0eiTnrTAMMW0xV46WU0/AxV3MxhRa8RGP/+CCtNmZA==" saltValue="7x5wG4KvcYPI8HKBp4HO0w==" spinCount="100000" sheet="1" objects="1" scenarios="1"/>
  <phoneticPr fontId="49" type="noConversion"/>
  <pageMargins left="0.75" right="0.75" top="1" bottom="1" header="0.5" footer="0.5"/>
  <pageSetup paperSize="9" scale="35" orientation="portrait" r:id="rId1"/>
  <headerFooter alignWithMargins="0"/>
  <colBreaks count="1" manualBreakCount="1">
    <brk id="20" min="1" max="140" man="1"/>
  </colBreaks>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2:AU271"/>
  <sheetViews>
    <sheetView zoomScale="85" zoomScaleNormal="85" workbookViewId="0">
      <selection activeCell="B2" sqref="B2"/>
    </sheetView>
  </sheetViews>
  <sheetFormatPr defaultColWidth="9.7109375" defaultRowHeight="12.75" x14ac:dyDescent="0.2"/>
  <cols>
    <col min="1" max="1" width="3.7109375" style="6" customWidth="1"/>
    <col min="2" max="3" width="2.7109375" style="6" customWidth="1"/>
    <col min="4" max="4" width="35.7109375" style="6" customWidth="1"/>
    <col min="5" max="5" width="2.7109375" style="6" customWidth="1"/>
    <col min="6" max="10" width="16.85546875" style="6" customWidth="1"/>
    <col min="11" max="12" width="2.7109375" style="6" customWidth="1"/>
    <col min="13" max="19" width="9.7109375" style="6" customWidth="1"/>
    <col min="20" max="20" width="8" style="6" customWidth="1"/>
    <col min="21" max="21" width="13.85546875" style="6" customWidth="1"/>
    <col min="22" max="16384" width="9.7109375" style="6"/>
  </cols>
  <sheetData>
    <row r="2" spans="2:45" x14ac:dyDescent="0.2">
      <c r="B2" s="23"/>
      <c r="C2" s="24"/>
      <c r="D2" s="24"/>
      <c r="E2" s="24"/>
      <c r="F2" s="24"/>
      <c r="G2" s="24"/>
      <c r="H2" s="24"/>
      <c r="I2" s="24"/>
      <c r="J2" s="24"/>
      <c r="K2" s="24"/>
      <c r="L2" s="25"/>
    </row>
    <row r="3" spans="2:45" x14ac:dyDescent="0.2">
      <c r="B3" s="26"/>
      <c r="C3" s="27"/>
      <c r="D3" s="27"/>
      <c r="E3" s="27"/>
      <c r="F3" s="27"/>
      <c r="G3" s="27"/>
      <c r="H3" s="27"/>
      <c r="I3" s="27"/>
      <c r="J3" s="27"/>
      <c r="K3" s="27"/>
      <c r="L3" s="30"/>
    </row>
    <row r="4" spans="2:45" s="13" customFormat="1" ht="18.75" x14ac:dyDescent="0.3">
      <c r="B4" s="56"/>
      <c r="C4" s="121" t="s">
        <v>387</v>
      </c>
      <c r="D4" s="57"/>
      <c r="E4" s="57"/>
      <c r="F4" s="57"/>
      <c r="G4" s="57"/>
      <c r="H4" s="57"/>
      <c r="I4" s="57"/>
      <c r="J4" s="57"/>
      <c r="K4" s="57"/>
      <c r="L4" s="58"/>
    </row>
    <row r="5" spans="2:45" s="8" customFormat="1" ht="18.75" x14ac:dyDescent="0.3">
      <c r="B5" s="31"/>
      <c r="C5" s="59" t="str">
        <f>'geg LO'!G8</f>
        <v>SWV PO Passend Onderwijs</v>
      </c>
      <c r="D5" s="32"/>
      <c r="E5" s="32"/>
      <c r="F5" s="32"/>
      <c r="G5" s="32"/>
      <c r="H5" s="32"/>
      <c r="I5" s="32"/>
      <c r="J5" s="32"/>
      <c r="K5" s="32"/>
      <c r="L5" s="33"/>
    </row>
    <row r="6" spans="2:45" ht="12.75" customHeight="1" x14ac:dyDescent="0.25">
      <c r="B6" s="26"/>
      <c r="C6" s="111"/>
      <c r="D6" s="27"/>
      <c r="E6" s="27"/>
      <c r="F6" s="27"/>
      <c r="G6" s="27"/>
      <c r="H6" s="27"/>
      <c r="I6" s="27"/>
      <c r="J6" s="27"/>
      <c r="K6" s="27"/>
      <c r="L6" s="30"/>
      <c r="AD6" s="14"/>
      <c r="AE6" s="14"/>
      <c r="AF6" s="14"/>
      <c r="AG6" s="14"/>
      <c r="AH6" s="14"/>
      <c r="AI6" s="14"/>
      <c r="AJ6" s="14"/>
      <c r="AK6" s="14"/>
      <c r="AL6" s="14"/>
      <c r="AM6" s="14"/>
      <c r="AN6" s="14"/>
      <c r="AO6" s="14"/>
      <c r="AP6" s="14"/>
      <c r="AQ6" s="14"/>
      <c r="AR6" s="14"/>
      <c r="AS6" s="14"/>
    </row>
    <row r="7" spans="2:45" ht="12.75" customHeight="1" x14ac:dyDescent="0.25">
      <c r="B7" s="26"/>
      <c r="C7" s="111"/>
      <c r="D7" s="27"/>
      <c r="E7" s="27"/>
      <c r="F7" s="27"/>
      <c r="G7" s="27"/>
      <c r="H7" s="27"/>
      <c r="I7" s="27"/>
      <c r="J7" s="27"/>
      <c r="K7" s="27"/>
      <c r="L7" s="30"/>
      <c r="AD7" s="14"/>
      <c r="AE7" s="14"/>
      <c r="AF7" s="14"/>
      <c r="AG7" s="14"/>
      <c r="AH7" s="14"/>
      <c r="AI7" s="14"/>
      <c r="AJ7" s="14"/>
      <c r="AK7" s="14"/>
      <c r="AL7" s="14"/>
      <c r="AM7" s="14"/>
      <c r="AN7" s="14"/>
      <c r="AO7" s="14"/>
      <c r="AP7" s="14"/>
      <c r="AQ7" s="14"/>
      <c r="AR7" s="14"/>
      <c r="AS7" s="14"/>
    </row>
    <row r="8" spans="2:45" ht="12.75" customHeight="1" x14ac:dyDescent="0.25">
      <c r="B8" s="26"/>
      <c r="C8" s="111"/>
      <c r="D8" s="27"/>
      <c r="E8" s="27"/>
      <c r="F8" s="27"/>
      <c r="G8" s="27"/>
      <c r="H8" s="27"/>
      <c r="I8" s="27"/>
      <c r="J8" s="27"/>
      <c r="K8" s="27"/>
      <c r="L8" s="30"/>
      <c r="AD8" s="14"/>
      <c r="AE8" s="14"/>
      <c r="AF8" s="14"/>
      <c r="AG8" s="14"/>
      <c r="AH8" s="14"/>
      <c r="AI8" s="14"/>
      <c r="AJ8" s="14"/>
      <c r="AK8" s="14"/>
      <c r="AL8" s="14"/>
      <c r="AM8" s="14"/>
      <c r="AN8" s="14"/>
      <c r="AO8" s="14"/>
      <c r="AP8" s="14"/>
      <c r="AQ8" s="14"/>
      <c r="AR8" s="14"/>
      <c r="AS8" s="14"/>
    </row>
    <row r="9" spans="2:45" ht="12.75" customHeight="1" x14ac:dyDescent="0.2">
      <c r="B9" s="26"/>
      <c r="C9" s="75"/>
      <c r="D9" s="38"/>
      <c r="E9" s="38"/>
      <c r="F9" s="38"/>
      <c r="G9" s="38"/>
      <c r="H9" s="38"/>
      <c r="I9" s="38"/>
      <c r="J9" s="38"/>
      <c r="K9" s="39"/>
      <c r="L9" s="30"/>
      <c r="AD9" s="14"/>
      <c r="AE9" s="14"/>
      <c r="AF9" s="14"/>
      <c r="AG9" s="14"/>
      <c r="AH9" s="14"/>
      <c r="AI9" s="14"/>
      <c r="AJ9" s="14"/>
      <c r="AK9" s="14"/>
      <c r="AL9" s="14"/>
      <c r="AM9" s="14"/>
      <c r="AN9" s="14"/>
      <c r="AO9" s="14"/>
      <c r="AP9" s="14"/>
      <c r="AQ9" s="14"/>
      <c r="AR9" s="14"/>
      <c r="AS9" s="14"/>
    </row>
    <row r="10" spans="2:45" ht="12.75" customHeight="1" x14ac:dyDescent="0.2">
      <c r="B10" s="26"/>
      <c r="C10" s="40"/>
      <c r="D10" s="120" t="s">
        <v>389</v>
      </c>
      <c r="E10" s="41"/>
      <c r="F10" s="41"/>
      <c r="G10" s="41"/>
      <c r="H10" s="46" t="s">
        <v>150</v>
      </c>
      <c r="I10" s="41"/>
      <c r="J10" s="41"/>
      <c r="K10" s="42"/>
      <c r="L10" s="30"/>
      <c r="AD10" s="14"/>
      <c r="AE10" s="14"/>
      <c r="AF10" s="14"/>
      <c r="AG10" s="14"/>
      <c r="AH10" s="14"/>
      <c r="AI10" s="14"/>
      <c r="AJ10" s="14"/>
      <c r="AK10" s="14"/>
      <c r="AL10" s="14"/>
      <c r="AM10" s="14"/>
      <c r="AN10" s="14"/>
      <c r="AO10" s="14"/>
      <c r="AP10" s="14"/>
      <c r="AQ10" s="14"/>
      <c r="AR10" s="14"/>
      <c r="AS10" s="14"/>
    </row>
    <row r="11" spans="2:45" ht="12.75" customHeight="1" x14ac:dyDescent="0.2">
      <c r="B11" s="26"/>
      <c r="C11" s="40"/>
      <c r="D11" s="41" t="s">
        <v>414</v>
      </c>
      <c r="E11" s="41"/>
      <c r="F11" s="41"/>
      <c r="G11" s="41"/>
      <c r="H11" s="127">
        <v>0.25</v>
      </c>
      <c r="I11" s="41"/>
      <c r="J11" s="41"/>
      <c r="K11" s="42"/>
      <c r="L11" s="30"/>
      <c r="AD11" s="14"/>
      <c r="AE11" s="14"/>
      <c r="AF11" s="14"/>
      <c r="AG11" s="14"/>
      <c r="AH11" s="14"/>
      <c r="AI11" s="14"/>
      <c r="AJ11" s="14"/>
      <c r="AK11" s="14"/>
      <c r="AL11" s="14"/>
      <c r="AM11" s="14"/>
      <c r="AN11" s="14"/>
      <c r="AO11" s="14"/>
      <c r="AP11" s="14"/>
      <c r="AQ11" s="14"/>
      <c r="AR11" s="14"/>
      <c r="AS11" s="14"/>
    </row>
    <row r="12" spans="2:45" ht="12.75" customHeight="1" x14ac:dyDescent="0.2">
      <c r="B12" s="26"/>
      <c r="C12" s="40"/>
      <c r="D12" s="41" t="s">
        <v>465</v>
      </c>
      <c r="E12" s="41"/>
      <c r="F12" s="41"/>
      <c r="G12" s="41"/>
      <c r="H12" s="41"/>
      <c r="I12" s="41"/>
      <c r="J12" s="41"/>
      <c r="K12" s="42"/>
      <c r="L12" s="30"/>
      <c r="AD12" s="14"/>
      <c r="AE12" s="14"/>
      <c r="AF12" s="14"/>
      <c r="AG12" s="14"/>
      <c r="AH12" s="14"/>
      <c r="AI12" s="14"/>
      <c r="AJ12" s="14"/>
      <c r="AK12" s="14"/>
      <c r="AL12" s="14"/>
      <c r="AM12" s="14"/>
      <c r="AN12" s="14"/>
      <c r="AO12" s="14"/>
      <c r="AP12" s="14"/>
      <c r="AQ12" s="14"/>
      <c r="AR12" s="14"/>
      <c r="AS12" s="14"/>
    </row>
    <row r="13" spans="2:45" ht="12.75" customHeight="1" x14ac:dyDescent="0.2">
      <c r="B13" s="26"/>
      <c r="C13" s="40"/>
      <c r="D13" s="41"/>
      <c r="E13" s="41"/>
      <c r="F13" s="45"/>
      <c r="G13" s="41"/>
      <c r="H13" s="41"/>
      <c r="I13" s="41"/>
      <c r="J13" s="41"/>
      <c r="K13" s="42"/>
      <c r="L13" s="30"/>
      <c r="AD13" s="14"/>
      <c r="AE13" s="14"/>
      <c r="AF13" s="14"/>
      <c r="AG13" s="14"/>
      <c r="AH13" s="14"/>
      <c r="AI13" s="14"/>
      <c r="AJ13" s="14"/>
      <c r="AK13" s="14"/>
      <c r="AL13" s="14"/>
      <c r="AM13" s="14"/>
      <c r="AN13" s="14"/>
      <c r="AO13" s="14"/>
      <c r="AP13" s="14"/>
      <c r="AQ13" s="14"/>
      <c r="AR13" s="14"/>
      <c r="AS13" s="14"/>
    </row>
    <row r="14" spans="2:45" ht="12.75" customHeight="1" x14ac:dyDescent="0.2">
      <c r="B14" s="26"/>
      <c r="C14" s="40"/>
      <c r="D14" s="41" t="s">
        <v>150</v>
      </c>
      <c r="E14" s="41"/>
      <c r="F14" s="123">
        <v>0.05</v>
      </c>
      <c r="G14" s="123">
        <v>0.1</v>
      </c>
      <c r="H14" s="123">
        <v>0.15</v>
      </c>
      <c r="I14" s="123">
        <v>0.3</v>
      </c>
      <c r="J14" s="123">
        <v>0.25</v>
      </c>
      <c r="K14" s="42"/>
      <c r="L14" s="30"/>
      <c r="AD14" s="14"/>
      <c r="AE14" s="14"/>
      <c r="AF14" s="14"/>
      <c r="AG14" s="14"/>
      <c r="AH14" s="14"/>
      <c r="AI14" s="14"/>
      <c r="AJ14" s="14"/>
      <c r="AK14" s="14"/>
      <c r="AL14" s="14"/>
      <c r="AM14" s="14"/>
      <c r="AN14" s="14"/>
      <c r="AO14" s="14"/>
      <c r="AP14" s="14"/>
      <c r="AQ14" s="14"/>
      <c r="AR14" s="14"/>
      <c r="AS14" s="14"/>
    </row>
    <row r="15" spans="2:45" ht="12.75" customHeight="1" x14ac:dyDescent="0.2">
      <c r="B15" s="26"/>
      <c r="C15" s="40"/>
      <c r="D15" s="41" t="s">
        <v>151</v>
      </c>
      <c r="E15" s="41"/>
      <c r="F15" s="122" t="s">
        <v>198</v>
      </c>
      <c r="G15" s="122" t="s">
        <v>199</v>
      </c>
      <c r="H15" s="122" t="s">
        <v>201</v>
      </c>
      <c r="I15" s="122" t="s">
        <v>199</v>
      </c>
      <c r="J15" s="122" t="s">
        <v>204</v>
      </c>
      <c r="K15" s="42"/>
      <c r="L15" s="30"/>
      <c r="AD15" s="14"/>
      <c r="AE15" s="14"/>
      <c r="AF15" s="14"/>
      <c r="AG15" s="14"/>
      <c r="AH15" s="14"/>
      <c r="AI15" s="14"/>
      <c r="AJ15" s="14"/>
      <c r="AK15" s="14"/>
      <c r="AL15" s="14"/>
      <c r="AM15" s="14"/>
      <c r="AN15" s="14"/>
      <c r="AO15" s="14"/>
      <c r="AP15" s="14"/>
      <c r="AQ15" s="14"/>
      <c r="AR15" s="14"/>
      <c r="AS15" s="14"/>
    </row>
    <row r="16" spans="2:45" ht="12.75" customHeight="1" x14ac:dyDescent="0.2">
      <c r="B16" s="26"/>
      <c r="C16" s="40"/>
      <c r="D16" s="41" t="s">
        <v>390</v>
      </c>
      <c r="E16" s="41"/>
      <c r="F16" s="52">
        <v>43</v>
      </c>
      <c r="G16" s="52">
        <v>40</v>
      </c>
      <c r="H16" s="52">
        <v>41</v>
      </c>
      <c r="I16" s="52">
        <v>60</v>
      </c>
      <c r="J16" s="52">
        <v>45</v>
      </c>
      <c r="K16" s="42"/>
      <c r="L16" s="30"/>
      <c r="AD16" s="14"/>
      <c r="AE16" s="14"/>
      <c r="AF16" s="14"/>
      <c r="AG16" s="14"/>
      <c r="AH16" s="14"/>
      <c r="AI16" s="14"/>
      <c r="AJ16" s="14"/>
      <c r="AK16" s="14"/>
      <c r="AL16" s="14"/>
      <c r="AM16" s="14"/>
      <c r="AN16" s="14"/>
      <c r="AO16" s="14"/>
      <c r="AP16" s="14"/>
      <c r="AQ16" s="14"/>
      <c r="AR16" s="14"/>
      <c r="AS16" s="14"/>
    </row>
    <row r="17" spans="2:47" ht="12.75" customHeight="1" x14ac:dyDescent="0.2">
      <c r="B17" s="26"/>
      <c r="C17" s="40"/>
      <c r="D17" s="41" t="s">
        <v>152</v>
      </c>
      <c r="E17" s="41"/>
      <c r="F17" s="128">
        <f>ROUND(IF(F14&lt;$H11,F14*tab!$C24*VLOOKUP(F15,verhoudingstabel_LB,2,FALSE),F14*(tab!$C25+IF(F16&gt;50,50,F16)*tab!$C26)*VLOOKUP(F15,verhoudingstabel_LB,2,FALSE)),-1)</f>
        <v>3670</v>
      </c>
      <c r="G17" s="128">
        <f>ROUND(IF(G14&lt;$H11,G14*tab!$C24*VLOOKUP(G15,verhoudingstabel_LB,2,FALSE),G14*(tab!$C25+IF(G16&gt;50,50,G16)*tab!$C26)*VLOOKUP(G15,verhoudingstabel_LB,2,FALSE)),-1)</f>
        <v>8260</v>
      </c>
      <c r="H17" s="128">
        <f>ROUND(IF(H14&lt;$H11,H14*tab!$C24*VLOOKUP(H15,verhoudingstabel_LB,2,FALSE),H14*(tab!$C25+IF(H16&gt;50,50,H16)*tab!$C26)*VLOOKUP(H15,verhoudingstabel_LB,2,FALSE)),-1)</f>
        <v>13780</v>
      </c>
      <c r="I17" s="128">
        <f>ROUND(IF(I14&lt;$H11,I14*tab!$C24*VLOOKUP(I15,verhoudingstabel_LB,2,FALSE),I14*(tab!$C25+IF(I16&gt;50,50,I16)*tab!$C26)*VLOOKUP(I15,verhoudingstabel_LB,2,FALSE)),-1)</f>
        <v>27620</v>
      </c>
      <c r="J17" s="128">
        <f>ROUND(IF(J14&lt;$H11,J14*tab!$C24*VLOOKUP(J15,verhoudingstabel_LB,2,FALSE),J14*(tab!$C25+IF(J16&gt;50,50,J16)*tab!$C26)*VLOOKUP(J15,verhoudingstabel_LB,2,FALSE)),-1)</f>
        <v>26950</v>
      </c>
      <c r="K17" s="42"/>
      <c r="L17" s="30"/>
      <c r="AD17" s="14"/>
      <c r="AE17" s="14"/>
      <c r="AF17" s="14"/>
      <c r="AG17" s="14"/>
      <c r="AH17" s="14"/>
      <c r="AI17" s="14"/>
      <c r="AJ17" s="14"/>
      <c r="AK17" s="14"/>
      <c r="AL17" s="14"/>
      <c r="AM17" s="14"/>
      <c r="AN17" s="14"/>
      <c r="AO17" s="14"/>
      <c r="AP17" s="14"/>
      <c r="AQ17" s="14"/>
      <c r="AR17" s="14"/>
      <c r="AS17" s="14"/>
    </row>
    <row r="18" spans="2:47" ht="12.75" customHeight="1" x14ac:dyDescent="0.2">
      <c r="B18" s="26"/>
      <c r="C18" s="40"/>
      <c r="D18" s="41"/>
      <c r="E18" s="45"/>
      <c r="F18" s="41"/>
      <c r="G18" s="41"/>
      <c r="H18" s="41"/>
      <c r="I18" s="41"/>
      <c r="J18" s="41"/>
      <c r="K18" s="42"/>
      <c r="L18" s="30"/>
      <c r="AD18" s="14"/>
      <c r="AE18" s="14"/>
      <c r="AF18" s="14"/>
      <c r="AG18" s="14"/>
      <c r="AH18" s="14"/>
      <c r="AI18" s="14"/>
      <c r="AJ18" s="14"/>
      <c r="AK18" s="14"/>
      <c r="AL18" s="14"/>
      <c r="AM18" s="14"/>
      <c r="AN18" s="14"/>
      <c r="AO18" s="14"/>
      <c r="AP18" s="14"/>
      <c r="AQ18" s="14"/>
      <c r="AR18" s="14"/>
      <c r="AS18" s="14"/>
    </row>
    <row r="19" spans="2:47" ht="12.75" customHeight="1" x14ac:dyDescent="0.2">
      <c r="B19" s="26"/>
      <c r="C19" s="40"/>
      <c r="D19" s="41" t="s">
        <v>150</v>
      </c>
      <c r="E19" s="41"/>
      <c r="F19" s="123">
        <v>0.35</v>
      </c>
      <c r="G19" s="123">
        <v>0.4</v>
      </c>
      <c r="H19" s="123">
        <v>0.45</v>
      </c>
      <c r="I19" s="123">
        <v>0.5</v>
      </c>
      <c r="J19" s="123">
        <v>0.35</v>
      </c>
      <c r="K19" s="42"/>
      <c r="L19" s="30"/>
      <c r="AD19" s="14"/>
      <c r="AE19" s="14"/>
      <c r="AF19" s="14"/>
      <c r="AG19" s="14"/>
      <c r="AH19" s="14"/>
      <c r="AI19" s="14"/>
      <c r="AJ19" s="14"/>
      <c r="AK19" s="14"/>
      <c r="AL19" s="14"/>
      <c r="AM19" s="14"/>
      <c r="AN19" s="14"/>
      <c r="AO19" s="14"/>
      <c r="AP19" s="14"/>
      <c r="AQ19" s="14"/>
      <c r="AR19" s="14"/>
      <c r="AS19" s="14"/>
    </row>
    <row r="20" spans="2:47" ht="12.75" customHeight="1" x14ac:dyDescent="0.2">
      <c r="B20" s="26"/>
      <c r="C20" s="40"/>
      <c r="D20" s="41" t="s">
        <v>151</v>
      </c>
      <c r="E20" s="41"/>
      <c r="F20" s="122" t="s">
        <v>210</v>
      </c>
      <c r="G20" s="122" t="s">
        <v>211</v>
      </c>
      <c r="H20" s="122" t="s">
        <v>212</v>
      </c>
      <c r="I20" s="122" t="s">
        <v>213</v>
      </c>
      <c r="J20" s="122" t="s">
        <v>214</v>
      </c>
      <c r="K20" s="42"/>
      <c r="L20" s="30"/>
      <c r="AD20" s="14"/>
      <c r="AE20" s="14"/>
      <c r="AF20" s="14"/>
      <c r="AG20" s="14"/>
      <c r="AH20" s="14"/>
      <c r="AI20" s="14"/>
      <c r="AJ20" s="14"/>
      <c r="AK20" s="14"/>
      <c r="AL20" s="14"/>
      <c r="AM20" s="14"/>
      <c r="AN20" s="14"/>
      <c r="AO20" s="14"/>
      <c r="AP20" s="14"/>
      <c r="AQ20" s="14"/>
      <c r="AR20" s="14"/>
      <c r="AS20" s="14"/>
    </row>
    <row r="21" spans="2:47" ht="12.75" customHeight="1" x14ac:dyDescent="0.2">
      <c r="B21" s="26"/>
      <c r="C21" s="40"/>
      <c r="D21" s="41" t="s">
        <v>390</v>
      </c>
      <c r="E21" s="41"/>
      <c r="F21" s="52">
        <v>35</v>
      </c>
      <c r="G21" s="52">
        <v>45</v>
      </c>
      <c r="H21" s="52">
        <v>55</v>
      </c>
      <c r="I21" s="52">
        <v>30</v>
      </c>
      <c r="J21" s="52">
        <v>33</v>
      </c>
      <c r="K21" s="42"/>
      <c r="L21" s="30"/>
      <c r="AD21" s="14"/>
      <c r="AE21" s="14"/>
      <c r="AF21" s="14"/>
      <c r="AG21" s="14"/>
      <c r="AH21" s="14"/>
      <c r="AI21" s="14"/>
      <c r="AJ21" s="14"/>
      <c r="AK21" s="14"/>
      <c r="AL21" s="14"/>
      <c r="AM21" s="14"/>
      <c r="AN21" s="14"/>
      <c r="AO21" s="14"/>
      <c r="AP21" s="14"/>
      <c r="AQ21" s="14"/>
      <c r="AR21" s="14"/>
      <c r="AS21" s="14"/>
    </row>
    <row r="22" spans="2:47" ht="12.75" customHeight="1" x14ac:dyDescent="0.2">
      <c r="B22" s="26"/>
      <c r="C22" s="40"/>
      <c r="D22" s="41" t="s">
        <v>152</v>
      </c>
      <c r="E22" s="41"/>
      <c r="F22" s="128">
        <f>ROUND(IF(F19&lt;$H11,F19*tab!$C24*VLOOKUP(F20,verhoudingstabel_LB,2,FALSE),F19*(tab!$C25+IF(F21&gt;50,50,F21)*tab!$C26)*VLOOKUP(F20,verhoudingstabel_LB,2,FALSE)),-1)</f>
        <v>19110</v>
      </c>
      <c r="G22" s="128">
        <f>ROUND(IF(G19&lt;$H11,G19*tab!$C24*VLOOKUP(G20,verhoudingstabel_LB,2,FALSE),G19*(tab!$C25+IF(G21&gt;50,50,G21)*tab!$C26)*VLOOKUP(G20,verhoudingstabel_LB,2,FALSE)),-1)</f>
        <v>27640</v>
      </c>
      <c r="H22" s="128">
        <f>ROUND(IF(H19&lt;$H11,H19*tab!$C24*VLOOKUP(H20,verhoudingstabel_LB,2,FALSE),H19*(tab!$C25+IF(H21&gt;50,50,H21)*tab!$C26)*VLOOKUP(H20,verhoudingstabel_LB,2,FALSE)),-1)</f>
        <v>38440</v>
      </c>
      <c r="I22" s="128">
        <f>ROUND(IF(I19&lt;$H11,I19*tab!$C24*VLOOKUP(I20,verhoudingstabel_LB,2,FALSE),I19*(tab!$C25+IF(I21&gt;50,50,I21)*tab!$C26)*VLOOKUP(I20,verhoudingstabel_LB,2,FALSE)),-1)</f>
        <v>36590</v>
      </c>
      <c r="J22" s="128">
        <f>ROUND(IF(J19&lt;$H11,J19*tab!$C24*VLOOKUP(J20,verhoudingstabel_LB,2,FALSE),J19*(tab!$C25+IF(J21&gt;50,50,J21)*tab!$C26)*VLOOKUP(J20,verhoudingstabel_LB,2,FALSE)),-1)</f>
        <v>29110</v>
      </c>
      <c r="K22" s="42"/>
      <c r="L22" s="30"/>
      <c r="AD22" s="14"/>
      <c r="AE22" s="14"/>
      <c r="AF22" s="14"/>
      <c r="AG22" s="14"/>
      <c r="AH22" s="14"/>
      <c r="AI22" s="14"/>
      <c r="AJ22" s="14"/>
      <c r="AK22" s="14"/>
      <c r="AL22" s="14"/>
      <c r="AM22" s="14"/>
      <c r="AN22" s="14"/>
      <c r="AO22" s="14"/>
      <c r="AP22" s="14"/>
      <c r="AQ22" s="14"/>
      <c r="AR22" s="14"/>
      <c r="AS22" s="14"/>
    </row>
    <row r="23" spans="2:47" ht="12.75" customHeight="1" x14ac:dyDescent="0.2">
      <c r="B23" s="26"/>
      <c r="C23" s="47"/>
      <c r="D23" s="48"/>
      <c r="E23" s="61"/>
      <c r="F23" s="48"/>
      <c r="G23" s="48"/>
      <c r="H23" s="48"/>
      <c r="I23" s="48"/>
      <c r="J23" s="48"/>
      <c r="K23" s="50"/>
      <c r="L23" s="30"/>
      <c r="AD23" s="14"/>
      <c r="AE23" s="14"/>
      <c r="AF23" s="14"/>
      <c r="AG23" s="14"/>
      <c r="AH23" s="14"/>
      <c r="AI23" s="14"/>
      <c r="AJ23" s="14"/>
      <c r="AK23" s="14"/>
      <c r="AL23" s="14"/>
      <c r="AM23" s="14"/>
      <c r="AN23" s="14"/>
      <c r="AO23" s="14"/>
      <c r="AP23" s="14"/>
      <c r="AQ23" s="14"/>
      <c r="AR23" s="14"/>
      <c r="AS23" s="14"/>
    </row>
    <row r="24" spans="2:47" ht="12.75" customHeight="1" x14ac:dyDescent="0.2">
      <c r="B24" s="26"/>
      <c r="C24" s="27"/>
      <c r="D24" s="27"/>
      <c r="E24" s="28"/>
      <c r="F24" s="27"/>
      <c r="G24" s="27"/>
      <c r="H24" s="27"/>
      <c r="I24" s="27"/>
      <c r="J24" s="27"/>
      <c r="K24" s="27"/>
      <c r="L24" s="30"/>
      <c r="AD24" s="14"/>
      <c r="AE24" s="14"/>
      <c r="AF24" s="14"/>
      <c r="AG24" s="14"/>
      <c r="AH24" s="14"/>
      <c r="AI24" s="14"/>
      <c r="AJ24" s="14"/>
      <c r="AK24" s="14"/>
      <c r="AL24" s="14"/>
      <c r="AM24" s="14"/>
      <c r="AN24" s="14"/>
      <c r="AO24" s="14"/>
      <c r="AP24" s="14"/>
      <c r="AQ24" s="14"/>
      <c r="AR24" s="14"/>
      <c r="AS24" s="14"/>
    </row>
    <row r="25" spans="2:47" ht="12.75" customHeight="1" x14ac:dyDescent="0.2">
      <c r="B25" s="26"/>
      <c r="C25" s="37"/>
      <c r="D25" s="38"/>
      <c r="E25" s="51"/>
      <c r="F25" s="38"/>
      <c r="G25" s="38"/>
      <c r="H25" s="38"/>
      <c r="I25" s="38"/>
      <c r="J25" s="38"/>
      <c r="K25" s="39"/>
      <c r="L25" s="30"/>
      <c r="AD25" s="14"/>
      <c r="AE25" s="14"/>
      <c r="AF25" s="14"/>
      <c r="AG25" s="14"/>
      <c r="AH25" s="14"/>
      <c r="AI25" s="14"/>
      <c r="AJ25" s="14"/>
      <c r="AK25" s="14"/>
      <c r="AL25" s="14"/>
      <c r="AM25" s="14"/>
      <c r="AN25" s="14"/>
      <c r="AO25" s="14"/>
      <c r="AP25" s="14"/>
      <c r="AQ25" s="14"/>
      <c r="AR25" s="14"/>
      <c r="AS25" s="14"/>
    </row>
    <row r="26" spans="2:47" ht="12.75" customHeight="1" x14ac:dyDescent="0.2">
      <c r="B26" s="26"/>
      <c r="C26" s="40"/>
      <c r="D26" s="120" t="s">
        <v>391</v>
      </c>
      <c r="E26" s="45"/>
      <c r="F26" s="41"/>
      <c r="G26" s="41"/>
      <c r="H26" s="41"/>
      <c r="I26" s="41"/>
      <c r="J26" s="41"/>
      <c r="K26" s="42"/>
      <c r="L26" s="30"/>
      <c r="AD26" s="14"/>
      <c r="AE26" s="14"/>
      <c r="AF26" s="14"/>
      <c r="AG26" s="14"/>
      <c r="AH26" s="14"/>
      <c r="AI26" s="14"/>
      <c r="AJ26" s="14"/>
      <c r="AK26" s="14"/>
      <c r="AL26" s="14"/>
      <c r="AM26" s="14"/>
      <c r="AN26" s="14"/>
      <c r="AO26" s="14"/>
      <c r="AP26" s="14"/>
      <c r="AQ26" s="14"/>
      <c r="AR26" s="14"/>
      <c r="AS26" s="14"/>
    </row>
    <row r="27" spans="2:47" ht="12.75" customHeight="1" x14ac:dyDescent="0.2">
      <c r="B27" s="26"/>
      <c r="C27" s="40"/>
      <c r="D27" s="41"/>
      <c r="E27" s="45"/>
      <c r="F27" s="41"/>
      <c r="G27" s="41"/>
      <c r="H27" s="41"/>
      <c r="I27" s="41"/>
      <c r="J27" s="41"/>
      <c r="K27" s="42"/>
      <c r="L27" s="30"/>
      <c r="AD27" s="14"/>
      <c r="AE27" s="14"/>
      <c r="AF27" s="14"/>
      <c r="AG27" s="14"/>
      <c r="AH27" s="14"/>
      <c r="AI27" s="14"/>
      <c r="AJ27" s="14"/>
      <c r="AK27" s="14"/>
      <c r="AL27" s="14"/>
      <c r="AM27" s="14"/>
      <c r="AN27" s="14"/>
      <c r="AO27" s="14"/>
      <c r="AP27" s="14"/>
      <c r="AQ27" s="14"/>
      <c r="AR27" s="14"/>
      <c r="AS27" s="14"/>
    </row>
    <row r="28" spans="2:47" ht="12.75" customHeight="1" x14ac:dyDescent="0.2">
      <c r="B28" s="26"/>
      <c r="C28" s="40"/>
      <c r="D28" s="41" t="s">
        <v>153</v>
      </c>
      <c r="E28" s="41"/>
      <c r="F28" s="106" t="s">
        <v>154</v>
      </c>
      <c r="G28" s="106" t="s">
        <v>154</v>
      </c>
      <c r="H28" s="106" t="s">
        <v>154</v>
      </c>
      <c r="I28" s="106" t="s">
        <v>154</v>
      </c>
      <c r="J28" s="106" t="s">
        <v>154</v>
      </c>
      <c r="K28" s="42"/>
      <c r="L28" s="30"/>
      <c r="AD28" s="14"/>
      <c r="AE28" s="14"/>
      <c r="AF28" s="14"/>
      <c r="AG28" s="14"/>
      <c r="AH28" s="14"/>
      <c r="AI28" s="14"/>
      <c r="AJ28" s="14"/>
      <c r="AK28" s="14"/>
      <c r="AL28" s="14"/>
      <c r="AM28" s="14"/>
      <c r="AN28" s="14"/>
      <c r="AO28" s="14"/>
      <c r="AP28" s="14"/>
      <c r="AQ28" s="14"/>
      <c r="AR28" s="14"/>
      <c r="AS28" s="14"/>
      <c r="AT28" s="14"/>
      <c r="AU28" s="14"/>
    </row>
    <row r="29" spans="2:47" ht="12.75" customHeight="1" x14ac:dyDescent="0.2">
      <c r="B29" s="26"/>
      <c r="C29" s="40"/>
      <c r="D29" s="41" t="s">
        <v>217</v>
      </c>
      <c r="E29" s="41"/>
      <c r="F29" s="122" t="s">
        <v>198</v>
      </c>
      <c r="G29" s="122" t="s">
        <v>199</v>
      </c>
      <c r="H29" s="122" t="s">
        <v>201</v>
      </c>
      <c r="I29" s="122" t="s">
        <v>199</v>
      </c>
      <c r="J29" s="122" t="s">
        <v>204</v>
      </c>
      <c r="K29" s="42"/>
      <c r="L29" s="30"/>
    </row>
    <row r="30" spans="2:47" ht="12.75" customHeight="1" x14ac:dyDescent="0.2">
      <c r="B30" s="26"/>
      <c r="C30" s="40"/>
      <c r="D30" s="41" t="s">
        <v>155</v>
      </c>
      <c r="E30" s="41"/>
      <c r="F30" s="52">
        <v>11</v>
      </c>
      <c r="G30" s="52">
        <v>11</v>
      </c>
      <c r="H30" s="52">
        <v>11</v>
      </c>
      <c r="I30" s="52">
        <v>11</v>
      </c>
      <c r="J30" s="52">
        <v>11</v>
      </c>
      <c r="K30" s="42"/>
      <c r="L30" s="30"/>
    </row>
    <row r="31" spans="2:47" ht="12.75" customHeight="1" x14ac:dyDescent="0.2">
      <c r="B31" s="26"/>
      <c r="C31" s="40"/>
      <c r="D31" s="41" t="s">
        <v>156</v>
      </c>
      <c r="E31" s="41"/>
      <c r="F31" s="124">
        <f>ROUND(VLOOKUP(F29,tabelsalaris16,F30+2,FALSE),0)</f>
        <v>3862</v>
      </c>
      <c r="G31" s="124">
        <f>ROUND(VLOOKUP(G29,tabelsalaris16,G30+2,FALSE),0)</f>
        <v>4191</v>
      </c>
      <c r="H31" s="124">
        <f>ROUND(VLOOKUP(H29,tabelsalaris16,H30+2,FALSE),0)</f>
        <v>4627</v>
      </c>
      <c r="I31" s="124">
        <f>ROUND(VLOOKUP(I29,tabelsalaris16,I30+2,FALSE),0)</f>
        <v>4191</v>
      </c>
      <c r="J31" s="124">
        <f>ROUND(VLOOKUP(J29,tabelsalaris16,J30+2,FALSE),0)</f>
        <v>5027</v>
      </c>
      <c r="K31" s="42"/>
      <c r="L31" s="30"/>
    </row>
    <row r="32" spans="2:47" ht="12.75" customHeight="1" x14ac:dyDescent="0.2">
      <c r="B32" s="26"/>
      <c r="C32" s="40"/>
      <c r="D32" s="41" t="s">
        <v>150</v>
      </c>
      <c r="E32" s="41"/>
      <c r="F32" s="123">
        <v>0.35</v>
      </c>
      <c r="G32" s="123">
        <v>0.35</v>
      </c>
      <c r="H32" s="123">
        <v>0.35</v>
      </c>
      <c r="I32" s="123">
        <v>0.35</v>
      </c>
      <c r="J32" s="123">
        <v>0.35</v>
      </c>
      <c r="K32" s="42"/>
      <c r="L32" s="30"/>
    </row>
    <row r="33" spans="2:13" ht="12.75" customHeight="1" x14ac:dyDescent="0.2">
      <c r="B33" s="26"/>
      <c r="C33" s="40"/>
      <c r="D33" s="41" t="s">
        <v>157</v>
      </c>
      <c r="E33" s="41"/>
      <c r="F33" s="125">
        <f>+F31*F32</f>
        <v>1351.6999999999998</v>
      </c>
      <c r="G33" s="125">
        <f>+G31*G32</f>
        <v>1466.85</v>
      </c>
      <c r="H33" s="125">
        <f>+H31*H32</f>
        <v>1619.4499999999998</v>
      </c>
      <c r="I33" s="125">
        <f>+I31*I32</f>
        <v>1466.85</v>
      </c>
      <c r="J33" s="125">
        <f>+J31*J32</f>
        <v>1759.4499999999998</v>
      </c>
      <c r="K33" s="42"/>
      <c r="L33" s="30"/>
    </row>
    <row r="34" spans="2:13" ht="12.75" customHeight="1" x14ac:dyDescent="0.2">
      <c r="B34" s="26"/>
      <c r="C34" s="40"/>
      <c r="D34" s="41" t="s">
        <v>158</v>
      </c>
      <c r="E34" s="41"/>
      <c r="F34" s="1489">
        <f>+tab!$C131</f>
        <v>0.62</v>
      </c>
      <c r="G34" s="1489">
        <f>+tab!$C131</f>
        <v>0.62</v>
      </c>
      <c r="H34" s="1489">
        <f>+tab!$C131</f>
        <v>0.62</v>
      </c>
      <c r="I34" s="1489">
        <f>+tab!$C131</f>
        <v>0.62</v>
      </c>
      <c r="J34" s="1489">
        <f>+tab!$C131</f>
        <v>0.62</v>
      </c>
      <c r="K34" s="42"/>
      <c r="L34" s="30"/>
    </row>
    <row r="35" spans="2:13" ht="12.75" customHeight="1" x14ac:dyDescent="0.2">
      <c r="B35" s="26"/>
      <c r="C35" s="40"/>
      <c r="D35" s="41" t="s">
        <v>402</v>
      </c>
      <c r="E35" s="41"/>
      <c r="F35" s="126">
        <f>+F33*(1+F34)*12</f>
        <v>26277.047999999999</v>
      </c>
      <c r="G35" s="126">
        <f>+G33*(1+G34)*12</f>
        <v>28515.563999999998</v>
      </c>
      <c r="H35" s="126">
        <f>+H33*(1+H34)*12</f>
        <v>31482.108</v>
      </c>
      <c r="I35" s="126">
        <f>+I33*(1+I34)*12</f>
        <v>28515.563999999998</v>
      </c>
      <c r="J35" s="126">
        <f>+J33*(1+J34)*12</f>
        <v>34203.707999999999</v>
      </c>
      <c r="K35" s="116"/>
      <c r="L35" s="112"/>
    </row>
    <row r="36" spans="2:13" ht="12.75" customHeight="1" x14ac:dyDescent="0.2">
      <c r="B36" s="26"/>
      <c r="C36" s="40"/>
      <c r="D36" s="117"/>
      <c r="E36" s="117"/>
      <c r="F36" s="118"/>
      <c r="G36" s="118"/>
      <c r="H36" s="118"/>
      <c r="I36" s="118"/>
      <c r="J36" s="118"/>
      <c r="K36" s="116"/>
      <c r="L36" s="112"/>
      <c r="M36" s="15"/>
    </row>
    <row r="37" spans="2:13" ht="12.75" customHeight="1" x14ac:dyDescent="0.2">
      <c r="B37" s="26"/>
      <c r="C37" s="40"/>
      <c r="D37" s="117"/>
      <c r="E37" s="117"/>
      <c r="F37" s="118"/>
      <c r="G37" s="118"/>
      <c r="H37" s="118"/>
      <c r="I37" s="118"/>
      <c r="J37" s="118"/>
      <c r="K37" s="116"/>
      <c r="L37" s="112"/>
      <c r="M37" s="15"/>
    </row>
    <row r="38" spans="2:13" ht="12.75" customHeight="1" x14ac:dyDescent="0.2">
      <c r="B38" s="26"/>
      <c r="C38" s="40"/>
      <c r="D38" s="41" t="s">
        <v>153</v>
      </c>
      <c r="E38" s="41"/>
      <c r="F38" s="106" t="s">
        <v>154</v>
      </c>
      <c r="G38" s="106" t="s">
        <v>154</v>
      </c>
      <c r="H38" s="106" t="s">
        <v>154</v>
      </c>
      <c r="I38" s="106" t="s">
        <v>154</v>
      </c>
      <c r="J38" s="106" t="s">
        <v>154</v>
      </c>
      <c r="K38" s="42"/>
      <c r="L38" s="30"/>
    </row>
    <row r="39" spans="2:13" ht="12.75" customHeight="1" x14ac:dyDescent="0.2">
      <c r="B39" s="26"/>
      <c r="C39" s="40"/>
      <c r="D39" s="41" t="s">
        <v>217</v>
      </c>
      <c r="E39" s="41"/>
      <c r="F39" s="122" t="s">
        <v>210</v>
      </c>
      <c r="G39" s="122" t="s">
        <v>211</v>
      </c>
      <c r="H39" s="122" t="s">
        <v>212</v>
      </c>
      <c r="I39" s="122" t="s">
        <v>213</v>
      </c>
      <c r="J39" s="122">
        <v>12</v>
      </c>
      <c r="K39" s="42"/>
      <c r="L39" s="30"/>
    </row>
    <row r="40" spans="2:13" ht="12.75" customHeight="1" x14ac:dyDescent="0.2">
      <c r="B40" s="26"/>
      <c r="C40" s="40"/>
      <c r="D40" s="41" t="s">
        <v>155</v>
      </c>
      <c r="E40" s="41"/>
      <c r="F40" s="52">
        <v>15</v>
      </c>
      <c r="G40" s="52">
        <v>15</v>
      </c>
      <c r="H40" s="52">
        <v>15</v>
      </c>
      <c r="I40" s="52">
        <v>15</v>
      </c>
      <c r="J40" s="52">
        <v>11</v>
      </c>
      <c r="K40" s="42"/>
      <c r="L40" s="30"/>
    </row>
    <row r="41" spans="2:13" ht="12.75" customHeight="1" x14ac:dyDescent="0.2">
      <c r="B41" s="26"/>
      <c r="C41" s="40"/>
      <c r="D41" s="41" t="s">
        <v>156</v>
      </c>
      <c r="E41" s="41"/>
      <c r="F41" s="124">
        <f>ROUND(VLOOKUP(F39,tabelsalaris16,F40+2,FALSE),0)</f>
        <v>3482</v>
      </c>
      <c r="G41" s="124">
        <f>ROUND(VLOOKUP(G39,tabelsalaris16,G40+2,FALSE),0)</f>
        <v>3826</v>
      </c>
      <c r="H41" s="124">
        <f>ROUND(VLOOKUP(H39,tabelsalaris16,H40+2,FALSE),0)</f>
        <v>4464</v>
      </c>
      <c r="I41" s="124">
        <f>ROUND(VLOOKUP(I39,tabelsalaris16,I40+2,FALSE),0)</f>
        <v>5079</v>
      </c>
      <c r="J41" s="124">
        <f>ROUND(VLOOKUP(J39,tabelsalaris16,J40+2,FALSE),0)</f>
        <v>4568</v>
      </c>
      <c r="K41" s="42"/>
      <c r="L41" s="30"/>
    </row>
    <row r="42" spans="2:13" ht="12.75" customHeight="1" x14ac:dyDescent="0.2">
      <c r="B42" s="26"/>
      <c r="C42" s="40"/>
      <c r="D42" s="41" t="s">
        <v>150</v>
      </c>
      <c r="E42" s="41"/>
      <c r="F42" s="123">
        <v>0.35</v>
      </c>
      <c r="G42" s="123">
        <v>0.4</v>
      </c>
      <c r="H42" s="123">
        <v>0.45</v>
      </c>
      <c r="I42" s="123">
        <v>0.5</v>
      </c>
      <c r="J42" s="123">
        <v>0.35</v>
      </c>
      <c r="K42" s="42"/>
      <c r="L42" s="30"/>
    </row>
    <row r="43" spans="2:13" ht="12.75" customHeight="1" x14ac:dyDescent="0.2">
      <c r="B43" s="26"/>
      <c r="C43" s="40"/>
      <c r="D43" s="41" t="s">
        <v>157</v>
      </c>
      <c r="E43" s="41"/>
      <c r="F43" s="125">
        <f>+F41*F42</f>
        <v>1218.6999999999998</v>
      </c>
      <c r="G43" s="125">
        <f>+G41*G42</f>
        <v>1530.4</v>
      </c>
      <c r="H43" s="125">
        <f>+H41*H42</f>
        <v>2008.8</v>
      </c>
      <c r="I43" s="125">
        <f>+I41*I42</f>
        <v>2539.5</v>
      </c>
      <c r="J43" s="125">
        <f>+J41*J42</f>
        <v>1598.8</v>
      </c>
      <c r="K43" s="42"/>
      <c r="L43" s="30"/>
    </row>
    <row r="44" spans="2:13" ht="12.75" customHeight="1" x14ac:dyDescent="0.2">
      <c r="B44" s="26"/>
      <c r="C44" s="40"/>
      <c r="D44" s="41" t="s">
        <v>158</v>
      </c>
      <c r="E44" s="41"/>
      <c r="F44" s="1489">
        <f>+tab!$C131</f>
        <v>0.62</v>
      </c>
      <c r="G44" s="1489">
        <f>+tab!$C131</f>
        <v>0.62</v>
      </c>
      <c r="H44" s="1489">
        <f>+tab!$C131</f>
        <v>0.62</v>
      </c>
      <c r="I44" s="1489">
        <f>+tab!$C131</f>
        <v>0.62</v>
      </c>
      <c r="J44" s="1489">
        <f>+tab!$C131</f>
        <v>0.62</v>
      </c>
      <c r="K44" s="42"/>
      <c r="L44" s="30"/>
    </row>
    <row r="45" spans="2:13" ht="12.75" customHeight="1" x14ac:dyDescent="0.2">
      <c r="B45" s="26"/>
      <c r="C45" s="40"/>
      <c r="D45" s="41" t="s">
        <v>402</v>
      </c>
      <c r="E45" s="41"/>
      <c r="F45" s="126">
        <f>+F43*(1+F44)*12</f>
        <v>23691.527999999998</v>
      </c>
      <c r="G45" s="126">
        <f>+G43*(1+G44)*12</f>
        <v>29750.976000000006</v>
      </c>
      <c r="H45" s="126">
        <f>+H43*(1+H44)*12</f>
        <v>39051.072</v>
      </c>
      <c r="I45" s="126">
        <f>+I43*(1+I44)*12</f>
        <v>49367.880000000005</v>
      </c>
      <c r="J45" s="126">
        <f>+J43*(1+J44)*12</f>
        <v>31080.671999999999</v>
      </c>
      <c r="K45" s="116"/>
      <c r="L45" s="112"/>
    </row>
    <row r="46" spans="2:13" ht="12.75" customHeight="1" x14ac:dyDescent="0.2">
      <c r="B46" s="26"/>
      <c r="C46" s="47"/>
      <c r="D46" s="48"/>
      <c r="E46" s="48"/>
      <c r="F46" s="49"/>
      <c r="G46" s="49"/>
      <c r="H46" s="49"/>
      <c r="I46" s="49"/>
      <c r="J46" s="49"/>
      <c r="K46" s="50"/>
      <c r="L46" s="30"/>
    </row>
    <row r="47" spans="2:13" ht="12.75" customHeight="1" x14ac:dyDescent="0.2">
      <c r="B47" s="26"/>
      <c r="C47" s="27"/>
      <c r="D47" s="27"/>
      <c r="E47" s="27"/>
      <c r="F47" s="29"/>
      <c r="G47" s="29"/>
      <c r="H47" s="29"/>
      <c r="I47" s="29"/>
      <c r="J47" s="29"/>
      <c r="K47" s="27"/>
      <c r="L47" s="30"/>
    </row>
    <row r="48" spans="2:13" s="14" customFormat="1" ht="12.75" customHeight="1" x14ac:dyDescent="0.25">
      <c r="B48" s="113"/>
      <c r="C48" s="114"/>
      <c r="D48" s="114"/>
      <c r="E48" s="114"/>
      <c r="F48" s="114"/>
      <c r="G48" s="114"/>
      <c r="H48" s="114"/>
      <c r="I48" s="114"/>
      <c r="J48" s="114"/>
      <c r="K48" s="36" t="s">
        <v>464</v>
      </c>
      <c r="L48" s="115"/>
    </row>
    <row r="49" spans="3:4" s="14" customFormat="1" ht="12.75" customHeight="1" x14ac:dyDescent="0.2"/>
    <row r="50" spans="3:4" s="14" customFormat="1" ht="12.75" customHeight="1" x14ac:dyDescent="0.2"/>
    <row r="51" spans="3:4" s="16" customFormat="1" ht="12.75" customHeight="1" x14ac:dyDescent="0.2"/>
    <row r="52" spans="3:4" s="14" customFormat="1" ht="12.75" customHeight="1" x14ac:dyDescent="0.2"/>
    <row r="53" spans="3:4" s="14" customFormat="1" ht="12.75" customHeight="1" x14ac:dyDescent="0.2"/>
    <row r="54" spans="3:4" s="14" customFormat="1" ht="12.75" customHeight="1" x14ac:dyDescent="0.2">
      <c r="C54" s="17"/>
      <c r="D54" s="18" t="s">
        <v>205</v>
      </c>
    </row>
    <row r="55" spans="3:4" s="14" customFormat="1" ht="12.75" customHeight="1" x14ac:dyDescent="0.2">
      <c r="C55" s="17"/>
      <c r="D55" s="18" t="s">
        <v>206</v>
      </c>
    </row>
    <row r="56" spans="3:4" s="14" customFormat="1" ht="12.75" customHeight="1" x14ac:dyDescent="0.2">
      <c r="C56" s="17"/>
      <c r="D56" s="18" t="s">
        <v>207</v>
      </c>
    </row>
    <row r="57" spans="3:4" s="14" customFormat="1" ht="12.75" customHeight="1" x14ac:dyDescent="0.2">
      <c r="C57" s="17"/>
      <c r="D57" s="18" t="s">
        <v>208</v>
      </c>
    </row>
    <row r="58" spans="3:4" s="14" customFormat="1" ht="12.75" customHeight="1" x14ac:dyDescent="0.2">
      <c r="C58" s="17"/>
      <c r="D58" s="18" t="s">
        <v>209</v>
      </c>
    </row>
    <row r="59" spans="3:4" s="14" customFormat="1" ht="12.75" customHeight="1" x14ac:dyDescent="0.2">
      <c r="C59" s="17"/>
      <c r="D59" s="18" t="s">
        <v>198</v>
      </c>
    </row>
    <row r="60" spans="3:4" s="14" customFormat="1" ht="12.75" customHeight="1" x14ac:dyDescent="0.2">
      <c r="C60" s="17"/>
      <c r="D60" s="18" t="s">
        <v>199</v>
      </c>
    </row>
    <row r="61" spans="3:4" s="14" customFormat="1" ht="12.75" customHeight="1" x14ac:dyDescent="0.2">
      <c r="C61" s="17"/>
      <c r="D61" s="18" t="s">
        <v>200</v>
      </c>
    </row>
    <row r="62" spans="3:4" s="14" customFormat="1" ht="12.75" customHeight="1" x14ac:dyDescent="0.2">
      <c r="C62" s="17"/>
      <c r="D62" s="18" t="s">
        <v>201</v>
      </c>
    </row>
    <row r="63" spans="3:4" s="14" customFormat="1" ht="12.75" customHeight="1" x14ac:dyDescent="0.2">
      <c r="C63" s="17"/>
      <c r="D63" s="18" t="s">
        <v>202</v>
      </c>
    </row>
    <row r="64" spans="3:4" s="14" customFormat="1" ht="12.75" customHeight="1" x14ac:dyDescent="0.2">
      <c r="C64" s="17"/>
      <c r="D64" s="18" t="s">
        <v>203</v>
      </c>
    </row>
    <row r="65" spans="3:4" s="14" customFormat="1" ht="12.75" customHeight="1" x14ac:dyDescent="0.2">
      <c r="C65" s="17"/>
      <c r="D65" s="18" t="s">
        <v>204</v>
      </c>
    </row>
    <row r="66" spans="3:4" s="14" customFormat="1" ht="12.75" customHeight="1" x14ac:dyDescent="0.2">
      <c r="C66" s="17"/>
      <c r="D66" s="9" t="s">
        <v>250</v>
      </c>
    </row>
    <row r="67" spans="3:4" s="14" customFormat="1" ht="12.75" customHeight="1" x14ac:dyDescent="0.2">
      <c r="C67" s="17"/>
      <c r="D67" s="9" t="s">
        <v>251</v>
      </c>
    </row>
    <row r="68" spans="3:4" s="14" customFormat="1" ht="12.75" customHeight="1" x14ac:dyDescent="0.2">
      <c r="C68" s="17"/>
      <c r="D68" s="9" t="s">
        <v>252</v>
      </c>
    </row>
    <row r="69" spans="3:4" s="14" customFormat="1" ht="12.75" customHeight="1" x14ac:dyDescent="0.2">
      <c r="C69" s="17"/>
      <c r="D69" s="18" t="s">
        <v>210</v>
      </c>
    </row>
    <row r="70" spans="3:4" s="14" customFormat="1" ht="12.75" customHeight="1" x14ac:dyDescent="0.2">
      <c r="C70" s="19"/>
      <c r="D70" s="18" t="s">
        <v>211</v>
      </c>
    </row>
    <row r="71" spans="3:4" s="14" customFormat="1" ht="12.75" customHeight="1" x14ac:dyDescent="0.2">
      <c r="C71" s="19"/>
      <c r="D71" s="18" t="s">
        <v>212</v>
      </c>
    </row>
    <row r="72" spans="3:4" s="14" customFormat="1" ht="12.75" customHeight="1" x14ac:dyDescent="0.2">
      <c r="C72" s="19"/>
      <c r="D72" s="18" t="s">
        <v>213</v>
      </c>
    </row>
    <row r="73" spans="3:4" s="14" customFormat="1" ht="12.75" customHeight="1" x14ac:dyDescent="0.2">
      <c r="C73" s="19"/>
      <c r="D73" s="9" t="s">
        <v>215</v>
      </c>
    </row>
    <row r="74" spans="3:4" s="14" customFormat="1" ht="12.75" customHeight="1" x14ac:dyDescent="0.2">
      <c r="C74" s="19"/>
      <c r="D74" s="9" t="s">
        <v>216</v>
      </c>
    </row>
    <row r="75" spans="3:4" s="14" customFormat="1" ht="12.75" customHeight="1" x14ac:dyDescent="0.2">
      <c r="C75" s="19"/>
      <c r="D75" s="20" t="s">
        <v>249</v>
      </c>
    </row>
    <row r="76" spans="3:4" s="14" customFormat="1" ht="12.75" customHeight="1" x14ac:dyDescent="0.2">
      <c r="C76" s="19"/>
      <c r="D76" s="20" t="s">
        <v>218</v>
      </c>
    </row>
    <row r="77" spans="3:4" s="14" customFormat="1" ht="12.75" customHeight="1" x14ac:dyDescent="0.2">
      <c r="C77" s="19"/>
      <c r="D77" s="20" t="s">
        <v>219</v>
      </c>
    </row>
    <row r="78" spans="3:4" s="14" customFormat="1" ht="12.75" customHeight="1" x14ac:dyDescent="0.2">
      <c r="C78" s="19"/>
      <c r="D78" s="20" t="s">
        <v>323</v>
      </c>
    </row>
    <row r="79" spans="3:4" s="14" customFormat="1" ht="12.75" customHeight="1" x14ac:dyDescent="0.2">
      <c r="C79" s="19"/>
      <c r="D79" s="20" t="s">
        <v>220</v>
      </c>
    </row>
    <row r="80" spans="3:4" s="14" customFormat="1" ht="12.75" customHeight="1" x14ac:dyDescent="0.2">
      <c r="C80" s="19"/>
      <c r="D80" s="9">
        <v>1</v>
      </c>
    </row>
    <row r="81" spans="3:10" s="14" customFormat="1" ht="12.75" customHeight="1" x14ac:dyDescent="0.2">
      <c r="C81" s="19"/>
      <c r="D81" s="9">
        <v>2</v>
      </c>
    </row>
    <row r="82" spans="3:10" s="14" customFormat="1" ht="12.75" customHeight="1" x14ac:dyDescent="0.2">
      <c r="C82" s="19"/>
      <c r="D82" s="9">
        <v>3</v>
      </c>
    </row>
    <row r="83" spans="3:10" s="14" customFormat="1" ht="12.75" customHeight="1" x14ac:dyDescent="0.2">
      <c r="C83" s="19"/>
      <c r="D83" s="9">
        <v>4</v>
      </c>
    </row>
    <row r="84" spans="3:10" s="14" customFormat="1" ht="12.75" customHeight="1" x14ac:dyDescent="0.2">
      <c r="C84" s="19"/>
      <c r="D84" s="9">
        <v>5</v>
      </c>
    </row>
    <row r="85" spans="3:10" s="14" customFormat="1" ht="12.75" customHeight="1" x14ac:dyDescent="0.2">
      <c r="C85" s="19"/>
      <c r="D85" s="9">
        <v>6</v>
      </c>
    </row>
    <row r="86" spans="3:10" s="14" customFormat="1" ht="12.75" customHeight="1" x14ac:dyDescent="0.2">
      <c r="C86" s="19"/>
      <c r="D86" s="9">
        <v>7</v>
      </c>
    </row>
    <row r="87" spans="3:10" s="14" customFormat="1" ht="12.75" customHeight="1" x14ac:dyDescent="0.2">
      <c r="C87" s="19"/>
      <c r="D87" s="9">
        <v>8</v>
      </c>
    </row>
    <row r="88" spans="3:10" s="14" customFormat="1" ht="12.75" customHeight="1" x14ac:dyDescent="0.2">
      <c r="D88" s="9">
        <v>9</v>
      </c>
    </row>
    <row r="89" spans="3:10" s="14" customFormat="1" ht="12.75" customHeight="1" x14ac:dyDescent="0.2">
      <c r="D89" s="9">
        <v>10</v>
      </c>
    </row>
    <row r="90" spans="3:10" s="14" customFormat="1" ht="12.75" customHeight="1" x14ac:dyDescent="0.2">
      <c r="D90" s="9">
        <v>11</v>
      </c>
    </row>
    <row r="91" spans="3:10" s="14" customFormat="1" ht="12.75" customHeight="1" x14ac:dyDescent="0.2">
      <c r="D91" s="9">
        <v>12</v>
      </c>
    </row>
    <row r="92" spans="3:10" s="14" customFormat="1" ht="12.75" customHeight="1" x14ac:dyDescent="0.2">
      <c r="D92" s="9">
        <v>13</v>
      </c>
      <c r="E92" s="21"/>
      <c r="F92" s="22"/>
      <c r="G92" s="6"/>
      <c r="H92" s="6"/>
      <c r="I92" s="6"/>
      <c r="J92" s="6"/>
    </row>
    <row r="93" spans="3:10" s="14" customFormat="1" ht="12.75" customHeight="1" x14ac:dyDescent="0.2">
      <c r="D93" s="9">
        <v>14</v>
      </c>
    </row>
    <row r="94" spans="3:10" s="14" customFormat="1" ht="12.75" customHeight="1" x14ac:dyDescent="0.2">
      <c r="D94" s="980">
        <v>15</v>
      </c>
    </row>
    <row r="95" spans="3:10" s="14" customFormat="1" ht="12.75" customHeight="1" x14ac:dyDescent="0.2">
      <c r="D95" s="980">
        <v>16</v>
      </c>
    </row>
    <row r="96" spans="3:10" s="16" customFormat="1" ht="12.75" customHeight="1" x14ac:dyDescent="0.2">
      <c r="C96" s="14"/>
    </row>
    <row r="97" spans="3:22" s="14" customFormat="1" ht="12.75" customHeight="1" x14ac:dyDescent="0.2">
      <c r="C97" s="16"/>
    </row>
    <row r="98" spans="3:22" s="14" customFormat="1" ht="12.75" customHeight="1" x14ac:dyDescent="0.2"/>
    <row r="99" spans="3:22" s="14" customFormat="1" ht="12.75" customHeight="1" x14ac:dyDescent="0.2"/>
    <row r="100" spans="3:22" s="14" customFormat="1" ht="12.75" customHeight="1" x14ac:dyDescent="0.2"/>
    <row r="101" spans="3:22" s="16" customFormat="1" ht="12.75" customHeight="1" x14ac:dyDescent="0.2">
      <c r="C101" s="14"/>
    </row>
    <row r="102" spans="3:22" s="14" customFormat="1" ht="12.75" customHeight="1" x14ac:dyDescent="0.2">
      <c r="C102" s="16"/>
    </row>
    <row r="103" spans="3:22" s="14" customFormat="1" ht="12.75" customHeight="1" x14ac:dyDescent="0.2"/>
    <row r="104" spans="3:22" s="14" customFormat="1" ht="12.75" customHeight="1" x14ac:dyDescent="0.2">
      <c r="D104" s="16"/>
      <c r="E104" s="16"/>
      <c r="F104" s="16"/>
      <c r="G104" s="16"/>
      <c r="H104" s="16"/>
      <c r="I104" s="16"/>
      <c r="J104" s="16"/>
    </row>
    <row r="105" spans="3:22" s="14" customFormat="1" ht="12.75" customHeight="1" x14ac:dyDescent="0.2">
      <c r="D105" s="16"/>
      <c r="E105" s="16"/>
      <c r="F105" s="16"/>
      <c r="G105" s="16"/>
      <c r="H105" s="16"/>
      <c r="I105" s="16"/>
      <c r="J105" s="16"/>
    </row>
    <row r="106" spans="3:22" s="16" customFormat="1" ht="12.75" customHeight="1" x14ac:dyDescent="0.2">
      <c r="C106" s="14"/>
      <c r="D106" s="7"/>
      <c r="E106" s="7"/>
      <c r="F106" s="7"/>
      <c r="G106" s="7"/>
      <c r="H106" s="7"/>
      <c r="I106" s="7"/>
      <c r="J106" s="7"/>
      <c r="K106" s="7"/>
      <c r="L106" s="7"/>
      <c r="M106" s="7"/>
    </row>
    <row r="107" spans="3:22" ht="12.75" customHeight="1" x14ac:dyDescent="0.2">
      <c r="C107" s="16"/>
      <c r="T107" s="14"/>
      <c r="U107" s="14"/>
      <c r="V107" s="14"/>
    </row>
    <row r="108" spans="3:22" ht="12.75" customHeight="1" x14ac:dyDescent="0.2">
      <c r="T108" s="14"/>
      <c r="U108" s="14"/>
      <c r="V108" s="14"/>
    </row>
    <row r="109" spans="3:22" ht="12.75" customHeight="1" x14ac:dyDescent="0.2">
      <c r="T109" s="14"/>
      <c r="U109" s="14"/>
      <c r="V109" s="14"/>
    </row>
    <row r="110" spans="3:22" ht="12.75" customHeight="1" x14ac:dyDescent="0.2">
      <c r="T110" s="14"/>
      <c r="U110" s="14"/>
      <c r="V110" s="14"/>
    </row>
    <row r="111" spans="3:22" ht="12.75" customHeight="1" x14ac:dyDescent="0.2">
      <c r="T111" s="14"/>
      <c r="U111" s="14"/>
      <c r="V111" s="14"/>
    </row>
    <row r="112" spans="3:22" ht="12.75" customHeight="1" x14ac:dyDescent="0.2">
      <c r="T112" s="14"/>
      <c r="U112" s="14"/>
      <c r="V112" s="14"/>
    </row>
    <row r="113" spans="20:22" ht="12.75" customHeight="1" x14ac:dyDescent="0.2">
      <c r="T113" s="14"/>
      <c r="U113" s="14"/>
      <c r="V113" s="14"/>
    </row>
    <row r="114" spans="20:22" ht="12.75" customHeight="1" x14ac:dyDescent="0.2">
      <c r="T114" s="14"/>
      <c r="U114" s="14"/>
      <c r="V114" s="14"/>
    </row>
    <row r="115" spans="20:22" ht="12.75" customHeight="1" x14ac:dyDescent="0.2"/>
    <row r="116" spans="20:22" ht="12.75" customHeight="1" x14ac:dyDescent="0.2"/>
    <row r="117" spans="20:22" ht="12.75" customHeight="1" x14ac:dyDescent="0.2"/>
    <row r="118" spans="20:22" ht="12.75" customHeight="1" x14ac:dyDescent="0.2"/>
    <row r="119" spans="20:22" ht="12.75" customHeight="1" x14ac:dyDescent="0.2"/>
    <row r="120" spans="20:22" ht="12.75" customHeight="1" x14ac:dyDescent="0.2"/>
    <row r="121" spans="20:22" ht="12.75" customHeight="1" x14ac:dyDescent="0.2"/>
    <row r="122" spans="20:22" ht="12.75" customHeight="1" x14ac:dyDescent="0.2"/>
    <row r="123" spans="20:22" ht="12.75" customHeight="1" x14ac:dyDescent="0.2"/>
    <row r="124" spans="20:22" ht="12.75" customHeight="1" x14ac:dyDescent="0.2"/>
    <row r="125" spans="20:22" ht="12.75" customHeight="1" x14ac:dyDescent="0.2"/>
    <row r="126" spans="20:22" ht="12.75" customHeight="1" x14ac:dyDescent="0.2"/>
    <row r="127" spans="20:22" ht="12.75" customHeight="1" x14ac:dyDescent="0.2"/>
    <row r="128" spans="20:22"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sheetData>
  <sheetProtection algorithmName="SHA-512" hashValue="VaZHsLaigvZ6qBDqhU2SS0bbO+nO5xwb1kWStnjMT+renmtSG3a19qjuInDcL93JXLQ8MwoAMwwE4jEZF6fhuw==" saltValue="Mc8kqK9nYwY1v9RSSc/jvA==" spinCount="100000" sheet="1" objects="1" scenarios="1"/>
  <phoneticPr fontId="5" type="noConversion"/>
  <dataValidations count="1">
    <dataValidation type="list" allowBlank="1" showInputMessage="1" showErrorMessage="1" sqref="F20:J20 F29:J29 F15:J15 F39:J39">
      <formula1>$D$54:$D$95</formula1>
    </dataValidation>
  </dataValidations>
  <pageMargins left="0.75" right="0.75" top="1" bottom="1" header="0.5" footer="0.5"/>
  <pageSetup paperSize="9" scale="76" orientation="landscape" r:id="rId1"/>
  <headerFooter alignWithMargins="0">
    <oddHeader>&amp;L&amp;"Arial,Vet"&amp;F&amp;R&amp;"Arial,Vet"&amp;A</oddHeader>
    <oddFooter>&amp;L&amp;"Arial,Vet"keizer / goedhart&amp;C&amp;"Arial,Vet"pagina &amp;P&amp;R&amp;"Arial,Vet"&amp;D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666"/>
  <sheetViews>
    <sheetView showGridLines="0" zoomScale="85" zoomScaleNormal="85" zoomScaleSheetLayoutView="90" workbookViewId="0">
      <selection activeCell="B2" sqref="B2"/>
    </sheetView>
  </sheetViews>
  <sheetFormatPr defaultColWidth="9.140625" defaultRowHeight="13.15" customHeight="1" x14ac:dyDescent="0.2"/>
  <cols>
    <col min="1" max="1" width="3.7109375" style="601" customWidth="1"/>
    <col min="2" max="3" width="2.7109375" style="214" customWidth="1"/>
    <col min="4" max="4" width="50.7109375" style="214" customWidth="1"/>
    <col min="5" max="5" width="5.7109375" style="217" customWidth="1"/>
    <col min="6" max="6" width="7" style="217" customWidth="1"/>
    <col min="7" max="7" width="2.7109375" style="214" customWidth="1"/>
    <col min="8" max="8" width="14.85546875" style="217" hidden="1" customWidth="1"/>
    <col min="9" max="15" width="14.85546875" style="217" customWidth="1"/>
    <col min="16" max="17" width="2.7109375" style="214" customWidth="1"/>
    <col min="18" max="43" width="9.140625" style="601"/>
    <col min="44" max="16384" width="9.140625" style="214"/>
  </cols>
  <sheetData>
    <row r="1" spans="1:43" s="601" customFormat="1" ht="13.15" customHeight="1" x14ac:dyDescent="0.2">
      <c r="E1" s="665"/>
      <c r="F1" s="665"/>
      <c r="H1" s="665"/>
      <c r="I1" s="665"/>
      <c r="J1" s="665"/>
      <c r="K1" s="665"/>
      <c r="L1" s="665"/>
      <c r="M1" s="665"/>
      <c r="N1" s="665"/>
      <c r="O1" s="665"/>
    </row>
    <row r="2" spans="1:43" ht="13.15" customHeight="1" x14ac:dyDescent="0.2">
      <c r="B2" s="82"/>
      <c r="C2" s="83"/>
      <c r="D2" s="83"/>
      <c r="E2" s="84"/>
      <c r="F2" s="84"/>
      <c r="G2" s="83"/>
      <c r="H2" s="84"/>
      <c r="I2" s="84"/>
      <c r="J2" s="84"/>
      <c r="K2" s="84"/>
      <c r="L2" s="84"/>
      <c r="M2" s="84"/>
      <c r="N2" s="460"/>
      <c r="O2" s="460"/>
      <c r="P2" s="83"/>
      <c r="Q2" s="603"/>
      <c r="R2" s="666"/>
    </row>
    <row r="3" spans="1:43" ht="13.15" customHeight="1" x14ac:dyDescent="0.2">
      <c r="B3" s="86"/>
      <c r="C3" s="87"/>
      <c r="D3" s="67"/>
      <c r="E3" s="147"/>
      <c r="F3" s="147"/>
      <c r="G3" s="87"/>
      <c r="H3" s="80"/>
      <c r="I3" s="80"/>
      <c r="J3" s="80"/>
      <c r="K3" s="80"/>
      <c r="L3" s="80"/>
      <c r="M3" s="80"/>
      <c r="N3" s="80"/>
      <c r="O3" s="80"/>
      <c r="P3" s="87"/>
      <c r="Q3" s="517"/>
      <c r="R3" s="1343"/>
    </row>
    <row r="4" spans="1:43" s="198" customFormat="1" ht="18" customHeight="1" x14ac:dyDescent="0.3">
      <c r="A4" s="655"/>
      <c r="B4" s="203"/>
      <c r="C4" s="204" t="s">
        <v>48</v>
      </c>
      <c r="D4" s="204"/>
      <c r="E4" s="205"/>
      <c r="F4" s="205"/>
      <c r="G4" s="204"/>
      <c r="H4" s="205"/>
      <c r="I4" s="205"/>
      <c r="J4" s="205"/>
      <c r="K4" s="205"/>
      <c r="L4" s="205"/>
      <c r="M4" s="205"/>
      <c r="N4" s="205"/>
      <c r="O4" s="205"/>
      <c r="P4" s="204"/>
      <c r="Q4" s="518"/>
      <c r="R4" s="1344"/>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row>
    <row r="5" spans="1:43" s="743" customFormat="1" ht="16.899999999999999" customHeight="1" x14ac:dyDescent="0.25">
      <c r="A5" s="761"/>
      <c r="B5" s="258"/>
      <c r="C5" s="741" t="str">
        <f>'geg LO'!G8</f>
        <v>SWV PO Passend Onderwijs</v>
      </c>
      <c r="D5" s="111"/>
      <c r="E5" s="763"/>
      <c r="F5" s="763"/>
      <c r="G5" s="259"/>
      <c r="H5" s="742"/>
      <c r="I5" s="742"/>
      <c r="J5" s="742"/>
      <c r="K5" s="742"/>
      <c r="L5" s="742"/>
      <c r="M5" s="742"/>
      <c r="N5" s="742"/>
      <c r="O5" s="742"/>
      <c r="P5" s="259"/>
      <c r="Q5" s="759"/>
      <c r="R5" s="1345"/>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row>
    <row r="6" spans="1:43" ht="13.15" customHeight="1" x14ac:dyDescent="0.2">
      <c r="B6" s="86"/>
      <c r="C6" s="87"/>
      <c r="D6" s="67"/>
      <c r="E6" s="147"/>
      <c r="F6" s="147"/>
      <c r="G6" s="87"/>
      <c r="H6" s="80"/>
      <c r="I6" s="80"/>
      <c r="J6" s="80"/>
      <c r="K6" s="80"/>
      <c r="L6" s="80"/>
      <c r="M6" s="80"/>
      <c r="N6" s="80"/>
      <c r="O6" s="80"/>
      <c r="P6" s="87"/>
      <c r="Q6" s="517"/>
      <c r="R6" s="1343"/>
    </row>
    <row r="7" spans="1:43" ht="13.15" customHeight="1" x14ac:dyDescent="0.2">
      <c r="B7" s="86"/>
      <c r="C7" s="87"/>
      <c r="D7" s="67"/>
      <c r="E7" s="147"/>
      <c r="F7" s="147"/>
      <c r="G7" s="87"/>
      <c r="H7" s="80"/>
      <c r="I7" s="80"/>
      <c r="J7" s="80"/>
      <c r="K7" s="80"/>
      <c r="L7" s="80"/>
      <c r="M7" s="80"/>
      <c r="N7" s="80"/>
      <c r="O7" s="80"/>
      <c r="P7" s="87"/>
      <c r="Q7" s="517"/>
      <c r="R7" s="1343"/>
    </row>
    <row r="8" spans="1:43" ht="13.15" customHeight="1" x14ac:dyDescent="0.2">
      <c r="B8" s="86"/>
      <c r="C8" s="87"/>
      <c r="D8" s="67"/>
      <c r="E8" s="147"/>
      <c r="F8" s="147"/>
      <c r="G8" s="87"/>
      <c r="H8" s="80"/>
      <c r="I8" s="80"/>
      <c r="J8" s="80"/>
      <c r="K8" s="80"/>
      <c r="L8" s="80"/>
      <c r="M8" s="80"/>
      <c r="N8" s="80"/>
      <c r="O8" s="80"/>
      <c r="P8" s="87"/>
      <c r="Q8" s="88"/>
    </row>
    <row r="9" spans="1:43" ht="13.15" customHeight="1" x14ac:dyDescent="0.2">
      <c r="B9" s="86"/>
      <c r="C9" s="1000"/>
      <c r="D9" s="1075"/>
      <c r="E9" s="1055"/>
      <c r="F9" s="1055"/>
      <c r="G9" s="1000"/>
      <c r="H9" s="1000"/>
      <c r="I9" s="1076"/>
      <c r="J9" s="1076"/>
      <c r="K9" s="1076"/>
      <c r="L9" s="1076"/>
      <c r="M9" s="1076"/>
      <c r="N9" s="1076"/>
      <c r="O9" s="1076"/>
      <c r="P9" s="1000"/>
      <c r="Q9" s="88"/>
    </row>
    <row r="10" spans="1:43" ht="13.15" customHeight="1" x14ac:dyDescent="0.2">
      <c r="B10" s="86"/>
      <c r="C10" s="1000"/>
      <c r="D10" s="1077" t="s">
        <v>49</v>
      </c>
      <c r="E10" s="1055"/>
      <c r="F10" s="1055"/>
      <c r="G10" s="1000"/>
      <c r="H10" s="1000"/>
      <c r="I10" s="1076"/>
      <c r="J10" s="1076"/>
      <c r="K10" s="1076"/>
      <c r="L10" s="1076"/>
      <c r="M10" s="1076"/>
      <c r="N10" s="1076"/>
      <c r="O10" s="1076"/>
      <c r="P10" s="1000"/>
      <c r="Q10" s="88"/>
    </row>
    <row r="11" spans="1:43" ht="13.15" customHeight="1" x14ac:dyDescent="0.2">
      <c r="B11" s="86"/>
      <c r="C11" s="1000"/>
      <c r="D11" s="1055"/>
      <c r="E11" s="1055"/>
      <c r="F11" s="1055"/>
      <c r="G11" s="1000"/>
      <c r="H11" s="1000"/>
      <c r="I11" s="1078" t="s">
        <v>636</v>
      </c>
      <c r="J11" s="1078" t="s">
        <v>637</v>
      </c>
      <c r="K11" s="1076"/>
      <c r="L11" s="1076"/>
      <c r="M11" s="1076"/>
      <c r="N11" s="1076"/>
      <c r="O11" s="1076"/>
      <c r="P11" s="1000"/>
      <c r="Q11" s="88"/>
    </row>
    <row r="12" spans="1:43" ht="13.15" customHeight="1" x14ac:dyDescent="0.2">
      <c r="B12" s="86"/>
      <c r="C12" s="1000"/>
      <c r="D12" s="1079" t="s">
        <v>737</v>
      </c>
      <c r="E12" s="1055"/>
      <c r="F12" s="1055"/>
      <c r="G12" s="1055"/>
      <c r="H12" s="1000"/>
      <c r="I12" s="1469">
        <v>0</v>
      </c>
      <c r="J12" s="1469">
        <v>0</v>
      </c>
      <c r="K12" s="1076"/>
      <c r="L12" s="1076"/>
      <c r="M12" s="1076"/>
      <c r="N12" s="1076"/>
      <c r="O12" s="1076"/>
      <c r="P12" s="1000"/>
      <c r="Q12" s="88"/>
    </row>
    <row r="13" spans="1:43" ht="13.15" customHeight="1" x14ac:dyDescent="0.2">
      <c r="B13" s="86"/>
      <c r="C13" s="1000"/>
      <c r="D13" s="1040" t="s">
        <v>646</v>
      </c>
      <c r="E13" s="1076"/>
      <c r="F13" s="1076"/>
      <c r="G13" s="1076"/>
      <c r="H13" s="1000"/>
      <c r="I13" s="1469">
        <v>0</v>
      </c>
      <c r="J13" s="1469">
        <v>0</v>
      </c>
      <c r="K13" s="1080"/>
      <c r="L13" s="1081"/>
      <c r="M13" s="1081"/>
      <c r="N13" s="1081"/>
      <c r="O13" s="1081"/>
      <c r="P13" s="1000"/>
      <c r="Q13" s="88"/>
    </row>
    <row r="14" spans="1:43" ht="13.15" customHeight="1" x14ac:dyDescent="0.2">
      <c r="B14" s="86"/>
      <c r="C14" s="1096"/>
      <c r="D14" s="1097"/>
      <c r="E14" s="1098"/>
      <c r="F14" s="1098"/>
      <c r="G14" s="1098"/>
      <c r="H14" s="1096"/>
      <c r="I14" s="1099"/>
      <c r="J14" s="1099"/>
      <c r="K14" s="1100"/>
      <c r="L14" s="1101"/>
      <c r="M14" s="1101"/>
      <c r="N14" s="1101"/>
      <c r="O14" s="1101"/>
      <c r="P14" s="1096"/>
      <c r="Q14" s="517"/>
    </row>
    <row r="15" spans="1:43" ht="13.15" customHeight="1" x14ac:dyDescent="0.2">
      <c r="B15" s="86"/>
      <c r="C15" s="478"/>
      <c r="D15" s="608"/>
      <c r="E15" s="1103"/>
      <c r="F15" s="1103"/>
      <c r="G15" s="478"/>
      <c r="H15" s="606"/>
      <c r="I15" s="606"/>
      <c r="J15" s="606"/>
      <c r="K15" s="606"/>
      <c r="L15" s="606"/>
      <c r="M15" s="606"/>
      <c r="N15" s="606"/>
      <c r="O15" s="606"/>
      <c r="P15" s="478"/>
      <c r="Q15" s="88"/>
    </row>
    <row r="16" spans="1:43" ht="13.15" customHeight="1" x14ac:dyDescent="0.2">
      <c r="B16" s="86"/>
      <c r="C16" s="478"/>
      <c r="D16" s="1104" t="s">
        <v>255</v>
      </c>
      <c r="E16" s="1105"/>
      <c r="F16" s="1105"/>
      <c r="G16" s="1106"/>
      <c r="H16" s="1107" t="e">
        <f>tab!#REF!</f>
        <v>#REF!</v>
      </c>
      <c r="I16" s="1107" t="str">
        <f>tab!C2</f>
        <v>2015/16</v>
      </c>
      <c r="J16" s="1107" t="str">
        <f>tab!D2</f>
        <v>2016/17</v>
      </c>
      <c r="K16" s="1107" t="str">
        <f>tab!E2</f>
        <v>2017/18</v>
      </c>
      <c r="L16" s="1107" t="str">
        <f>tab!F2</f>
        <v>2018/19</v>
      </c>
      <c r="M16" s="1107" t="str">
        <f>tab!G2</f>
        <v>2019/20</v>
      </c>
      <c r="N16" s="1107" t="str">
        <f>tab!H2</f>
        <v>2020/21</v>
      </c>
      <c r="O16" s="1107" t="str">
        <f>tab!I2</f>
        <v>2021/22</v>
      </c>
      <c r="P16" s="478"/>
      <c r="Q16" s="88"/>
    </row>
    <row r="17" spans="2:17" ht="13.15" customHeight="1" x14ac:dyDescent="0.2">
      <c r="B17" s="86"/>
      <c r="C17" s="478"/>
      <c r="D17" s="1104" t="s">
        <v>401</v>
      </c>
      <c r="E17" s="1105"/>
      <c r="F17" s="1105"/>
      <c r="G17" s="1106"/>
      <c r="H17" s="1108">
        <f>I17-1</f>
        <v>2013</v>
      </c>
      <c r="I17" s="1108">
        <v>2014</v>
      </c>
      <c r="J17" s="1108">
        <f t="shared" ref="J17:O17" si="0">I17+1</f>
        <v>2015</v>
      </c>
      <c r="K17" s="1108">
        <f t="shared" si="0"/>
        <v>2016</v>
      </c>
      <c r="L17" s="1108">
        <f>K17+1</f>
        <v>2017</v>
      </c>
      <c r="M17" s="1108">
        <f>L17+1</f>
        <v>2018</v>
      </c>
      <c r="N17" s="1108">
        <f t="shared" si="0"/>
        <v>2019</v>
      </c>
      <c r="O17" s="1108">
        <f t="shared" si="0"/>
        <v>2020</v>
      </c>
      <c r="P17" s="478"/>
      <c r="Q17" s="88"/>
    </row>
    <row r="18" spans="2:17" ht="13.15" customHeight="1" x14ac:dyDescent="0.2">
      <c r="B18" s="86"/>
      <c r="C18" s="478"/>
      <c r="D18" s="608"/>
      <c r="E18" s="1103"/>
      <c r="F18" s="1103"/>
      <c r="G18" s="478"/>
      <c r="H18" s="606"/>
      <c r="I18" s="606"/>
      <c r="J18" s="606"/>
      <c r="K18" s="606"/>
      <c r="L18" s="606"/>
      <c r="M18" s="606"/>
      <c r="N18" s="606"/>
      <c r="O18" s="606"/>
      <c r="P18" s="478"/>
      <c r="Q18" s="88"/>
    </row>
    <row r="19" spans="2:17" ht="13.15" customHeight="1" x14ac:dyDescent="0.2">
      <c r="B19" s="86"/>
      <c r="C19" s="997"/>
      <c r="D19" s="997"/>
      <c r="E19" s="1102"/>
      <c r="F19" s="1102"/>
      <c r="G19" s="997"/>
      <c r="H19" s="1102"/>
      <c r="I19" s="1102"/>
      <c r="J19" s="1102"/>
      <c r="K19" s="1102"/>
      <c r="L19" s="1102"/>
      <c r="M19" s="1102"/>
      <c r="N19" s="1102"/>
      <c r="O19" s="1102"/>
      <c r="P19" s="997"/>
      <c r="Q19" s="88"/>
    </row>
    <row r="20" spans="2:17" ht="13.15" customHeight="1" x14ac:dyDescent="0.2">
      <c r="B20" s="86"/>
      <c r="C20" s="1000"/>
      <c r="D20" s="1049" t="s">
        <v>351</v>
      </c>
      <c r="E20" s="1084"/>
      <c r="F20" s="1084"/>
      <c r="G20" s="1000"/>
      <c r="H20" s="1076"/>
      <c r="I20" s="1076"/>
      <c r="J20" s="1076"/>
      <c r="K20" s="1076"/>
      <c r="L20" s="1076"/>
      <c r="M20" s="1076"/>
      <c r="N20" s="1076"/>
      <c r="O20" s="1076"/>
      <c r="P20" s="1000"/>
      <c r="Q20" s="88"/>
    </row>
    <row r="21" spans="2:17" ht="13.15" customHeight="1" x14ac:dyDescent="0.2">
      <c r="B21" s="86"/>
      <c r="C21" s="1000"/>
      <c r="D21" s="1000"/>
      <c r="E21" s="1076"/>
      <c r="F21" s="1076"/>
      <c r="G21" s="1000"/>
      <c r="H21" s="1076"/>
      <c r="I21" s="1076"/>
      <c r="J21" s="1076"/>
      <c r="K21" s="1076"/>
      <c r="L21" s="1076"/>
      <c r="M21" s="1076"/>
      <c r="N21" s="1076"/>
      <c r="O21" s="1076"/>
      <c r="P21" s="1000"/>
      <c r="Q21" s="88"/>
    </row>
    <row r="22" spans="2:17" ht="13.15" customHeight="1" x14ac:dyDescent="0.2">
      <c r="B22" s="86"/>
      <c r="C22" s="1000"/>
      <c r="D22" s="1000" t="s">
        <v>316</v>
      </c>
      <c r="E22" s="1076"/>
      <c r="F22" s="1076"/>
      <c r="G22" s="1000"/>
      <c r="H22" s="1076">
        <f>+'geg LO'!F17</f>
        <v>10000</v>
      </c>
      <c r="I22" s="1109">
        <f>+'geg LO'!G17</f>
        <v>0</v>
      </c>
      <c r="J22" s="1109">
        <f>+'geg LO'!H17</f>
        <v>0</v>
      </c>
      <c r="K22" s="1109">
        <f>+'geg LO'!I17</f>
        <v>0</v>
      </c>
      <c r="L22" s="1109">
        <f>+'geg LO'!J17</f>
        <v>0</v>
      </c>
      <c r="M22" s="1109">
        <f>+'geg LO'!K17</f>
        <v>0</v>
      </c>
      <c r="N22" s="1109">
        <f>+'geg LO'!L17</f>
        <v>0</v>
      </c>
      <c r="O22" s="1109">
        <f>+'geg LO'!M17</f>
        <v>0</v>
      </c>
      <c r="P22" s="1000"/>
      <c r="Q22" s="88"/>
    </row>
    <row r="23" spans="2:17" ht="13.15" customHeight="1" x14ac:dyDescent="0.2">
      <c r="B23" s="86"/>
      <c r="C23" s="1000"/>
      <c r="D23" s="1000" t="s">
        <v>628</v>
      </c>
      <c r="E23" s="1076"/>
      <c r="F23" s="1076"/>
      <c r="G23" s="1000"/>
      <c r="H23" s="1076">
        <f>+'geg LO'!F36</f>
        <v>222</v>
      </c>
      <c r="I23" s="1109">
        <f>+'geg LO'!G36</f>
        <v>0</v>
      </c>
      <c r="J23" s="1109">
        <f>+'geg LO'!H36</f>
        <v>0</v>
      </c>
      <c r="K23" s="1109">
        <f>+'geg LO'!I36</f>
        <v>0</v>
      </c>
      <c r="L23" s="1109">
        <f>+'geg LO'!J36</f>
        <v>0</v>
      </c>
      <c r="M23" s="1109">
        <f>+'geg LO'!K36</f>
        <v>0</v>
      </c>
      <c r="N23" s="1109">
        <f>+'geg LO'!L36</f>
        <v>0</v>
      </c>
      <c r="O23" s="1109">
        <f>+'geg LO'!M36</f>
        <v>0</v>
      </c>
      <c r="P23" s="1000"/>
      <c r="Q23" s="88"/>
    </row>
    <row r="24" spans="2:17" ht="13.15" customHeight="1" x14ac:dyDescent="0.2">
      <c r="B24" s="86"/>
      <c r="C24" s="1000"/>
      <c r="D24" s="1000" t="s">
        <v>629</v>
      </c>
      <c r="E24" s="1076"/>
      <c r="F24" s="1076"/>
      <c r="G24" s="1000"/>
      <c r="H24" s="1076">
        <f t="shared" ref="H24:N24" si="1">SUM(H22:H23)</f>
        <v>10222</v>
      </c>
      <c r="I24" s="1110">
        <f t="shared" si="1"/>
        <v>0</v>
      </c>
      <c r="J24" s="1110">
        <f t="shared" si="1"/>
        <v>0</v>
      </c>
      <c r="K24" s="1110">
        <f t="shared" si="1"/>
        <v>0</v>
      </c>
      <c r="L24" s="1110">
        <f t="shared" si="1"/>
        <v>0</v>
      </c>
      <c r="M24" s="1110">
        <f t="shared" si="1"/>
        <v>0</v>
      </c>
      <c r="N24" s="1110">
        <f t="shared" si="1"/>
        <v>0</v>
      </c>
      <c r="O24" s="1110">
        <f t="shared" ref="O24" si="2">SUM(O22:O23)</f>
        <v>0</v>
      </c>
      <c r="P24" s="1000"/>
      <c r="Q24" s="88"/>
    </row>
    <row r="25" spans="2:17" ht="13.15" customHeight="1" x14ac:dyDescent="0.2">
      <c r="B25" s="86"/>
      <c r="C25" s="1000"/>
      <c r="D25" s="1000"/>
      <c r="E25" s="1076"/>
      <c r="F25" s="1076"/>
      <c r="G25" s="1000"/>
      <c r="H25" s="1076"/>
      <c r="I25" s="1076"/>
      <c r="J25" s="1076"/>
      <c r="K25" s="1076"/>
      <c r="L25" s="1076"/>
      <c r="M25" s="1076"/>
      <c r="N25" s="1076"/>
      <c r="O25" s="1076"/>
      <c r="P25" s="1000"/>
      <c r="Q25" s="88"/>
    </row>
    <row r="26" spans="2:17" ht="13.15" customHeight="1" x14ac:dyDescent="0.2">
      <c r="B26" s="86"/>
      <c r="C26" s="1000"/>
      <c r="D26" s="1049" t="s">
        <v>670</v>
      </c>
      <c r="E26" s="1076">
        <v>1</v>
      </c>
      <c r="F26" s="1079" t="s">
        <v>145</v>
      </c>
      <c r="G26" s="1000"/>
      <c r="H26" s="1076">
        <f t="shared" ref="H26:N26" si="3">+H51+H59+H67+H75+H83+H91+H100+H108+H116+H124+H132+H140+H148+H156+H164+H180+H188+H196+H204+H212+H220+H228+H236+H244+H252+H260+H268+H276+H284+H292</f>
        <v>10</v>
      </c>
      <c r="I26" s="1109">
        <f t="shared" si="3"/>
        <v>0</v>
      </c>
      <c r="J26" s="1109">
        <f t="shared" si="3"/>
        <v>0</v>
      </c>
      <c r="K26" s="1109">
        <f t="shared" si="3"/>
        <v>0</v>
      </c>
      <c r="L26" s="1109">
        <f t="shared" si="3"/>
        <v>0</v>
      </c>
      <c r="M26" s="1109">
        <f t="shared" si="3"/>
        <v>0</v>
      </c>
      <c r="N26" s="1109">
        <f t="shared" si="3"/>
        <v>0</v>
      </c>
      <c r="O26" s="1109">
        <f t="shared" ref="O26" si="4">+O51+O59+O67+O75+O83+O91+O100+O108+O116+O124+O132+O140+O148+O156+O164+O180+O188+O196+O204+O212+O220+O228+O236+O244+O252+O260+O268+O276+O284+O292</f>
        <v>0</v>
      </c>
      <c r="P26" s="1000"/>
      <c r="Q26" s="88"/>
    </row>
    <row r="27" spans="2:17" ht="13.15" customHeight="1" x14ac:dyDescent="0.2">
      <c r="B27" s="86"/>
      <c r="C27" s="1000"/>
      <c r="D27" s="1000"/>
      <c r="E27" s="1076"/>
      <c r="F27" s="1079" t="s">
        <v>125</v>
      </c>
      <c r="G27" s="1000"/>
      <c r="H27" s="1076">
        <f t="shared" ref="H27:N27" si="5">+H54+H62+H70+H78+H86+H94+H103+H111+H119+H127+H135+H143+H151+H159+H167+H183+H191+H199+H207+H215+H223+H231+H239+H247+H255+H263+H271+H279+H287+H295</f>
        <v>10</v>
      </c>
      <c r="I27" s="1109">
        <f t="shared" si="5"/>
        <v>0</v>
      </c>
      <c r="J27" s="1109">
        <f t="shared" si="5"/>
        <v>0</v>
      </c>
      <c r="K27" s="1109">
        <f t="shared" si="5"/>
        <v>0</v>
      </c>
      <c r="L27" s="1109">
        <f t="shared" si="5"/>
        <v>0</v>
      </c>
      <c r="M27" s="1109">
        <f t="shared" si="5"/>
        <v>0</v>
      </c>
      <c r="N27" s="1109">
        <f t="shared" si="5"/>
        <v>0</v>
      </c>
      <c r="O27" s="1109">
        <f t="shared" ref="O27" si="6">+O54+O62+O70+O78+O86+O94+O103+O111+O119+O127+O135+O143+O151+O159+O167+O183+O191+O199+O207+O215+O223+O231+O239+O247+O255+O263+O271+O279+O287+O295</f>
        <v>0</v>
      </c>
      <c r="P27" s="1000"/>
      <c r="Q27" s="88"/>
    </row>
    <row r="28" spans="2:17" ht="13.15" customHeight="1" x14ac:dyDescent="0.2">
      <c r="B28" s="86"/>
      <c r="C28" s="1000"/>
      <c r="D28" s="1000"/>
      <c r="E28" s="1085" t="s">
        <v>728</v>
      </c>
      <c r="F28" s="1086" t="s">
        <v>429</v>
      </c>
      <c r="G28" s="1000"/>
      <c r="H28" s="1087">
        <f t="shared" ref="H28:N28" si="7">SUM(H26:H27)</f>
        <v>20</v>
      </c>
      <c r="I28" s="1111">
        <f t="shared" si="7"/>
        <v>0</v>
      </c>
      <c r="J28" s="1111">
        <f t="shared" si="7"/>
        <v>0</v>
      </c>
      <c r="K28" s="1111">
        <f t="shared" si="7"/>
        <v>0</v>
      </c>
      <c r="L28" s="1111">
        <f t="shared" si="7"/>
        <v>0</v>
      </c>
      <c r="M28" s="1111">
        <f t="shared" si="7"/>
        <v>0</v>
      </c>
      <c r="N28" s="1111">
        <f t="shared" si="7"/>
        <v>0</v>
      </c>
      <c r="O28" s="1111">
        <f t="shared" ref="O28" si="8">SUM(O26:O27)</f>
        <v>0</v>
      </c>
      <c r="P28" s="1000"/>
      <c r="Q28" s="88"/>
    </row>
    <row r="29" spans="2:17" ht="13.15" customHeight="1" x14ac:dyDescent="0.2">
      <c r="B29" s="86"/>
      <c r="C29" s="1000"/>
      <c r="D29" s="1000"/>
      <c r="E29" s="1076">
        <v>2</v>
      </c>
      <c r="F29" s="1079" t="s">
        <v>145</v>
      </c>
      <c r="G29" s="1000"/>
      <c r="H29" s="1076">
        <f t="shared" ref="H29:N29" si="9">+H52+H60+H68+H76+H84+H92+H101+H109+H117+H125+H133+H141+H149+H157+H165+H181+H189+H197+H205+H213+H221+H229+H237+H245+H253+H261+H269+H277+H285+H293</f>
        <v>10</v>
      </c>
      <c r="I29" s="1109">
        <f t="shared" si="9"/>
        <v>0</v>
      </c>
      <c r="J29" s="1109">
        <f t="shared" si="9"/>
        <v>0</v>
      </c>
      <c r="K29" s="1109">
        <f t="shared" si="9"/>
        <v>0</v>
      </c>
      <c r="L29" s="1109">
        <f t="shared" si="9"/>
        <v>0</v>
      </c>
      <c r="M29" s="1109">
        <f t="shared" si="9"/>
        <v>0</v>
      </c>
      <c r="N29" s="1109">
        <f t="shared" si="9"/>
        <v>0</v>
      </c>
      <c r="O29" s="1109">
        <f t="shared" ref="O29" si="10">+O52+O60+O68+O76+O84+O92+O101+O109+O117+O125+O133+O141+O149+O157+O165+O181+O189+O197+O205+O213+O221+O229+O237+O245+O253+O261+O269+O277+O285+O293</f>
        <v>0</v>
      </c>
      <c r="P29" s="1000"/>
      <c r="Q29" s="88"/>
    </row>
    <row r="30" spans="2:17" ht="13.15" customHeight="1" x14ac:dyDescent="0.2">
      <c r="B30" s="86"/>
      <c r="C30" s="1000"/>
      <c r="D30" s="1000"/>
      <c r="E30" s="1076"/>
      <c r="F30" s="1079" t="s">
        <v>125</v>
      </c>
      <c r="G30" s="1000"/>
      <c r="H30" s="1076">
        <f t="shared" ref="H30:N30" si="11">+H55+H63+H71+H79+H87+H95+H104+H112+H120+H128+H136+H144+H152+H160+H168+H184+H192+H200+H208+H216+H224+H232+H240+H248+H256+H264+H272+H280+H288+H296</f>
        <v>10</v>
      </c>
      <c r="I30" s="1109">
        <f t="shared" si="11"/>
        <v>0</v>
      </c>
      <c r="J30" s="1109">
        <f t="shared" si="11"/>
        <v>0</v>
      </c>
      <c r="K30" s="1109">
        <f t="shared" si="11"/>
        <v>0</v>
      </c>
      <c r="L30" s="1109">
        <f t="shared" si="11"/>
        <v>0</v>
      </c>
      <c r="M30" s="1109">
        <f t="shared" si="11"/>
        <v>0</v>
      </c>
      <c r="N30" s="1109">
        <f t="shared" si="11"/>
        <v>0</v>
      </c>
      <c r="O30" s="1109">
        <f t="shared" ref="O30" si="12">+O55+O63+O71+O79+O87+O95+O104+O112+O120+O128+O136+O144+O152+O160+O168+O184+O192+O200+O208+O216+O224+O232+O240+O248+O256+O264+O272+O280+O288+O296</f>
        <v>0</v>
      </c>
      <c r="P30" s="1000"/>
      <c r="Q30" s="88"/>
    </row>
    <row r="31" spans="2:17" ht="13.15" customHeight="1" x14ac:dyDescent="0.2">
      <c r="B31" s="86"/>
      <c r="C31" s="1000"/>
      <c r="D31" s="1000"/>
      <c r="E31" s="1085" t="s">
        <v>729</v>
      </c>
      <c r="F31" s="1086" t="s">
        <v>429</v>
      </c>
      <c r="G31" s="1000"/>
      <c r="H31" s="1087">
        <f t="shared" ref="H31:N31" si="13">SUM(H29:H30)</f>
        <v>20</v>
      </c>
      <c r="I31" s="1111">
        <f t="shared" si="13"/>
        <v>0</v>
      </c>
      <c r="J31" s="1111">
        <f t="shared" si="13"/>
        <v>0</v>
      </c>
      <c r="K31" s="1111">
        <f t="shared" si="13"/>
        <v>0</v>
      </c>
      <c r="L31" s="1111">
        <f t="shared" si="13"/>
        <v>0</v>
      </c>
      <c r="M31" s="1111">
        <f t="shared" si="13"/>
        <v>0</v>
      </c>
      <c r="N31" s="1111">
        <f t="shared" si="13"/>
        <v>0</v>
      </c>
      <c r="O31" s="1111">
        <f t="shared" ref="O31" si="14">SUM(O29:O30)</f>
        <v>0</v>
      </c>
      <c r="P31" s="1000"/>
      <c r="Q31" s="88"/>
    </row>
    <row r="32" spans="2:17" ht="13.15" customHeight="1" x14ac:dyDescent="0.2">
      <c r="B32" s="86"/>
      <c r="C32" s="1000"/>
      <c r="D32" s="1000"/>
      <c r="E32" s="1076">
        <v>3</v>
      </c>
      <c r="F32" s="1079" t="s">
        <v>145</v>
      </c>
      <c r="G32" s="1000"/>
      <c r="H32" s="1076">
        <f t="shared" ref="H32:N32" si="15">+H53+H61+H69+H77+H85+H93+H102+H110+H118+H126+H134+H142+H150+H158+H166+H182+H190+H198+H206+H214+H222+H230+H238+H246+H254+H262+H270+H278+H286+H294</f>
        <v>10</v>
      </c>
      <c r="I32" s="1109">
        <f t="shared" si="15"/>
        <v>0</v>
      </c>
      <c r="J32" s="1109">
        <f t="shared" si="15"/>
        <v>0</v>
      </c>
      <c r="K32" s="1109">
        <f t="shared" si="15"/>
        <v>0</v>
      </c>
      <c r="L32" s="1109">
        <f t="shared" si="15"/>
        <v>0</v>
      </c>
      <c r="M32" s="1109">
        <f t="shared" si="15"/>
        <v>0</v>
      </c>
      <c r="N32" s="1109">
        <f t="shared" si="15"/>
        <v>0</v>
      </c>
      <c r="O32" s="1109">
        <f t="shared" ref="O32" si="16">+O53+O61+O69+O77+O85+O93+O102+O110+O118+O126+O134+O142+O150+O158+O166+O182+O190+O198+O206+O214+O222+O230+O238+O246+O254+O262+O270+O278+O286+O294</f>
        <v>0</v>
      </c>
      <c r="P32" s="1000"/>
      <c r="Q32" s="88"/>
    </row>
    <row r="33" spans="2:17" ht="13.15" customHeight="1" x14ac:dyDescent="0.2">
      <c r="B33" s="86"/>
      <c r="C33" s="1000"/>
      <c r="D33" s="1000"/>
      <c r="E33" s="1076"/>
      <c r="F33" s="1079" t="s">
        <v>125</v>
      </c>
      <c r="G33" s="1000"/>
      <c r="H33" s="1076">
        <f t="shared" ref="H33:N33" si="17">+H56+H64+H72+H80+H88+H96+H105+H113+H121+H129+H137+H145+H153+H161+H169+H185+H193+H201+H209+H217+H225+H233+H241+H249+H257+H265+H273+H281+H289+H297</f>
        <v>10</v>
      </c>
      <c r="I33" s="1109">
        <f t="shared" si="17"/>
        <v>0</v>
      </c>
      <c r="J33" s="1109">
        <f t="shared" si="17"/>
        <v>0</v>
      </c>
      <c r="K33" s="1109">
        <f t="shared" si="17"/>
        <v>0</v>
      </c>
      <c r="L33" s="1109">
        <f t="shared" si="17"/>
        <v>0</v>
      </c>
      <c r="M33" s="1109">
        <f t="shared" si="17"/>
        <v>0</v>
      </c>
      <c r="N33" s="1109">
        <f t="shared" si="17"/>
        <v>0</v>
      </c>
      <c r="O33" s="1109">
        <f t="shared" ref="O33" si="18">+O56+O64+O72+O80+O88+O96+O105+O113+O121+O129+O137+O145+O153+O161+O169+O185+O193+O201+O209+O217+O225+O233+O241+O249+O257+O265+O273+O281+O289+O297</f>
        <v>0</v>
      </c>
      <c r="P33" s="1000"/>
      <c r="Q33" s="88"/>
    </row>
    <row r="34" spans="2:17" ht="13.15" customHeight="1" x14ac:dyDescent="0.2">
      <c r="B34" s="86"/>
      <c r="C34" s="1000"/>
      <c r="D34" s="1000"/>
      <c r="E34" s="1085" t="s">
        <v>730</v>
      </c>
      <c r="F34" s="1086" t="s">
        <v>429</v>
      </c>
      <c r="G34" s="1000"/>
      <c r="H34" s="1087">
        <f t="shared" ref="H34:N34" si="19">SUM(H32:H33)</f>
        <v>20</v>
      </c>
      <c r="I34" s="1111">
        <f t="shared" si="19"/>
        <v>0</v>
      </c>
      <c r="J34" s="1111">
        <f t="shared" si="19"/>
        <v>0</v>
      </c>
      <c r="K34" s="1111">
        <f t="shared" si="19"/>
        <v>0</v>
      </c>
      <c r="L34" s="1111">
        <f t="shared" si="19"/>
        <v>0</v>
      </c>
      <c r="M34" s="1111">
        <f t="shared" si="19"/>
        <v>0</v>
      </c>
      <c r="N34" s="1111">
        <f t="shared" si="19"/>
        <v>0</v>
      </c>
      <c r="O34" s="1111">
        <f t="shared" ref="O34" si="20">SUM(O32:O33)</f>
        <v>0</v>
      </c>
      <c r="P34" s="1000"/>
      <c r="Q34" s="88"/>
    </row>
    <row r="35" spans="2:17" ht="13.15" customHeight="1" x14ac:dyDescent="0.2">
      <c r="B35" s="86"/>
      <c r="C35" s="1000"/>
      <c r="D35" s="1000"/>
      <c r="E35" s="1076"/>
      <c r="F35" s="1088" t="s">
        <v>173</v>
      </c>
      <c r="G35" s="1000"/>
      <c r="H35" s="1055">
        <f t="shared" ref="H35:N35" si="21">+H28+H31+H34</f>
        <v>60</v>
      </c>
      <c r="I35" s="1067">
        <f t="shared" si="21"/>
        <v>0</v>
      </c>
      <c r="J35" s="1067">
        <f t="shared" si="21"/>
        <v>0</v>
      </c>
      <c r="K35" s="1067">
        <f t="shared" si="21"/>
        <v>0</v>
      </c>
      <c r="L35" s="1067">
        <f t="shared" si="21"/>
        <v>0</v>
      </c>
      <c r="M35" s="1067">
        <f t="shared" si="21"/>
        <v>0</v>
      </c>
      <c r="N35" s="1067">
        <f t="shared" si="21"/>
        <v>0</v>
      </c>
      <c r="O35" s="1067">
        <f t="shared" ref="O35" si="22">+O28+O31+O34</f>
        <v>0</v>
      </c>
      <c r="P35" s="1000"/>
      <c r="Q35" s="88"/>
    </row>
    <row r="36" spans="2:17" ht="13.15" customHeight="1" x14ac:dyDescent="0.2">
      <c r="B36" s="86"/>
      <c r="C36" s="1000"/>
      <c r="D36" s="1000"/>
      <c r="E36" s="1076"/>
      <c r="F36" s="1076"/>
      <c r="G36" s="1000"/>
      <c r="H36" s="1076"/>
      <c r="I36" s="1076"/>
      <c r="J36" s="1076"/>
      <c r="K36" s="1076"/>
      <c r="L36" s="1076"/>
      <c r="M36" s="1076"/>
      <c r="N36" s="1076"/>
      <c r="O36" s="1076"/>
      <c r="P36" s="1000"/>
      <c r="Q36" s="88"/>
    </row>
    <row r="37" spans="2:17" ht="13.15" customHeight="1" x14ac:dyDescent="0.2">
      <c r="B37" s="90"/>
      <c r="C37" s="1075"/>
      <c r="D37" s="1075" t="s">
        <v>644</v>
      </c>
      <c r="E37" s="1076"/>
      <c r="F37" s="1076"/>
      <c r="G37" s="1075"/>
      <c r="H37" s="1089" t="e">
        <f t="shared" ref="H37:O37" si="23">+H22+H23+H300</f>
        <v>#REF!</v>
      </c>
      <c r="I37" s="1112">
        <f t="shared" si="23"/>
        <v>0</v>
      </c>
      <c r="J37" s="1112">
        <f t="shared" si="23"/>
        <v>0</v>
      </c>
      <c r="K37" s="1112">
        <f t="shared" si="23"/>
        <v>0</v>
      </c>
      <c r="L37" s="1112">
        <f t="shared" si="23"/>
        <v>0</v>
      </c>
      <c r="M37" s="1112">
        <f t="shared" si="23"/>
        <v>0</v>
      </c>
      <c r="N37" s="1112">
        <f t="shared" si="23"/>
        <v>0</v>
      </c>
      <c r="O37" s="1112">
        <f t="shared" si="23"/>
        <v>0</v>
      </c>
      <c r="P37" s="1075"/>
      <c r="Q37" s="101"/>
    </row>
    <row r="38" spans="2:17" ht="13.15" customHeight="1" x14ac:dyDescent="0.2">
      <c r="B38" s="86"/>
      <c r="C38" s="1000"/>
      <c r="D38" s="1000"/>
      <c r="E38" s="1076"/>
      <c r="F38" s="1076"/>
      <c r="G38" s="1000"/>
      <c r="H38" s="1076"/>
      <c r="I38" s="1076"/>
      <c r="J38" s="1076"/>
      <c r="K38" s="1076"/>
      <c r="L38" s="1076"/>
      <c r="M38" s="1076"/>
      <c r="N38" s="1076"/>
      <c r="O38" s="1076"/>
      <c r="P38" s="1000"/>
      <c r="Q38" s="88"/>
    </row>
    <row r="39" spans="2:17" ht="13.15" customHeight="1" x14ac:dyDescent="0.2">
      <c r="B39" s="86"/>
      <c r="C39" s="1000"/>
      <c r="D39" s="1049" t="s">
        <v>353</v>
      </c>
      <c r="E39" s="1084"/>
      <c r="F39" s="1084"/>
      <c r="G39" s="1000"/>
      <c r="H39" s="1076"/>
      <c r="I39" s="1076"/>
      <c r="J39" s="1076"/>
      <c r="K39" s="1076"/>
      <c r="L39" s="1076"/>
      <c r="M39" s="1076"/>
      <c r="N39" s="1076"/>
      <c r="O39" s="1076"/>
      <c r="P39" s="1000"/>
      <c r="Q39" s="88"/>
    </row>
    <row r="40" spans="2:17" ht="13.15" customHeight="1" x14ac:dyDescent="0.2">
      <c r="B40" s="86"/>
      <c r="C40" s="1000"/>
      <c r="D40" s="1000" t="s">
        <v>79</v>
      </c>
      <c r="E40" s="1076"/>
      <c r="F40" s="1076"/>
      <c r="G40" s="1000"/>
      <c r="H40" s="1090" t="e">
        <f t="shared" ref="H40:O40" si="24">IF(H$37=0,0,+H$300/H$37)</f>
        <v>#REF!</v>
      </c>
      <c r="I40" s="1113">
        <f t="shared" si="24"/>
        <v>0</v>
      </c>
      <c r="J40" s="1113">
        <f t="shared" si="24"/>
        <v>0</v>
      </c>
      <c r="K40" s="1113">
        <f t="shared" si="24"/>
        <v>0</v>
      </c>
      <c r="L40" s="1113">
        <f>IF(L$37=0,0,+L$300/L$37)</f>
        <v>0</v>
      </c>
      <c r="M40" s="1113">
        <f t="shared" si="24"/>
        <v>0</v>
      </c>
      <c r="N40" s="1113">
        <f t="shared" si="24"/>
        <v>0</v>
      </c>
      <c r="O40" s="1113">
        <f t="shared" si="24"/>
        <v>0</v>
      </c>
      <c r="P40" s="1000"/>
      <c r="Q40" s="88"/>
    </row>
    <row r="41" spans="2:17" ht="13.15" customHeight="1" x14ac:dyDescent="0.2">
      <c r="B41" s="86"/>
      <c r="C41" s="1000"/>
      <c r="D41" s="1000" t="s">
        <v>80</v>
      </c>
      <c r="E41" s="1076"/>
      <c r="F41" s="1076"/>
      <c r="G41" s="1000"/>
      <c r="H41" s="1090" t="e">
        <f t="shared" ref="H41:O41" si="25">H300/H24</f>
        <v>#REF!</v>
      </c>
      <c r="I41" s="1113" t="e">
        <f t="shared" si="25"/>
        <v>#DIV/0!</v>
      </c>
      <c r="J41" s="1113" t="e">
        <f t="shared" si="25"/>
        <v>#DIV/0!</v>
      </c>
      <c r="K41" s="1113" t="e">
        <f t="shared" si="25"/>
        <v>#DIV/0!</v>
      </c>
      <c r="L41" s="1113" t="e">
        <f t="shared" si="25"/>
        <v>#DIV/0!</v>
      </c>
      <c r="M41" s="1113" t="e">
        <f t="shared" si="25"/>
        <v>#DIV/0!</v>
      </c>
      <c r="N41" s="1113" t="e">
        <f t="shared" si="25"/>
        <v>#DIV/0!</v>
      </c>
      <c r="O41" s="1113" t="e">
        <f t="shared" si="25"/>
        <v>#DIV/0!</v>
      </c>
      <c r="P41" s="1000"/>
      <c r="Q41" s="88"/>
    </row>
    <row r="42" spans="2:17" ht="13.15" customHeight="1" x14ac:dyDescent="0.2">
      <c r="B42" s="86"/>
      <c r="C42" s="1000"/>
      <c r="D42" s="1000" t="s">
        <v>945</v>
      </c>
      <c r="E42" s="1076"/>
      <c r="F42" s="1113">
        <f>+tab!I15</f>
        <v>1.634E-2</v>
      </c>
      <c r="G42" s="1000"/>
      <c r="H42" s="1090">
        <f>+tab!I15</f>
        <v>1.634E-2</v>
      </c>
      <c r="I42" s="1113">
        <f>+tab!J15</f>
        <v>1.6250000000000001E-2</v>
      </c>
      <c r="J42" s="1113">
        <v>1.555E-2</v>
      </c>
      <c r="K42" s="1114">
        <v>0</v>
      </c>
      <c r="L42" s="1114">
        <v>0</v>
      </c>
      <c r="M42" s="1114">
        <v>0</v>
      </c>
      <c r="N42" s="1114">
        <v>0</v>
      </c>
      <c r="O42" s="1114">
        <v>0</v>
      </c>
      <c r="P42" s="1000"/>
      <c r="Q42" s="88"/>
    </row>
    <row r="43" spans="2:17" ht="13.15" customHeight="1" x14ac:dyDescent="0.2">
      <c r="B43" s="86"/>
      <c r="C43" s="1096"/>
      <c r="D43" s="1096"/>
      <c r="E43" s="1098"/>
      <c r="F43" s="1098"/>
      <c r="G43" s="1096"/>
      <c r="H43" s="1098"/>
      <c r="I43" s="1098"/>
      <c r="J43" s="1098"/>
      <c r="K43" s="1098"/>
      <c r="L43" s="1098"/>
      <c r="M43" s="1098"/>
      <c r="N43" s="1098"/>
      <c r="O43" s="1098"/>
      <c r="P43" s="1096"/>
      <c r="Q43" s="88"/>
    </row>
    <row r="44" spans="2:17" ht="13.15" customHeight="1" x14ac:dyDescent="0.2">
      <c r="B44" s="96"/>
      <c r="C44" s="495"/>
      <c r="D44" s="495"/>
      <c r="E44" s="616"/>
      <c r="F44" s="616"/>
      <c r="G44" s="495"/>
      <c r="H44" s="616"/>
      <c r="I44" s="616"/>
      <c r="J44" s="616"/>
      <c r="K44" s="616"/>
      <c r="L44" s="616"/>
      <c r="M44" s="616"/>
      <c r="N44" s="616"/>
      <c r="O44" s="616"/>
      <c r="P44" s="495"/>
      <c r="Q44" s="95"/>
    </row>
    <row r="45" spans="2:17" ht="13.15" customHeight="1" x14ac:dyDescent="0.2">
      <c r="B45" s="1341"/>
      <c r="C45" s="1342"/>
      <c r="D45" s="1342"/>
      <c r="E45" s="1342"/>
      <c r="F45" s="1342"/>
      <c r="G45" s="1342"/>
      <c r="H45" s="1342"/>
      <c r="I45" s="1342"/>
      <c r="J45" s="1342"/>
      <c r="K45" s="1342"/>
      <c r="L45" s="1342"/>
      <c r="M45" s="1342"/>
      <c r="N45" s="1342"/>
      <c r="O45" s="1342"/>
      <c r="P45" s="1342"/>
      <c r="Q45" s="603"/>
    </row>
    <row r="46" spans="2:17" ht="13.15" customHeight="1" x14ac:dyDescent="0.2">
      <c r="B46" s="86"/>
      <c r="C46" s="802"/>
      <c r="D46" s="802"/>
      <c r="E46" s="802"/>
      <c r="F46" s="802"/>
      <c r="G46" s="802"/>
      <c r="H46" s="1115" t="e">
        <f t="shared" ref="H46:O46" si="26">+H16</f>
        <v>#REF!</v>
      </c>
      <c r="I46" s="1115" t="str">
        <f t="shared" si="26"/>
        <v>2015/16</v>
      </c>
      <c r="J46" s="1115" t="str">
        <f t="shared" si="26"/>
        <v>2016/17</v>
      </c>
      <c r="K46" s="1115" t="str">
        <f t="shared" si="26"/>
        <v>2017/18</v>
      </c>
      <c r="L46" s="1115" t="str">
        <f t="shared" si="26"/>
        <v>2018/19</v>
      </c>
      <c r="M46" s="1115" t="str">
        <f t="shared" si="26"/>
        <v>2019/20</v>
      </c>
      <c r="N46" s="1115" t="str">
        <f t="shared" si="26"/>
        <v>2020/21</v>
      </c>
      <c r="O46" s="1115" t="str">
        <f t="shared" si="26"/>
        <v>2021/22</v>
      </c>
      <c r="P46" s="802"/>
      <c r="Q46" s="517"/>
    </row>
    <row r="47" spans="2:17" ht="13.15" customHeight="1" x14ac:dyDescent="0.2">
      <c r="B47" s="86"/>
      <c r="C47" s="802"/>
      <c r="D47" s="802"/>
      <c r="E47" s="802"/>
      <c r="F47" s="802"/>
      <c r="G47" s="802"/>
      <c r="H47" s="802"/>
      <c r="I47" s="802"/>
      <c r="J47" s="802"/>
      <c r="K47" s="802"/>
      <c r="L47" s="802"/>
      <c r="M47" s="802"/>
      <c r="N47" s="802"/>
      <c r="O47" s="802"/>
      <c r="P47" s="802"/>
      <c r="Q47" s="517"/>
    </row>
    <row r="48" spans="2:17" ht="13.15" customHeight="1" x14ac:dyDescent="0.2">
      <c r="B48" s="86"/>
      <c r="C48" s="997"/>
      <c r="D48" s="997"/>
      <c r="E48" s="1102"/>
      <c r="F48" s="1102"/>
      <c r="G48" s="997"/>
      <c r="H48" s="1102"/>
      <c r="I48" s="1102"/>
      <c r="J48" s="1102"/>
      <c r="K48" s="1102"/>
      <c r="L48" s="1102"/>
      <c r="M48" s="1102"/>
      <c r="N48" s="1102"/>
      <c r="O48" s="1102"/>
      <c r="P48" s="997"/>
      <c r="Q48" s="88"/>
    </row>
    <row r="49" spans="2:17" ht="13.15" customHeight="1" x14ac:dyDescent="0.25">
      <c r="B49" s="86"/>
      <c r="C49" s="1000"/>
      <c r="D49" s="1091" t="s">
        <v>671</v>
      </c>
      <c r="E49" s="1092" t="s">
        <v>58</v>
      </c>
      <c r="F49" s="1092"/>
      <c r="G49" s="1053"/>
      <c r="H49" s="1054"/>
      <c r="I49" s="1076"/>
      <c r="J49" s="1076"/>
      <c r="K49" s="1076"/>
      <c r="L49" s="1076"/>
      <c r="M49" s="1076"/>
      <c r="N49" s="1076"/>
      <c r="O49" s="1076"/>
      <c r="P49" s="1000"/>
      <c r="Q49" s="88"/>
    </row>
    <row r="50" spans="2:17" ht="13.15" customHeight="1" x14ac:dyDescent="0.2">
      <c r="B50" s="86"/>
      <c r="C50" s="1000"/>
      <c r="D50" s="1000"/>
      <c r="E50" s="1076"/>
      <c r="F50" s="1076"/>
      <c r="G50" s="1000"/>
      <c r="H50" s="1076"/>
      <c r="I50" s="1076"/>
      <c r="J50" s="1076"/>
      <c r="K50" s="1076"/>
      <c r="L50" s="1076"/>
      <c r="M50" s="1076"/>
      <c r="N50" s="1076"/>
      <c r="O50" s="1076"/>
      <c r="P50" s="1000"/>
      <c r="Q50" s="88"/>
    </row>
    <row r="51" spans="2:17" ht="13.15" customHeight="1" x14ac:dyDescent="0.2">
      <c r="B51" s="86"/>
      <c r="C51" s="1000"/>
      <c r="D51" s="1116" t="s">
        <v>717</v>
      </c>
      <c r="E51" s="1076">
        <v>1</v>
      </c>
      <c r="F51" s="1076" t="s">
        <v>145</v>
      </c>
      <c r="G51" s="1000"/>
      <c r="H51" s="1050">
        <v>10</v>
      </c>
      <c r="I51" s="1065">
        <v>0</v>
      </c>
      <c r="J51" s="1065">
        <v>0</v>
      </c>
      <c r="K51" s="1065">
        <f t="shared" ref="J51:K54" si="27">+J51</f>
        <v>0</v>
      </c>
      <c r="L51" s="1065">
        <f t="shared" ref="L51:M57" si="28">+K51</f>
        <v>0</v>
      </c>
      <c r="M51" s="1065">
        <f t="shared" si="28"/>
        <v>0</v>
      </c>
      <c r="N51" s="1065">
        <f t="shared" ref="N51:O57" si="29">+M51</f>
        <v>0</v>
      </c>
      <c r="O51" s="1065">
        <f t="shared" si="29"/>
        <v>0</v>
      </c>
      <c r="P51" s="1000"/>
      <c r="Q51" s="88"/>
    </row>
    <row r="52" spans="2:17" ht="13.15" customHeight="1" x14ac:dyDescent="0.2">
      <c r="B52" s="86"/>
      <c r="C52" s="1000"/>
      <c r="D52" s="1000"/>
      <c r="E52" s="1076">
        <v>2</v>
      </c>
      <c r="F52" s="1076" t="s">
        <v>145</v>
      </c>
      <c r="G52" s="1000"/>
      <c r="H52" s="1050">
        <v>10</v>
      </c>
      <c r="I52" s="1065">
        <v>0</v>
      </c>
      <c r="J52" s="1065">
        <v>0</v>
      </c>
      <c r="K52" s="1065">
        <f t="shared" si="27"/>
        <v>0</v>
      </c>
      <c r="L52" s="1065">
        <f t="shared" si="28"/>
        <v>0</v>
      </c>
      <c r="M52" s="1065">
        <f t="shared" si="28"/>
        <v>0</v>
      </c>
      <c r="N52" s="1065">
        <f t="shared" si="29"/>
        <v>0</v>
      </c>
      <c r="O52" s="1065">
        <f t="shared" si="29"/>
        <v>0</v>
      </c>
      <c r="P52" s="1000"/>
      <c r="Q52" s="88"/>
    </row>
    <row r="53" spans="2:17" ht="13.15" customHeight="1" x14ac:dyDescent="0.2">
      <c r="B53" s="86"/>
      <c r="C53" s="1000"/>
      <c r="D53" s="1000"/>
      <c r="E53" s="1076">
        <v>3</v>
      </c>
      <c r="F53" s="1076" t="s">
        <v>145</v>
      </c>
      <c r="G53" s="1000"/>
      <c r="H53" s="1050">
        <v>10</v>
      </c>
      <c r="I53" s="1065">
        <v>0</v>
      </c>
      <c r="J53" s="1065">
        <v>0</v>
      </c>
      <c r="K53" s="1065">
        <f t="shared" si="27"/>
        <v>0</v>
      </c>
      <c r="L53" s="1065">
        <f t="shared" si="28"/>
        <v>0</v>
      </c>
      <c r="M53" s="1065">
        <f t="shared" si="28"/>
        <v>0</v>
      </c>
      <c r="N53" s="1065">
        <f t="shared" si="29"/>
        <v>0</v>
      </c>
      <c r="O53" s="1065">
        <f t="shared" si="29"/>
        <v>0</v>
      </c>
      <c r="P53" s="1000"/>
      <c r="Q53" s="88"/>
    </row>
    <row r="54" spans="2:17" ht="13.15" customHeight="1" x14ac:dyDescent="0.2">
      <c r="B54" s="86"/>
      <c r="C54" s="1000"/>
      <c r="D54" s="1000"/>
      <c r="E54" s="1076">
        <v>1</v>
      </c>
      <c r="F54" s="1076" t="s">
        <v>125</v>
      </c>
      <c r="G54" s="1000"/>
      <c r="H54" s="1050">
        <v>10</v>
      </c>
      <c r="I54" s="1065">
        <v>0</v>
      </c>
      <c r="J54" s="1065">
        <v>0</v>
      </c>
      <c r="K54" s="1065">
        <f t="shared" si="27"/>
        <v>0</v>
      </c>
      <c r="L54" s="1065">
        <f t="shared" si="28"/>
        <v>0</v>
      </c>
      <c r="M54" s="1065">
        <f t="shared" si="28"/>
        <v>0</v>
      </c>
      <c r="N54" s="1065">
        <f t="shared" si="29"/>
        <v>0</v>
      </c>
      <c r="O54" s="1065">
        <f t="shared" si="29"/>
        <v>0</v>
      </c>
      <c r="P54" s="1000"/>
      <c r="Q54" s="88"/>
    </row>
    <row r="55" spans="2:17" ht="13.15" customHeight="1" x14ac:dyDescent="0.2">
      <c r="B55" s="86"/>
      <c r="C55" s="1000"/>
      <c r="D55" s="1000"/>
      <c r="E55" s="1076">
        <v>2</v>
      </c>
      <c r="F55" s="1076" t="s">
        <v>125</v>
      </c>
      <c r="G55" s="1000"/>
      <c r="H55" s="1050">
        <v>10</v>
      </c>
      <c r="I55" s="1065">
        <v>0</v>
      </c>
      <c r="J55" s="1065">
        <v>0</v>
      </c>
      <c r="K55" s="1065">
        <f t="shared" ref="J55:K57" si="30">+J55</f>
        <v>0</v>
      </c>
      <c r="L55" s="1065">
        <f t="shared" si="28"/>
        <v>0</v>
      </c>
      <c r="M55" s="1065">
        <f t="shared" si="28"/>
        <v>0</v>
      </c>
      <c r="N55" s="1065">
        <f t="shared" si="29"/>
        <v>0</v>
      </c>
      <c r="O55" s="1065">
        <f t="shared" si="29"/>
        <v>0</v>
      </c>
      <c r="P55" s="1000"/>
      <c r="Q55" s="88"/>
    </row>
    <row r="56" spans="2:17" ht="13.15" customHeight="1" x14ac:dyDescent="0.2">
      <c r="B56" s="86"/>
      <c r="C56" s="1000"/>
      <c r="D56" s="1000"/>
      <c r="E56" s="1076">
        <v>3</v>
      </c>
      <c r="F56" s="1076" t="s">
        <v>125</v>
      </c>
      <c r="G56" s="1000"/>
      <c r="H56" s="1050">
        <v>10</v>
      </c>
      <c r="I56" s="1065">
        <v>0</v>
      </c>
      <c r="J56" s="1065">
        <v>0</v>
      </c>
      <c r="K56" s="1065">
        <f t="shared" si="30"/>
        <v>0</v>
      </c>
      <c r="L56" s="1065">
        <f t="shared" si="28"/>
        <v>0</v>
      </c>
      <c r="M56" s="1065">
        <f t="shared" si="28"/>
        <v>0</v>
      </c>
      <c r="N56" s="1065">
        <f t="shared" si="29"/>
        <v>0</v>
      </c>
      <c r="O56" s="1065">
        <f t="shared" si="29"/>
        <v>0</v>
      </c>
      <c r="P56" s="1000"/>
      <c r="Q56" s="88"/>
    </row>
    <row r="57" spans="2:17" ht="13.15" customHeight="1" x14ac:dyDescent="0.2">
      <c r="B57" s="86"/>
      <c r="C57" s="1000"/>
      <c r="D57" s="1085" t="s">
        <v>653</v>
      </c>
      <c r="E57" s="1076"/>
      <c r="F57" s="1076"/>
      <c r="G57" s="1000"/>
      <c r="H57" s="1094">
        <v>41.12</v>
      </c>
      <c r="I57" s="1117">
        <f>tab!$C$111</f>
        <v>41.48</v>
      </c>
      <c r="J57" s="1117">
        <f t="shared" si="30"/>
        <v>41.48</v>
      </c>
      <c r="K57" s="1117">
        <f t="shared" si="30"/>
        <v>41.48</v>
      </c>
      <c r="L57" s="1117">
        <f t="shared" si="28"/>
        <v>41.48</v>
      </c>
      <c r="M57" s="1117">
        <f t="shared" si="28"/>
        <v>41.48</v>
      </c>
      <c r="N57" s="1117">
        <f t="shared" si="29"/>
        <v>41.48</v>
      </c>
      <c r="O57" s="1117">
        <f t="shared" si="29"/>
        <v>41.48</v>
      </c>
      <c r="P57" s="1000"/>
      <c r="Q57" s="88"/>
    </row>
    <row r="58" spans="2:17" ht="13.15" customHeight="1" x14ac:dyDescent="0.2">
      <c r="B58" s="86"/>
      <c r="C58" s="1000"/>
      <c r="D58" s="1000"/>
      <c r="E58" s="1076"/>
      <c r="F58" s="1076"/>
      <c r="G58" s="1000"/>
      <c r="H58" s="1095"/>
      <c r="I58" s="1076"/>
      <c r="J58" s="1076"/>
      <c r="K58" s="1076"/>
      <c r="L58" s="1076"/>
      <c r="M58" s="1076"/>
      <c r="N58" s="1076"/>
      <c r="O58" s="1076"/>
      <c r="P58" s="1000"/>
      <c r="Q58" s="88"/>
    </row>
    <row r="59" spans="2:17" ht="13.15" customHeight="1" x14ac:dyDescent="0.2">
      <c r="B59" s="86"/>
      <c r="C59" s="1000"/>
      <c r="D59" s="1116" t="s">
        <v>718</v>
      </c>
      <c r="E59" s="1076">
        <v>1</v>
      </c>
      <c r="F59" s="1076" t="s">
        <v>145</v>
      </c>
      <c r="G59" s="1000"/>
      <c r="H59" s="1050">
        <v>0</v>
      </c>
      <c r="I59" s="1065">
        <f t="shared" ref="I59:K65" si="31">+H59</f>
        <v>0</v>
      </c>
      <c r="J59" s="1065">
        <f t="shared" si="31"/>
        <v>0</v>
      </c>
      <c r="K59" s="1065">
        <f t="shared" si="31"/>
        <v>0</v>
      </c>
      <c r="L59" s="1065">
        <f t="shared" ref="L59:M65" si="32">+K59</f>
        <v>0</v>
      </c>
      <c r="M59" s="1065">
        <f t="shared" si="32"/>
        <v>0</v>
      </c>
      <c r="N59" s="1065">
        <f t="shared" ref="N59:O65" si="33">+M59</f>
        <v>0</v>
      </c>
      <c r="O59" s="1065">
        <f t="shared" si="33"/>
        <v>0</v>
      </c>
      <c r="P59" s="1000"/>
      <c r="Q59" s="88"/>
    </row>
    <row r="60" spans="2:17" ht="13.15" customHeight="1" x14ac:dyDescent="0.2">
      <c r="B60" s="86"/>
      <c r="C60" s="1000"/>
      <c r="D60" s="1000"/>
      <c r="E60" s="1076">
        <v>2</v>
      </c>
      <c r="F60" s="1076" t="s">
        <v>145</v>
      </c>
      <c r="G60" s="1000"/>
      <c r="H60" s="1050">
        <v>0</v>
      </c>
      <c r="I60" s="1065">
        <f t="shared" si="31"/>
        <v>0</v>
      </c>
      <c r="J60" s="1065">
        <f t="shared" si="31"/>
        <v>0</v>
      </c>
      <c r="K60" s="1065">
        <f t="shared" si="31"/>
        <v>0</v>
      </c>
      <c r="L60" s="1065">
        <f t="shared" si="32"/>
        <v>0</v>
      </c>
      <c r="M60" s="1065">
        <f t="shared" si="32"/>
        <v>0</v>
      </c>
      <c r="N60" s="1065">
        <f t="shared" si="33"/>
        <v>0</v>
      </c>
      <c r="O60" s="1065">
        <f t="shared" si="33"/>
        <v>0</v>
      </c>
      <c r="P60" s="1000"/>
      <c r="Q60" s="88"/>
    </row>
    <row r="61" spans="2:17" ht="13.15" customHeight="1" x14ac:dyDescent="0.2">
      <c r="B61" s="86"/>
      <c r="C61" s="1000"/>
      <c r="D61" s="1000"/>
      <c r="E61" s="1076">
        <v>3</v>
      </c>
      <c r="F61" s="1076" t="s">
        <v>145</v>
      </c>
      <c r="G61" s="1000"/>
      <c r="H61" s="1050">
        <v>0</v>
      </c>
      <c r="I61" s="1065">
        <f t="shared" si="31"/>
        <v>0</v>
      </c>
      <c r="J61" s="1065">
        <f t="shared" si="31"/>
        <v>0</v>
      </c>
      <c r="K61" s="1065">
        <f t="shared" si="31"/>
        <v>0</v>
      </c>
      <c r="L61" s="1065">
        <f t="shared" si="32"/>
        <v>0</v>
      </c>
      <c r="M61" s="1065">
        <f t="shared" si="32"/>
        <v>0</v>
      </c>
      <c r="N61" s="1065">
        <f t="shared" si="33"/>
        <v>0</v>
      </c>
      <c r="O61" s="1065">
        <f t="shared" si="33"/>
        <v>0</v>
      </c>
      <c r="P61" s="1000"/>
      <c r="Q61" s="88"/>
    </row>
    <row r="62" spans="2:17" ht="13.15" customHeight="1" x14ac:dyDescent="0.2">
      <c r="B62" s="86"/>
      <c r="C62" s="1000"/>
      <c r="D62" s="1000"/>
      <c r="E62" s="1076">
        <v>1</v>
      </c>
      <c r="F62" s="1076" t="s">
        <v>125</v>
      </c>
      <c r="G62" s="1000"/>
      <c r="H62" s="1050">
        <v>0</v>
      </c>
      <c r="I62" s="1065">
        <f t="shared" si="31"/>
        <v>0</v>
      </c>
      <c r="J62" s="1065">
        <f t="shared" si="31"/>
        <v>0</v>
      </c>
      <c r="K62" s="1065">
        <f t="shared" si="31"/>
        <v>0</v>
      </c>
      <c r="L62" s="1065">
        <f t="shared" si="32"/>
        <v>0</v>
      </c>
      <c r="M62" s="1065">
        <f t="shared" si="32"/>
        <v>0</v>
      </c>
      <c r="N62" s="1065">
        <f t="shared" si="33"/>
        <v>0</v>
      </c>
      <c r="O62" s="1065">
        <f t="shared" si="33"/>
        <v>0</v>
      </c>
      <c r="P62" s="1000"/>
      <c r="Q62" s="88"/>
    </row>
    <row r="63" spans="2:17" ht="13.15" customHeight="1" x14ac:dyDescent="0.2">
      <c r="B63" s="86"/>
      <c r="C63" s="1000"/>
      <c r="D63" s="1000"/>
      <c r="E63" s="1076">
        <v>2</v>
      </c>
      <c r="F63" s="1076" t="s">
        <v>125</v>
      </c>
      <c r="G63" s="1000"/>
      <c r="H63" s="1050">
        <v>0</v>
      </c>
      <c r="I63" s="1065">
        <f t="shared" si="31"/>
        <v>0</v>
      </c>
      <c r="J63" s="1065">
        <f t="shared" si="31"/>
        <v>0</v>
      </c>
      <c r="K63" s="1065">
        <f t="shared" si="31"/>
        <v>0</v>
      </c>
      <c r="L63" s="1065">
        <f t="shared" si="32"/>
        <v>0</v>
      </c>
      <c r="M63" s="1065">
        <f t="shared" si="32"/>
        <v>0</v>
      </c>
      <c r="N63" s="1065">
        <f t="shared" si="33"/>
        <v>0</v>
      </c>
      <c r="O63" s="1065">
        <f t="shared" si="33"/>
        <v>0</v>
      </c>
      <c r="P63" s="1000"/>
      <c r="Q63" s="88"/>
    </row>
    <row r="64" spans="2:17" ht="13.15" customHeight="1" x14ac:dyDescent="0.2">
      <c r="B64" s="86"/>
      <c r="C64" s="1000"/>
      <c r="D64" s="1000"/>
      <c r="E64" s="1076">
        <v>3</v>
      </c>
      <c r="F64" s="1076" t="s">
        <v>125</v>
      </c>
      <c r="G64" s="1000"/>
      <c r="H64" s="1050">
        <v>0</v>
      </c>
      <c r="I64" s="1065">
        <f t="shared" si="31"/>
        <v>0</v>
      </c>
      <c r="J64" s="1065">
        <f t="shared" si="31"/>
        <v>0</v>
      </c>
      <c r="K64" s="1065">
        <f t="shared" si="31"/>
        <v>0</v>
      </c>
      <c r="L64" s="1065">
        <f t="shared" si="32"/>
        <v>0</v>
      </c>
      <c r="M64" s="1065">
        <f t="shared" si="32"/>
        <v>0</v>
      </c>
      <c r="N64" s="1065">
        <f t="shared" si="33"/>
        <v>0</v>
      </c>
      <c r="O64" s="1065">
        <f t="shared" si="33"/>
        <v>0</v>
      </c>
      <c r="P64" s="1000"/>
      <c r="Q64" s="88"/>
    </row>
    <row r="65" spans="2:17" ht="13.15" customHeight="1" x14ac:dyDescent="0.2">
      <c r="B65" s="86"/>
      <c r="C65" s="1000"/>
      <c r="D65" s="1085" t="s">
        <v>653</v>
      </c>
      <c r="E65" s="1076"/>
      <c r="F65" s="1076"/>
      <c r="G65" s="1000"/>
      <c r="H65" s="1094">
        <v>41.12</v>
      </c>
      <c r="I65" s="1117">
        <f>tab!$C$111</f>
        <v>41.48</v>
      </c>
      <c r="J65" s="1117">
        <f t="shared" si="31"/>
        <v>41.48</v>
      </c>
      <c r="K65" s="1117">
        <f t="shared" si="31"/>
        <v>41.48</v>
      </c>
      <c r="L65" s="1117">
        <f t="shared" si="32"/>
        <v>41.48</v>
      </c>
      <c r="M65" s="1117">
        <f t="shared" si="32"/>
        <v>41.48</v>
      </c>
      <c r="N65" s="1117">
        <f t="shared" si="33"/>
        <v>41.48</v>
      </c>
      <c r="O65" s="1117">
        <f t="shared" si="33"/>
        <v>41.48</v>
      </c>
      <c r="P65" s="1000"/>
      <c r="Q65" s="88"/>
    </row>
    <row r="66" spans="2:17" ht="13.15" customHeight="1" x14ac:dyDescent="0.2">
      <c r="B66" s="86"/>
      <c r="C66" s="1000"/>
      <c r="D66" s="1000"/>
      <c r="E66" s="1076"/>
      <c r="F66" s="1076"/>
      <c r="G66" s="1000"/>
      <c r="H66" s="1095"/>
      <c r="I66" s="1076"/>
      <c r="J66" s="1076"/>
      <c r="K66" s="1076"/>
      <c r="L66" s="1076"/>
      <c r="M66" s="1076"/>
      <c r="N66" s="1076"/>
      <c r="O66" s="1076"/>
      <c r="P66" s="1000"/>
      <c r="Q66" s="88"/>
    </row>
    <row r="67" spans="2:17" ht="13.15" customHeight="1" x14ac:dyDescent="0.2">
      <c r="B67" s="86"/>
      <c r="C67" s="1000"/>
      <c r="D67" s="1116" t="s">
        <v>719</v>
      </c>
      <c r="E67" s="1076">
        <v>1</v>
      </c>
      <c r="F67" s="1076" t="s">
        <v>145</v>
      </c>
      <c r="G67" s="1000"/>
      <c r="H67" s="1050">
        <v>0</v>
      </c>
      <c r="I67" s="1065">
        <f t="shared" ref="I67:K73" si="34">+H67</f>
        <v>0</v>
      </c>
      <c r="J67" s="1065">
        <f t="shared" si="34"/>
        <v>0</v>
      </c>
      <c r="K67" s="1065">
        <f t="shared" si="34"/>
        <v>0</v>
      </c>
      <c r="L67" s="1065">
        <f t="shared" ref="L67:M73" si="35">+K67</f>
        <v>0</v>
      </c>
      <c r="M67" s="1065">
        <f t="shared" si="35"/>
        <v>0</v>
      </c>
      <c r="N67" s="1065">
        <f t="shared" ref="N67:O73" si="36">+M67</f>
        <v>0</v>
      </c>
      <c r="O67" s="1065">
        <f t="shared" si="36"/>
        <v>0</v>
      </c>
      <c r="P67" s="1000"/>
      <c r="Q67" s="88"/>
    </row>
    <row r="68" spans="2:17" ht="13.15" customHeight="1" x14ac:dyDescent="0.2">
      <c r="B68" s="86"/>
      <c r="C68" s="1000"/>
      <c r="D68" s="1000"/>
      <c r="E68" s="1076">
        <v>2</v>
      </c>
      <c r="F68" s="1076" t="s">
        <v>145</v>
      </c>
      <c r="G68" s="1000"/>
      <c r="H68" s="1050">
        <v>0</v>
      </c>
      <c r="I68" s="1065">
        <f t="shared" si="34"/>
        <v>0</v>
      </c>
      <c r="J68" s="1065">
        <f t="shared" si="34"/>
        <v>0</v>
      </c>
      <c r="K68" s="1065">
        <f t="shared" si="34"/>
        <v>0</v>
      </c>
      <c r="L68" s="1065">
        <f t="shared" si="35"/>
        <v>0</v>
      </c>
      <c r="M68" s="1065">
        <f t="shared" si="35"/>
        <v>0</v>
      </c>
      <c r="N68" s="1065">
        <f t="shared" si="36"/>
        <v>0</v>
      </c>
      <c r="O68" s="1065">
        <f t="shared" si="36"/>
        <v>0</v>
      </c>
      <c r="P68" s="1000"/>
      <c r="Q68" s="88"/>
    </row>
    <row r="69" spans="2:17" ht="13.15" customHeight="1" x14ac:dyDescent="0.2">
      <c r="B69" s="86"/>
      <c r="C69" s="1000"/>
      <c r="D69" s="1000"/>
      <c r="E69" s="1076">
        <v>3</v>
      </c>
      <c r="F69" s="1076" t="s">
        <v>145</v>
      </c>
      <c r="G69" s="1000"/>
      <c r="H69" s="1050">
        <v>0</v>
      </c>
      <c r="I69" s="1065">
        <f t="shared" si="34"/>
        <v>0</v>
      </c>
      <c r="J69" s="1065">
        <f t="shared" si="34"/>
        <v>0</v>
      </c>
      <c r="K69" s="1065">
        <f t="shared" si="34"/>
        <v>0</v>
      </c>
      <c r="L69" s="1065">
        <f t="shared" si="35"/>
        <v>0</v>
      </c>
      <c r="M69" s="1065">
        <f t="shared" si="35"/>
        <v>0</v>
      </c>
      <c r="N69" s="1065">
        <f t="shared" si="36"/>
        <v>0</v>
      </c>
      <c r="O69" s="1065">
        <f t="shared" si="36"/>
        <v>0</v>
      </c>
      <c r="P69" s="1000"/>
      <c r="Q69" s="88"/>
    </row>
    <row r="70" spans="2:17" ht="13.15" customHeight="1" x14ac:dyDescent="0.2">
      <c r="B70" s="86"/>
      <c r="C70" s="1000"/>
      <c r="D70" s="1000"/>
      <c r="E70" s="1076">
        <v>1</v>
      </c>
      <c r="F70" s="1076" t="s">
        <v>125</v>
      </c>
      <c r="G70" s="1000"/>
      <c r="H70" s="1050">
        <v>0</v>
      </c>
      <c r="I70" s="1065">
        <f t="shared" si="34"/>
        <v>0</v>
      </c>
      <c r="J70" s="1065">
        <f t="shared" si="34"/>
        <v>0</v>
      </c>
      <c r="K70" s="1065">
        <f t="shared" si="34"/>
        <v>0</v>
      </c>
      <c r="L70" s="1065">
        <f t="shared" si="35"/>
        <v>0</v>
      </c>
      <c r="M70" s="1065">
        <f t="shared" si="35"/>
        <v>0</v>
      </c>
      <c r="N70" s="1065">
        <f t="shared" si="36"/>
        <v>0</v>
      </c>
      <c r="O70" s="1065">
        <f t="shared" si="36"/>
        <v>0</v>
      </c>
      <c r="P70" s="1000"/>
      <c r="Q70" s="88"/>
    </row>
    <row r="71" spans="2:17" ht="13.15" customHeight="1" x14ac:dyDescent="0.2">
      <c r="B71" s="86"/>
      <c r="C71" s="1000"/>
      <c r="D71" s="1000"/>
      <c r="E71" s="1076">
        <v>2</v>
      </c>
      <c r="F71" s="1076" t="s">
        <v>125</v>
      </c>
      <c r="G71" s="1000"/>
      <c r="H71" s="1050">
        <v>0</v>
      </c>
      <c r="I71" s="1065">
        <f t="shared" si="34"/>
        <v>0</v>
      </c>
      <c r="J71" s="1065">
        <f t="shared" si="34"/>
        <v>0</v>
      </c>
      <c r="K71" s="1065">
        <f t="shared" si="34"/>
        <v>0</v>
      </c>
      <c r="L71" s="1065">
        <f t="shared" si="35"/>
        <v>0</v>
      </c>
      <c r="M71" s="1065">
        <f t="shared" si="35"/>
        <v>0</v>
      </c>
      <c r="N71" s="1065">
        <f t="shared" si="36"/>
        <v>0</v>
      </c>
      <c r="O71" s="1065">
        <f t="shared" si="36"/>
        <v>0</v>
      </c>
      <c r="P71" s="1000"/>
      <c r="Q71" s="88"/>
    </row>
    <row r="72" spans="2:17" ht="13.15" customHeight="1" x14ac:dyDescent="0.2">
      <c r="B72" s="86"/>
      <c r="C72" s="1000"/>
      <c r="D72" s="1000"/>
      <c r="E72" s="1076">
        <v>3</v>
      </c>
      <c r="F72" s="1076" t="s">
        <v>125</v>
      </c>
      <c r="G72" s="1000"/>
      <c r="H72" s="1050">
        <v>0</v>
      </c>
      <c r="I72" s="1065">
        <f t="shared" si="34"/>
        <v>0</v>
      </c>
      <c r="J72" s="1065">
        <f t="shared" si="34"/>
        <v>0</v>
      </c>
      <c r="K72" s="1065">
        <f t="shared" si="34"/>
        <v>0</v>
      </c>
      <c r="L72" s="1065">
        <f t="shared" si="35"/>
        <v>0</v>
      </c>
      <c r="M72" s="1065">
        <f t="shared" si="35"/>
        <v>0</v>
      </c>
      <c r="N72" s="1065">
        <f t="shared" si="36"/>
        <v>0</v>
      </c>
      <c r="O72" s="1065">
        <f t="shared" si="36"/>
        <v>0</v>
      </c>
      <c r="P72" s="1000"/>
      <c r="Q72" s="88"/>
    </row>
    <row r="73" spans="2:17" ht="13.15" customHeight="1" x14ac:dyDescent="0.2">
      <c r="B73" s="86"/>
      <c r="C73" s="1000"/>
      <c r="D73" s="1085" t="s">
        <v>653</v>
      </c>
      <c r="E73" s="1076"/>
      <c r="F73" s="1076"/>
      <c r="G73" s="1000"/>
      <c r="H73" s="1094">
        <v>41.12</v>
      </c>
      <c r="I73" s="1117">
        <f>tab!$C$111</f>
        <v>41.48</v>
      </c>
      <c r="J73" s="1117">
        <f t="shared" si="34"/>
        <v>41.48</v>
      </c>
      <c r="K73" s="1117">
        <f t="shared" si="34"/>
        <v>41.48</v>
      </c>
      <c r="L73" s="1117">
        <f t="shared" si="35"/>
        <v>41.48</v>
      </c>
      <c r="M73" s="1117">
        <f t="shared" si="35"/>
        <v>41.48</v>
      </c>
      <c r="N73" s="1117">
        <f t="shared" si="36"/>
        <v>41.48</v>
      </c>
      <c r="O73" s="1117">
        <f t="shared" si="36"/>
        <v>41.48</v>
      </c>
      <c r="P73" s="1000"/>
      <c r="Q73" s="88"/>
    </row>
    <row r="74" spans="2:17" ht="13.15" customHeight="1" x14ac:dyDescent="0.2">
      <c r="B74" s="86"/>
      <c r="C74" s="1000"/>
      <c r="D74" s="1000"/>
      <c r="E74" s="1076"/>
      <c r="F74" s="1076"/>
      <c r="G74" s="1000"/>
      <c r="H74" s="1095"/>
      <c r="I74" s="1076"/>
      <c r="J74" s="1076"/>
      <c r="K74" s="1076"/>
      <c r="L74" s="1076"/>
      <c r="M74" s="1076"/>
      <c r="N74" s="1076"/>
      <c r="O74" s="1076"/>
      <c r="P74" s="1000"/>
      <c r="Q74" s="88"/>
    </row>
    <row r="75" spans="2:17" ht="13.15" customHeight="1" x14ac:dyDescent="0.2">
      <c r="B75" s="86"/>
      <c r="C75" s="1000"/>
      <c r="D75" s="1116" t="s">
        <v>720</v>
      </c>
      <c r="E75" s="1076">
        <v>1</v>
      </c>
      <c r="F75" s="1076" t="s">
        <v>145</v>
      </c>
      <c r="G75" s="1000"/>
      <c r="H75" s="1050">
        <v>0</v>
      </c>
      <c r="I75" s="1065">
        <f t="shared" ref="I75:K81" si="37">+H75</f>
        <v>0</v>
      </c>
      <c r="J75" s="1065">
        <f t="shared" si="37"/>
        <v>0</v>
      </c>
      <c r="K75" s="1065">
        <f t="shared" si="37"/>
        <v>0</v>
      </c>
      <c r="L75" s="1065">
        <f t="shared" ref="L75:M81" si="38">+K75</f>
        <v>0</v>
      </c>
      <c r="M75" s="1065">
        <f t="shared" si="38"/>
        <v>0</v>
      </c>
      <c r="N75" s="1065">
        <f t="shared" ref="N75:O81" si="39">+M75</f>
        <v>0</v>
      </c>
      <c r="O75" s="1065">
        <f t="shared" si="39"/>
        <v>0</v>
      </c>
      <c r="P75" s="1000"/>
      <c r="Q75" s="88"/>
    </row>
    <row r="76" spans="2:17" ht="13.15" customHeight="1" x14ac:dyDescent="0.2">
      <c r="B76" s="86"/>
      <c r="C76" s="1000"/>
      <c r="D76" s="1000"/>
      <c r="E76" s="1076">
        <v>2</v>
      </c>
      <c r="F76" s="1076" t="s">
        <v>145</v>
      </c>
      <c r="G76" s="1000"/>
      <c r="H76" s="1050">
        <v>0</v>
      </c>
      <c r="I76" s="1065">
        <f t="shared" si="37"/>
        <v>0</v>
      </c>
      <c r="J76" s="1065">
        <f t="shared" si="37"/>
        <v>0</v>
      </c>
      <c r="K76" s="1065">
        <f t="shared" si="37"/>
        <v>0</v>
      </c>
      <c r="L76" s="1065">
        <f t="shared" si="38"/>
        <v>0</v>
      </c>
      <c r="M76" s="1065">
        <f t="shared" si="38"/>
        <v>0</v>
      </c>
      <c r="N76" s="1065">
        <f t="shared" si="39"/>
        <v>0</v>
      </c>
      <c r="O76" s="1065">
        <f t="shared" si="39"/>
        <v>0</v>
      </c>
      <c r="P76" s="1000"/>
      <c r="Q76" s="88"/>
    </row>
    <row r="77" spans="2:17" ht="13.15" customHeight="1" x14ac:dyDescent="0.2">
      <c r="B77" s="86"/>
      <c r="C77" s="1000"/>
      <c r="D77" s="1000"/>
      <c r="E77" s="1076">
        <v>3</v>
      </c>
      <c r="F77" s="1076" t="s">
        <v>145</v>
      </c>
      <c r="G77" s="1000"/>
      <c r="H77" s="1050">
        <v>0</v>
      </c>
      <c r="I77" s="1065">
        <f t="shared" si="37"/>
        <v>0</v>
      </c>
      <c r="J77" s="1065">
        <f t="shared" si="37"/>
        <v>0</v>
      </c>
      <c r="K77" s="1065">
        <f t="shared" si="37"/>
        <v>0</v>
      </c>
      <c r="L77" s="1065">
        <f t="shared" si="38"/>
        <v>0</v>
      </c>
      <c r="M77" s="1065">
        <f t="shared" si="38"/>
        <v>0</v>
      </c>
      <c r="N77" s="1065">
        <f t="shared" si="39"/>
        <v>0</v>
      </c>
      <c r="O77" s="1065">
        <f t="shared" si="39"/>
        <v>0</v>
      </c>
      <c r="P77" s="1000"/>
      <c r="Q77" s="88"/>
    </row>
    <row r="78" spans="2:17" ht="13.15" customHeight="1" x14ac:dyDescent="0.2">
      <c r="B78" s="86"/>
      <c r="C78" s="1000"/>
      <c r="D78" s="1000"/>
      <c r="E78" s="1076">
        <v>1</v>
      </c>
      <c r="F78" s="1076" t="s">
        <v>125</v>
      </c>
      <c r="G78" s="1000"/>
      <c r="H78" s="1050">
        <v>0</v>
      </c>
      <c r="I78" s="1065">
        <f t="shared" si="37"/>
        <v>0</v>
      </c>
      <c r="J78" s="1065">
        <f t="shared" si="37"/>
        <v>0</v>
      </c>
      <c r="K78" s="1065">
        <f t="shared" si="37"/>
        <v>0</v>
      </c>
      <c r="L78" s="1065">
        <f t="shared" si="38"/>
        <v>0</v>
      </c>
      <c r="M78" s="1065">
        <f t="shared" si="38"/>
        <v>0</v>
      </c>
      <c r="N78" s="1065">
        <f t="shared" si="39"/>
        <v>0</v>
      </c>
      <c r="O78" s="1065">
        <f t="shared" si="39"/>
        <v>0</v>
      </c>
      <c r="P78" s="1000"/>
      <c r="Q78" s="88"/>
    </row>
    <row r="79" spans="2:17" ht="13.15" customHeight="1" x14ac:dyDescent="0.2">
      <c r="B79" s="86"/>
      <c r="C79" s="1000"/>
      <c r="D79" s="1000"/>
      <c r="E79" s="1076">
        <v>2</v>
      </c>
      <c r="F79" s="1076" t="s">
        <v>125</v>
      </c>
      <c r="G79" s="1000"/>
      <c r="H79" s="1050">
        <v>0</v>
      </c>
      <c r="I79" s="1065">
        <f t="shared" si="37"/>
        <v>0</v>
      </c>
      <c r="J79" s="1065">
        <f t="shared" si="37"/>
        <v>0</v>
      </c>
      <c r="K79" s="1065">
        <f t="shared" si="37"/>
        <v>0</v>
      </c>
      <c r="L79" s="1065">
        <f t="shared" si="38"/>
        <v>0</v>
      </c>
      <c r="M79" s="1065">
        <f t="shared" si="38"/>
        <v>0</v>
      </c>
      <c r="N79" s="1065">
        <f t="shared" si="39"/>
        <v>0</v>
      </c>
      <c r="O79" s="1065">
        <f t="shared" si="39"/>
        <v>0</v>
      </c>
      <c r="P79" s="1000"/>
      <c r="Q79" s="88"/>
    </row>
    <row r="80" spans="2:17" ht="13.15" customHeight="1" x14ac:dyDescent="0.2">
      <c r="B80" s="86"/>
      <c r="C80" s="1000"/>
      <c r="D80" s="1000"/>
      <c r="E80" s="1076">
        <v>3</v>
      </c>
      <c r="F80" s="1076" t="s">
        <v>125</v>
      </c>
      <c r="G80" s="1000"/>
      <c r="H80" s="1050">
        <v>0</v>
      </c>
      <c r="I80" s="1065">
        <f t="shared" si="37"/>
        <v>0</v>
      </c>
      <c r="J80" s="1065">
        <f t="shared" si="37"/>
        <v>0</v>
      </c>
      <c r="K80" s="1065">
        <f t="shared" si="37"/>
        <v>0</v>
      </c>
      <c r="L80" s="1065">
        <f t="shared" si="38"/>
        <v>0</v>
      </c>
      <c r="M80" s="1065">
        <f t="shared" si="38"/>
        <v>0</v>
      </c>
      <c r="N80" s="1065">
        <f t="shared" si="39"/>
        <v>0</v>
      </c>
      <c r="O80" s="1065">
        <f t="shared" si="39"/>
        <v>0</v>
      </c>
      <c r="P80" s="1000"/>
      <c r="Q80" s="88"/>
    </row>
    <row r="81" spans="2:17" ht="13.15" customHeight="1" x14ac:dyDescent="0.2">
      <c r="B81" s="86"/>
      <c r="C81" s="1000"/>
      <c r="D81" s="1085" t="s">
        <v>653</v>
      </c>
      <c r="E81" s="1076"/>
      <c r="F81" s="1076"/>
      <c r="G81" s="1000"/>
      <c r="H81" s="1094">
        <v>41.12</v>
      </c>
      <c r="I81" s="1117">
        <f>tab!$C$111</f>
        <v>41.48</v>
      </c>
      <c r="J81" s="1117">
        <f t="shared" si="37"/>
        <v>41.48</v>
      </c>
      <c r="K81" s="1117">
        <f t="shared" si="37"/>
        <v>41.48</v>
      </c>
      <c r="L81" s="1117">
        <f t="shared" si="38"/>
        <v>41.48</v>
      </c>
      <c r="M81" s="1117">
        <f t="shared" si="38"/>
        <v>41.48</v>
      </c>
      <c r="N81" s="1117">
        <f t="shared" si="39"/>
        <v>41.48</v>
      </c>
      <c r="O81" s="1117">
        <f t="shared" si="39"/>
        <v>41.48</v>
      </c>
      <c r="P81" s="1000"/>
      <c r="Q81" s="88"/>
    </row>
    <row r="82" spans="2:17" ht="13.15" customHeight="1" x14ac:dyDescent="0.2">
      <c r="B82" s="86"/>
      <c r="C82" s="1000"/>
      <c r="D82" s="1000"/>
      <c r="E82" s="1076"/>
      <c r="F82" s="1076"/>
      <c r="G82" s="1000"/>
      <c r="H82" s="1095"/>
      <c r="I82" s="1076"/>
      <c r="J82" s="1076"/>
      <c r="K82" s="1076"/>
      <c r="L82" s="1076"/>
      <c r="M82" s="1076"/>
      <c r="N82" s="1076"/>
      <c r="O82" s="1076"/>
      <c r="P82" s="1000"/>
      <c r="Q82" s="88"/>
    </row>
    <row r="83" spans="2:17" ht="13.15" customHeight="1" x14ac:dyDescent="0.2">
      <c r="B83" s="86"/>
      <c r="C83" s="1000"/>
      <c r="D83" s="1116" t="s">
        <v>721</v>
      </c>
      <c r="E83" s="1076">
        <v>1</v>
      </c>
      <c r="F83" s="1076" t="s">
        <v>145</v>
      </c>
      <c r="G83" s="1000"/>
      <c r="H83" s="1050">
        <v>0</v>
      </c>
      <c r="I83" s="1065">
        <f t="shared" ref="I83:K89" si="40">+H83</f>
        <v>0</v>
      </c>
      <c r="J83" s="1065">
        <f t="shared" si="40"/>
        <v>0</v>
      </c>
      <c r="K83" s="1065">
        <f t="shared" si="40"/>
        <v>0</v>
      </c>
      <c r="L83" s="1065">
        <f t="shared" ref="L83:M89" si="41">+K83</f>
        <v>0</v>
      </c>
      <c r="M83" s="1065">
        <f t="shared" si="41"/>
        <v>0</v>
      </c>
      <c r="N83" s="1065">
        <f t="shared" ref="N83:O89" si="42">+M83</f>
        <v>0</v>
      </c>
      <c r="O83" s="1065">
        <f t="shared" si="42"/>
        <v>0</v>
      </c>
      <c r="P83" s="1000"/>
      <c r="Q83" s="88"/>
    </row>
    <row r="84" spans="2:17" ht="13.15" customHeight="1" x14ac:dyDescent="0.2">
      <c r="B84" s="86"/>
      <c r="C84" s="1000"/>
      <c r="D84" s="1000"/>
      <c r="E84" s="1076">
        <v>2</v>
      </c>
      <c r="F84" s="1076" t="s">
        <v>145</v>
      </c>
      <c r="G84" s="1000"/>
      <c r="H84" s="1050">
        <v>0</v>
      </c>
      <c r="I84" s="1065">
        <f t="shared" si="40"/>
        <v>0</v>
      </c>
      <c r="J84" s="1065">
        <f t="shared" si="40"/>
        <v>0</v>
      </c>
      <c r="K84" s="1065">
        <f t="shared" si="40"/>
        <v>0</v>
      </c>
      <c r="L84" s="1065">
        <f t="shared" si="41"/>
        <v>0</v>
      </c>
      <c r="M84" s="1065">
        <f t="shared" si="41"/>
        <v>0</v>
      </c>
      <c r="N84" s="1065">
        <f t="shared" si="42"/>
        <v>0</v>
      </c>
      <c r="O84" s="1065">
        <f t="shared" si="42"/>
        <v>0</v>
      </c>
      <c r="P84" s="1000"/>
      <c r="Q84" s="88"/>
    </row>
    <row r="85" spans="2:17" ht="13.15" customHeight="1" x14ac:dyDescent="0.2">
      <c r="B85" s="86"/>
      <c r="C85" s="1000"/>
      <c r="D85" s="1000"/>
      <c r="E85" s="1076">
        <v>3</v>
      </c>
      <c r="F85" s="1076" t="s">
        <v>145</v>
      </c>
      <c r="G85" s="1000"/>
      <c r="H85" s="1050">
        <v>0</v>
      </c>
      <c r="I85" s="1065">
        <f t="shared" si="40"/>
        <v>0</v>
      </c>
      <c r="J85" s="1065">
        <f t="shared" si="40"/>
        <v>0</v>
      </c>
      <c r="K85" s="1065">
        <f t="shared" si="40"/>
        <v>0</v>
      </c>
      <c r="L85" s="1065">
        <f t="shared" si="41"/>
        <v>0</v>
      </c>
      <c r="M85" s="1065">
        <f t="shared" si="41"/>
        <v>0</v>
      </c>
      <c r="N85" s="1065">
        <f t="shared" si="42"/>
        <v>0</v>
      </c>
      <c r="O85" s="1065">
        <f t="shared" si="42"/>
        <v>0</v>
      </c>
      <c r="P85" s="1000"/>
      <c r="Q85" s="88"/>
    </row>
    <row r="86" spans="2:17" ht="13.15" customHeight="1" x14ac:dyDescent="0.2">
      <c r="B86" s="86"/>
      <c r="C86" s="1000"/>
      <c r="D86" s="1000"/>
      <c r="E86" s="1076">
        <v>1</v>
      </c>
      <c r="F86" s="1076" t="s">
        <v>125</v>
      </c>
      <c r="G86" s="1000"/>
      <c r="H86" s="1050">
        <v>0</v>
      </c>
      <c r="I86" s="1065">
        <f t="shared" si="40"/>
        <v>0</v>
      </c>
      <c r="J86" s="1065">
        <f t="shared" si="40"/>
        <v>0</v>
      </c>
      <c r="K86" s="1065">
        <f t="shared" si="40"/>
        <v>0</v>
      </c>
      <c r="L86" s="1065">
        <f t="shared" si="41"/>
        <v>0</v>
      </c>
      <c r="M86" s="1065">
        <f t="shared" si="41"/>
        <v>0</v>
      </c>
      <c r="N86" s="1065">
        <f t="shared" si="42"/>
        <v>0</v>
      </c>
      <c r="O86" s="1065">
        <f t="shared" si="42"/>
        <v>0</v>
      </c>
      <c r="P86" s="1000"/>
      <c r="Q86" s="88"/>
    </row>
    <row r="87" spans="2:17" ht="13.15" customHeight="1" x14ac:dyDescent="0.2">
      <c r="B87" s="86"/>
      <c r="C87" s="1000"/>
      <c r="D87" s="1000"/>
      <c r="E87" s="1076">
        <v>2</v>
      </c>
      <c r="F87" s="1076" t="s">
        <v>125</v>
      </c>
      <c r="G87" s="1000"/>
      <c r="H87" s="1050">
        <v>0</v>
      </c>
      <c r="I87" s="1065">
        <f t="shared" si="40"/>
        <v>0</v>
      </c>
      <c r="J87" s="1065">
        <f t="shared" si="40"/>
        <v>0</v>
      </c>
      <c r="K87" s="1065">
        <f t="shared" si="40"/>
        <v>0</v>
      </c>
      <c r="L87" s="1065">
        <f t="shared" si="41"/>
        <v>0</v>
      </c>
      <c r="M87" s="1065">
        <f t="shared" si="41"/>
        <v>0</v>
      </c>
      <c r="N87" s="1065">
        <f t="shared" si="42"/>
        <v>0</v>
      </c>
      <c r="O87" s="1065">
        <f t="shared" si="42"/>
        <v>0</v>
      </c>
      <c r="P87" s="1000"/>
      <c r="Q87" s="88"/>
    </row>
    <row r="88" spans="2:17" ht="13.15" customHeight="1" x14ac:dyDescent="0.2">
      <c r="B88" s="86"/>
      <c r="C88" s="1000"/>
      <c r="D88" s="1000"/>
      <c r="E88" s="1076">
        <v>3</v>
      </c>
      <c r="F88" s="1076" t="s">
        <v>125</v>
      </c>
      <c r="G88" s="1000"/>
      <c r="H88" s="1050">
        <v>0</v>
      </c>
      <c r="I88" s="1065">
        <f t="shared" si="40"/>
        <v>0</v>
      </c>
      <c r="J88" s="1065">
        <f t="shared" si="40"/>
        <v>0</v>
      </c>
      <c r="K88" s="1065">
        <f t="shared" si="40"/>
        <v>0</v>
      </c>
      <c r="L88" s="1065">
        <f t="shared" si="41"/>
        <v>0</v>
      </c>
      <c r="M88" s="1065">
        <f t="shared" si="41"/>
        <v>0</v>
      </c>
      <c r="N88" s="1065">
        <f t="shared" si="42"/>
        <v>0</v>
      </c>
      <c r="O88" s="1065">
        <f t="shared" si="42"/>
        <v>0</v>
      </c>
      <c r="P88" s="1000"/>
      <c r="Q88" s="88"/>
    </row>
    <row r="89" spans="2:17" ht="13.15" customHeight="1" x14ac:dyDescent="0.2">
      <c r="B89" s="86"/>
      <c r="C89" s="1000"/>
      <c r="D89" s="1085" t="s">
        <v>653</v>
      </c>
      <c r="E89" s="1076"/>
      <c r="F89" s="1076"/>
      <c r="G89" s="1000"/>
      <c r="H89" s="1094">
        <v>41.12</v>
      </c>
      <c r="I89" s="1117">
        <f>tab!$C$111</f>
        <v>41.48</v>
      </c>
      <c r="J89" s="1117">
        <f t="shared" si="40"/>
        <v>41.48</v>
      </c>
      <c r="K89" s="1117">
        <f t="shared" si="40"/>
        <v>41.48</v>
      </c>
      <c r="L89" s="1117">
        <f t="shared" si="41"/>
        <v>41.48</v>
      </c>
      <c r="M89" s="1117">
        <f t="shared" si="41"/>
        <v>41.48</v>
      </c>
      <c r="N89" s="1117">
        <f t="shared" si="42"/>
        <v>41.48</v>
      </c>
      <c r="O89" s="1117">
        <f t="shared" si="42"/>
        <v>41.48</v>
      </c>
      <c r="P89" s="1000"/>
      <c r="Q89" s="88"/>
    </row>
    <row r="90" spans="2:17" ht="13.15" customHeight="1" x14ac:dyDescent="0.2">
      <c r="B90" s="86"/>
      <c r="C90" s="1000"/>
      <c r="D90" s="1000"/>
      <c r="E90" s="1076"/>
      <c r="F90" s="1076"/>
      <c r="G90" s="1000"/>
      <c r="H90" s="1095"/>
      <c r="I90" s="1076"/>
      <c r="J90" s="1076"/>
      <c r="K90" s="1076"/>
      <c r="L90" s="1076"/>
      <c r="M90" s="1076"/>
      <c r="N90" s="1076"/>
      <c r="O90" s="1076"/>
      <c r="P90" s="1000"/>
      <c r="Q90" s="88"/>
    </row>
    <row r="91" spans="2:17" ht="13.15" customHeight="1" x14ac:dyDescent="0.2">
      <c r="B91" s="86"/>
      <c r="C91" s="1000"/>
      <c r="D91" s="1116" t="s">
        <v>660</v>
      </c>
      <c r="E91" s="1076">
        <v>1</v>
      </c>
      <c r="F91" s="1076" t="s">
        <v>145</v>
      </c>
      <c r="G91" s="1000"/>
      <c r="H91" s="1050">
        <v>0</v>
      </c>
      <c r="I91" s="1065">
        <f t="shared" ref="I91:K97" si="43">+H91</f>
        <v>0</v>
      </c>
      <c r="J91" s="1065">
        <f t="shared" si="43"/>
        <v>0</v>
      </c>
      <c r="K91" s="1065">
        <f t="shared" si="43"/>
        <v>0</v>
      </c>
      <c r="L91" s="1065">
        <f t="shared" ref="L91:M97" si="44">+K91</f>
        <v>0</v>
      </c>
      <c r="M91" s="1065">
        <f t="shared" si="44"/>
        <v>0</v>
      </c>
      <c r="N91" s="1065">
        <f t="shared" ref="N91:O97" si="45">+M91</f>
        <v>0</v>
      </c>
      <c r="O91" s="1065">
        <f t="shared" si="45"/>
        <v>0</v>
      </c>
      <c r="P91" s="1000"/>
      <c r="Q91" s="88"/>
    </row>
    <row r="92" spans="2:17" ht="13.15" customHeight="1" x14ac:dyDescent="0.2">
      <c r="B92" s="86"/>
      <c r="C92" s="1000"/>
      <c r="D92" s="1000"/>
      <c r="E92" s="1076">
        <v>2</v>
      </c>
      <c r="F92" s="1076" t="s">
        <v>145</v>
      </c>
      <c r="G92" s="1000"/>
      <c r="H92" s="1050">
        <v>0</v>
      </c>
      <c r="I92" s="1065">
        <f t="shared" si="43"/>
        <v>0</v>
      </c>
      <c r="J92" s="1065">
        <f t="shared" si="43"/>
        <v>0</v>
      </c>
      <c r="K92" s="1065">
        <f t="shared" si="43"/>
        <v>0</v>
      </c>
      <c r="L92" s="1065">
        <f t="shared" si="44"/>
        <v>0</v>
      </c>
      <c r="M92" s="1065">
        <f t="shared" si="44"/>
        <v>0</v>
      </c>
      <c r="N92" s="1065">
        <f t="shared" si="45"/>
        <v>0</v>
      </c>
      <c r="O92" s="1065">
        <f t="shared" si="45"/>
        <v>0</v>
      </c>
      <c r="P92" s="1000"/>
      <c r="Q92" s="88"/>
    </row>
    <row r="93" spans="2:17" ht="13.15" customHeight="1" x14ac:dyDescent="0.2">
      <c r="B93" s="86"/>
      <c r="C93" s="1000"/>
      <c r="D93" s="1000"/>
      <c r="E93" s="1076">
        <v>3</v>
      </c>
      <c r="F93" s="1076" t="s">
        <v>145</v>
      </c>
      <c r="G93" s="1000"/>
      <c r="H93" s="1050">
        <v>0</v>
      </c>
      <c r="I93" s="1065">
        <f t="shared" si="43"/>
        <v>0</v>
      </c>
      <c r="J93" s="1065">
        <f t="shared" si="43"/>
        <v>0</v>
      </c>
      <c r="K93" s="1065">
        <f t="shared" si="43"/>
        <v>0</v>
      </c>
      <c r="L93" s="1065">
        <f t="shared" si="44"/>
        <v>0</v>
      </c>
      <c r="M93" s="1065">
        <f t="shared" si="44"/>
        <v>0</v>
      </c>
      <c r="N93" s="1065">
        <f t="shared" si="45"/>
        <v>0</v>
      </c>
      <c r="O93" s="1065">
        <f t="shared" si="45"/>
        <v>0</v>
      </c>
      <c r="P93" s="1000"/>
      <c r="Q93" s="88"/>
    </row>
    <row r="94" spans="2:17" ht="13.15" customHeight="1" x14ac:dyDescent="0.2">
      <c r="B94" s="86"/>
      <c r="C94" s="1000"/>
      <c r="D94" s="1000"/>
      <c r="E94" s="1076">
        <v>1</v>
      </c>
      <c r="F94" s="1076" t="s">
        <v>125</v>
      </c>
      <c r="G94" s="1000"/>
      <c r="H94" s="1050">
        <v>0</v>
      </c>
      <c r="I94" s="1065">
        <f t="shared" si="43"/>
        <v>0</v>
      </c>
      <c r="J94" s="1065">
        <f t="shared" si="43"/>
        <v>0</v>
      </c>
      <c r="K94" s="1065">
        <f t="shared" si="43"/>
        <v>0</v>
      </c>
      <c r="L94" s="1065">
        <f t="shared" si="44"/>
        <v>0</v>
      </c>
      <c r="M94" s="1065">
        <f t="shared" si="44"/>
        <v>0</v>
      </c>
      <c r="N94" s="1065">
        <f t="shared" si="45"/>
        <v>0</v>
      </c>
      <c r="O94" s="1065">
        <f t="shared" si="45"/>
        <v>0</v>
      </c>
      <c r="P94" s="1000"/>
      <c r="Q94" s="88"/>
    </row>
    <row r="95" spans="2:17" ht="13.15" customHeight="1" x14ac:dyDescent="0.2">
      <c r="B95" s="86"/>
      <c r="C95" s="1000"/>
      <c r="D95" s="1000"/>
      <c r="E95" s="1076">
        <v>2</v>
      </c>
      <c r="F95" s="1076" t="s">
        <v>125</v>
      </c>
      <c r="G95" s="1000"/>
      <c r="H95" s="1050">
        <v>0</v>
      </c>
      <c r="I95" s="1065">
        <f t="shared" si="43"/>
        <v>0</v>
      </c>
      <c r="J95" s="1065">
        <f t="shared" si="43"/>
        <v>0</v>
      </c>
      <c r="K95" s="1065">
        <f t="shared" si="43"/>
        <v>0</v>
      </c>
      <c r="L95" s="1065">
        <f t="shared" si="44"/>
        <v>0</v>
      </c>
      <c r="M95" s="1065">
        <f t="shared" si="44"/>
        <v>0</v>
      </c>
      <c r="N95" s="1065">
        <f t="shared" si="45"/>
        <v>0</v>
      </c>
      <c r="O95" s="1065">
        <f t="shared" si="45"/>
        <v>0</v>
      </c>
      <c r="P95" s="1000"/>
      <c r="Q95" s="88"/>
    </row>
    <row r="96" spans="2:17" ht="13.15" customHeight="1" x14ac:dyDescent="0.2">
      <c r="B96" s="86"/>
      <c r="C96" s="1000"/>
      <c r="D96" s="1000"/>
      <c r="E96" s="1076">
        <v>3</v>
      </c>
      <c r="F96" s="1076" t="s">
        <v>125</v>
      </c>
      <c r="G96" s="1000"/>
      <c r="H96" s="1050">
        <v>0</v>
      </c>
      <c r="I96" s="1065">
        <f t="shared" si="43"/>
        <v>0</v>
      </c>
      <c r="J96" s="1065">
        <f t="shared" si="43"/>
        <v>0</v>
      </c>
      <c r="K96" s="1065">
        <f t="shared" si="43"/>
        <v>0</v>
      </c>
      <c r="L96" s="1065">
        <f t="shared" si="44"/>
        <v>0</v>
      </c>
      <c r="M96" s="1065">
        <f t="shared" si="44"/>
        <v>0</v>
      </c>
      <c r="N96" s="1065">
        <f t="shared" si="45"/>
        <v>0</v>
      </c>
      <c r="O96" s="1065">
        <f t="shared" si="45"/>
        <v>0</v>
      </c>
      <c r="P96" s="1000"/>
      <c r="Q96" s="88"/>
    </row>
    <row r="97" spans="2:17" ht="13.15" customHeight="1" x14ac:dyDescent="0.2">
      <c r="B97" s="86"/>
      <c r="C97" s="1000"/>
      <c r="D97" s="1085" t="s">
        <v>653</v>
      </c>
      <c r="E97" s="1076"/>
      <c r="F97" s="1076"/>
      <c r="G97" s="1000"/>
      <c r="H97" s="1094">
        <v>41.12</v>
      </c>
      <c r="I97" s="1117">
        <f>tab!$C$111</f>
        <v>41.48</v>
      </c>
      <c r="J97" s="1117">
        <f t="shared" si="43"/>
        <v>41.48</v>
      </c>
      <c r="K97" s="1117">
        <f t="shared" si="43"/>
        <v>41.48</v>
      </c>
      <c r="L97" s="1117">
        <f t="shared" si="44"/>
        <v>41.48</v>
      </c>
      <c r="M97" s="1117">
        <f t="shared" si="44"/>
        <v>41.48</v>
      </c>
      <c r="N97" s="1117">
        <f t="shared" si="45"/>
        <v>41.48</v>
      </c>
      <c r="O97" s="1117">
        <f t="shared" si="45"/>
        <v>41.48</v>
      </c>
      <c r="P97" s="1000"/>
      <c r="Q97" s="88"/>
    </row>
    <row r="98" spans="2:17" ht="13.15" customHeight="1" x14ac:dyDescent="0.2">
      <c r="B98" s="86"/>
      <c r="C98" s="1000"/>
      <c r="D98" s="1000"/>
      <c r="E98" s="1076"/>
      <c r="F98" s="1076"/>
      <c r="G98" s="1000"/>
      <c r="H98" s="1095"/>
      <c r="I98" s="1076"/>
      <c r="J98" s="1076"/>
      <c r="K98" s="1076"/>
      <c r="L98" s="1076"/>
      <c r="M98" s="1076"/>
      <c r="N98" s="1076"/>
      <c r="O98" s="1076"/>
      <c r="P98" s="1000"/>
      <c r="Q98" s="88"/>
    </row>
    <row r="99" spans="2:17" ht="13.15" customHeight="1" x14ac:dyDescent="0.2">
      <c r="B99" s="86"/>
      <c r="C99" s="1000"/>
      <c r="D99" s="1000"/>
      <c r="E99" s="1076"/>
      <c r="F99" s="1076"/>
      <c r="G99" s="1000"/>
      <c r="H99" s="1095"/>
      <c r="I99" s="1076"/>
      <c r="J99" s="1076"/>
      <c r="K99" s="1076"/>
      <c r="L99" s="1076"/>
      <c r="M99" s="1076"/>
      <c r="N99" s="1076"/>
      <c r="O99" s="1076"/>
      <c r="P99" s="1000"/>
      <c r="Q99" s="88"/>
    </row>
    <row r="100" spans="2:17" ht="13.15" customHeight="1" x14ac:dyDescent="0.2">
      <c r="B100" s="86"/>
      <c r="C100" s="1000"/>
      <c r="D100" s="1116" t="s">
        <v>661</v>
      </c>
      <c r="E100" s="1076">
        <v>1</v>
      </c>
      <c r="F100" s="1076" t="s">
        <v>145</v>
      </c>
      <c r="G100" s="1000"/>
      <c r="H100" s="1050">
        <v>0</v>
      </c>
      <c r="I100" s="1065">
        <f t="shared" ref="I100:K106" si="46">+H100</f>
        <v>0</v>
      </c>
      <c r="J100" s="1065">
        <f t="shared" si="46"/>
        <v>0</v>
      </c>
      <c r="K100" s="1065">
        <f t="shared" si="46"/>
        <v>0</v>
      </c>
      <c r="L100" s="1065">
        <f t="shared" ref="L100:M106" si="47">+K100</f>
        <v>0</v>
      </c>
      <c r="M100" s="1065">
        <f t="shared" si="47"/>
        <v>0</v>
      </c>
      <c r="N100" s="1065">
        <f t="shared" ref="N100:O106" si="48">+M100</f>
        <v>0</v>
      </c>
      <c r="O100" s="1065">
        <f t="shared" si="48"/>
        <v>0</v>
      </c>
      <c r="P100" s="1000"/>
      <c r="Q100" s="88"/>
    </row>
    <row r="101" spans="2:17" ht="13.15" customHeight="1" x14ac:dyDescent="0.2">
      <c r="B101" s="86"/>
      <c r="C101" s="1000"/>
      <c r="D101" s="1000"/>
      <c r="E101" s="1076">
        <v>2</v>
      </c>
      <c r="F101" s="1076" t="s">
        <v>145</v>
      </c>
      <c r="G101" s="1000"/>
      <c r="H101" s="1050">
        <v>0</v>
      </c>
      <c r="I101" s="1065">
        <f t="shared" si="46"/>
        <v>0</v>
      </c>
      <c r="J101" s="1065">
        <f t="shared" si="46"/>
        <v>0</v>
      </c>
      <c r="K101" s="1065">
        <f t="shared" si="46"/>
        <v>0</v>
      </c>
      <c r="L101" s="1065">
        <f t="shared" si="47"/>
        <v>0</v>
      </c>
      <c r="M101" s="1065">
        <f t="shared" si="47"/>
        <v>0</v>
      </c>
      <c r="N101" s="1065">
        <f t="shared" si="48"/>
        <v>0</v>
      </c>
      <c r="O101" s="1065">
        <f t="shared" si="48"/>
        <v>0</v>
      </c>
      <c r="P101" s="1000"/>
      <c r="Q101" s="88"/>
    </row>
    <row r="102" spans="2:17" ht="13.15" customHeight="1" x14ac:dyDescent="0.2">
      <c r="B102" s="86"/>
      <c r="C102" s="1000"/>
      <c r="D102" s="1000"/>
      <c r="E102" s="1076">
        <v>3</v>
      </c>
      <c r="F102" s="1076" t="s">
        <v>145</v>
      </c>
      <c r="G102" s="1000"/>
      <c r="H102" s="1050">
        <v>0</v>
      </c>
      <c r="I102" s="1065">
        <f t="shared" si="46"/>
        <v>0</v>
      </c>
      <c r="J102" s="1065">
        <f t="shared" si="46"/>
        <v>0</v>
      </c>
      <c r="K102" s="1065">
        <f t="shared" si="46"/>
        <v>0</v>
      </c>
      <c r="L102" s="1065">
        <f t="shared" si="47"/>
        <v>0</v>
      </c>
      <c r="M102" s="1065">
        <f t="shared" si="47"/>
        <v>0</v>
      </c>
      <c r="N102" s="1065">
        <f t="shared" si="48"/>
        <v>0</v>
      </c>
      <c r="O102" s="1065">
        <f t="shared" si="48"/>
        <v>0</v>
      </c>
      <c r="P102" s="1000"/>
      <c r="Q102" s="88"/>
    </row>
    <row r="103" spans="2:17" ht="13.15" customHeight="1" x14ac:dyDescent="0.2">
      <c r="B103" s="86"/>
      <c r="C103" s="1000"/>
      <c r="D103" s="1000"/>
      <c r="E103" s="1076">
        <v>1</v>
      </c>
      <c r="F103" s="1076" t="s">
        <v>125</v>
      </c>
      <c r="G103" s="1000"/>
      <c r="H103" s="1050">
        <v>0</v>
      </c>
      <c r="I103" s="1065">
        <f t="shared" si="46"/>
        <v>0</v>
      </c>
      <c r="J103" s="1065">
        <f t="shared" si="46"/>
        <v>0</v>
      </c>
      <c r="K103" s="1065">
        <f t="shared" si="46"/>
        <v>0</v>
      </c>
      <c r="L103" s="1065">
        <f t="shared" si="47"/>
        <v>0</v>
      </c>
      <c r="M103" s="1065">
        <f t="shared" si="47"/>
        <v>0</v>
      </c>
      <c r="N103" s="1065">
        <f t="shared" si="48"/>
        <v>0</v>
      </c>
      <c r="O103" s="1065">
        <f t="shared" si="48"/>
        <v>0</v>
      </c>
      <c r="P103" s="1000"/>
      <c r="Q103" s="88"/>
    </row>
    <row r="104" spans="2:17" ht="13.15" customHeight="1" x14ac:dyDescent="0.2">
      <c r="B104" s="86"/>
      <c r="C104" s="1000"/>
      <c r="D104" s="1000"/>
      <c r="E104" s="1076">
        <v>2</v>
      </c>
      <c r="F104" s="1076" t="s">
        <v>125</v>
      </c>
      <c r="G104" s="1000"/>
      <c r="H104" s="1050">
        <v>0</v>
      </c>
      <c r="I104" s="1065">
        <f t="shared" si="46"/>
        <v>0</v>
      </c>
      <c r="J104" s="1065">
        <f t="shared" si="46"/>
        <v>0</v>
      </c>
      <c r="K104" s="1065">
        <f t="shared" si="46"/>
        <v>0</v>
      </c>
      <c r="L104" s="1065">
        <f t="shared" si="47"/>
        <v>0</v>
      </c>
      <c r="M104" s="1065">
        <f t="shared" si="47"/>
        <v>0</v>
      </c>
      <c r="N104" s="1065">
        <f t="shared" si="48"/>
        <v>0</v>
      </c>
      <c r="O104" s="1065">
        <f t="shared" si="48"/>
        <v>0</v>
      </c>
      <c r="P104" s="1000"/>
      <c r="Q104" s="88"/>
    </row>
    <row r="105" spans="2:17" ht="13.15" customHeight="1" x14ac:dyDescent="0.2">
      <c r="B105" s="86"/>
      <c r="C105" s="1000"/>
      <c r="D105" s="1000"/>
      <c r="E105" s="1076">
        <v>3</v>
      </c>
      <c r="F105" s="1076" t="s">
        <v>125</v>
      </c>
      <c r="G105" s="1000"/>
      <c r="H105" s="1050">
        <v>0</v>
      </c>
      <c r="I105" s="1065">
        <f t="shared" si="46"/>
        <v>0</v>
      </c>
      <c r="J105" s="1065">
        <f t="shared" si="46"/>
        <v>0</v>
      </c>
      <c r="K105" s="1065">
        <f t="shared" si="46"/>
        <v>0</v>
      </c>
      <c r="L105" s="1065">
        <f t="shared" si="47"/>
        <v>0</v>
      </c>
      <c r="M105" s="1065">
        <f t="shared" si="47"/>
        <v>0</v>
      </c>
      <c r="N105" s="1065">
        <f t="shared" si="48"/>
        <v>0</v>
      </c>
      <c r="O105" s="1065">
        <f t="shared" si="48"/>
        <v>0</v>
      </c>
      <c r="P105" s="1000"/>
      <c r="Q105" s="88"/>
    </row>
    <row r="106" spans="2:17" ht="13.15" customHeight="1" x14ac:dyDescent="0.2">
      <c r="B106" s="86"/>
      <c r="C106" s="1000"/>
      <c r="D106" s="1085" t="s">
        <v>653</v>
      </c>
      <c r="E106" s="1076"/>
      <c r="F106" s="1076"/>
      <c r="G106" s="1000"/>
      <c r="H106" s="1094">
        <v>41.12</v>
      </c>
      <c r="I106" s="1117">
        <f>tab!$C$111</f>
        <v>41.48</v>
      </c>
      <c r="J106" s="1117">
        <f t="shared" si="46"/>
        <v>41.48</v>
      </c>
      <c r="K106" s="1117">
        <f t="shared" si="46"/>
        <v>41.48</v>
      </c>
      <c r="L106" s="1117">
        <f t="shared" si="47"/>
        <v>41.48</v>
      </c>
      <c r="M106" s="1117">
        <f t="shared" si="47"/>
        <v>41.48</v>
      </c>
      <c r="N106" s="1117">
        <f t="shared" si="48"/>
        <v>41.48</v>
      </c>
      <c r="O106" s="1117">
        <f t="shared" si="48"/>
        <v>41.48</v>
      </c>
      <c r="P106" s="1000"/>
      <c r="Q106" s="88"/>
    </row>
    <row r="107" spans="2:17" ht="13.15" customHeight="1" x14ac:dyDescent="0.2">
      <c r="B107" s="86"/>
      <c r="C107" s="1000"/>
      <c r="D107" s="1000"/>
      <c r="E107" s="1076"/>
      <c r="F107" s="1076"/>
      <c r="G107" s="1000"/>
      <c r="H107" s="1095"/>
      <c r="I107" s="1076"/>
      <c r="J107" s="1076"/>
      <c r="K107" s="1076"/>
      <c r="L107" s="1076"/>
      <c r="M107" s="1076"/>
      <c r="N107" s="1076"/>
      <c r="O107" s="1076"/>
      <c r="P107" s="1000"/>
      <c r="Q107" s="88"/>
    </row>
    <row r="108" spans="2:17" ht="13.15" customHeight="1" x14ac:dyDescent="0.2">
      <c r="B108" s="86"/>
      <c r="C108" s="1000"/>
      <c r="D108" s="1116" t="s">
        <v>662</v>
      </c>
      <c r="E108" s="1076">
        <v>1</v>
      </c>
      <c r="F108" s="1076" t="s">
        <v>145</v>
      </c>
      <c r="G108" s="1000"/>
      <c r="H108" s="1050">
        <v>0</v>
      </c>
      <c r="I108" s="1065">
        <f t="shared" ref="I108:K114" si="49">+H108</f>
        <v>0</v>
      </c>
      <c r="J108" s="1065">
        <f t="shared" si="49"/>
        <v>0</v>
      </c>
      <c r="K108" s="1065">
        <f t="shared" si="49"/>
        <v>0</v>
      </c>
      <c r="L108" s="1065">
        <f t="shared" ref="L108:M114" si="50">+K108</f>
        <v>0</v>
      </c>
      <c r="M108" s="1065">
        <f t="shared" si="50"/>
        <v>0</v>
      </c>
      <c r="N108" s="1065">
        <f t="shared" ref="N108:O114" si="51">+M108</f>
        <v>0</v>
      </c>
      <c r="O108" s="1065">
        <f t="shared" si="51"/>
        <v>0</v>
      </c>
      <c r="P108" s="1000"/>
      <c r="Q108" s="88"/>
    </row>
    <row r="109" spans="2:17" ht="13.15" customHeight="1" x14ac:dyDescent="0.2">
      <c r="B109" s="86"/>
      <c r="C109" s="1000"/>
      <c r="D109" s="1000"/>
      <c r="E109" s="1076">
        <v>2</v>
      </c>
      <c r="F109" s="1076" t="s">
        <v>145</v>
      </c>
      <c r="G109" s="1000"/>
      <c r="H109" s="1050">
        <v>0</v>
      </c>
      <c r="I109" s="1065">
        <f t="shared" si="49"/>
        <v>0</v>
      </c>
      <c r="J109" s="1065">
        <f t="shared" si="49"/>
        <v>0</v>
      </c>
      <c r="K109" s="1065">
        <f t="shared" si="49"/>
        <v>0</v>
      </c>
      <c r="L109" s="1065">
        <f t="shared" si="50"/>
        <v>0</v>
      </c>
      <c r="M109" s="1065">
        <f t="shared" si="50"/>
        <v>0</v>
      </c>
      <c r="N109" s="1065">
        <f t="shared" si="51"/>
        <v>0</v>
      </c>
      <c r="O109" s="1065">
        <f t="shared" si="51"/>
        <v>0</v>
      </c>
      <c r="P109" s="1000"/>
      <c r="Q109" s="88"/>
    </row>
    <row r="110" spans="2:17" ht="13.15" customHeight="1" x14ac:dyDescent="0.2">
      <c r="B110" s="86"/>
      <c r="C110" s="1000"/>
      <c r="D110" s="1000"/>
      <c r="E110" s="1076">
        <v>3</v>
      </c>
      <c r="F110" s="1076" t="s">
        <v>145</v>
      </c>
      <c r="G110" s="1000"/>
      <c r="H110" s="1050">
        <v>0</v>
      </c>
      <c r="I110" s="1065">
        <f t="shared" si="49"/>
        <v>0</v>
      </c>
      <c r="J110" s="1065">
        <f t="shared" si="49"/>
        <v>0</v>
      </c>
      <c r="K110" s="1065">
        <f t="shared" si="49"/>
        <v>0</v>
      </c>
      <c r="L110" s="1065">
        <f t="shared" si="50"/>
        <v>0</v>
      </c>
      <c r="M110" s="1065">
        <f t="shared" si="50"/>
        <v>0</v>
      </c>
      <c r="N110" s="1065">
        <f t="shared" si="51"/>
        <v>0</v>
      </c>
      <c r="O110" s="1065">
        <f t="shared" si="51"/>
        <v>0</v>
      </c>
      <c r="P110" s="1000"/>
      <c r="Q110" s="88"/>
    </row>
    <row r="111" spans="2:17" ht="13.15" customHeight="1" x14ac:dyDescent="0.2">
      <c r="B111" s="86"/>
      <c r="C111" s="1000"/>
      <c r="D111" s="1000"/>
      <c r="E111" s="1076">
        <v>1</v>
      </c>
      <c r="F111" s="1076" t="s">
        <v>125</v>
      </c>
      <c r="G111" s="1000"/>
      <c r="H111" s="1050">
        <v>0</v>
      </c>
      <c r="I111" s="1065">
        <f t="shared" si="49"/>
        <v>0</v>
      </c>
      <c r="J111" s="1065">
        <f t="shared" si="49"/>
        <v>0</v>
      </c>
      <c r="K111" s="1065">
        <f t="shared" si="49"/>
        <v>0</v>
      </c>
      <c r="L111" s="1065">
        <f t="shared" si="50"/>
        <v>0</v>
      </c>
      <c r="M111" s="1065">
        <f t="shared" si="50"/>
        <v>0</v>
      </c>
      <c r="N111" s="1065">
        <f t="shared" si="51"/>
        <v>0</v>
      </c>
      <c r="O111" s="1065">
        <f t="shared" si="51"/>
        <v>0</v>
      </c>
      <c r="P111" s="1000"/>
      <c r="Q111" s="88"/>
    </row>
    <row r="112" spans="2:17" ht="13.15" customHeight="1" x14ac:dyDescent="0.2">
      <c r="B112" s="86"/>
      <c r="C112" s="1000"/>
      <c r="D112" s="1000"/>
      <c r="E112" s="1076">
        <v>2</v>
      </c>
      <c r="F112" s="1076" t="s">
        <v>125</v>
      </c>
      <c r="G112" s="1000"/>
      <c r="H112" s="1050">
        <v>0</v>
      </c>
      <c r="I112" s="1065">
        <f t="shared" si="49"/>
        <v>0</v>
      </c>
      <c r="J112" s="1065">
        <f t="shared" si="49"/>
        <v>0</v>
      </c>
      <c r="K112" s="1065">
        <f t="shared" si="49"/>
        <v>0</v>
      </c>
      <c r="L112" s="1065">
        <f t="shared" si="50"/>
        <v>0</v>
      </c>
      <c r="M112" s="1065">
        <f t="shared" si="50"/>
        <v>0</v>
      </c>
      <c r="N112" s="1065">
        <f t="shared" si="51"/>
        <v>0</v>
      </c>
      <c r="O112" s="1065">
        <f t="shared" si="51"/>
        <v>0</v>
      </c>
      <c r="P112" s="1000"/>
      <c r="Q112" s="88"/>
    </row>
    <row r="113" spans="2:17" ht="13.15" customHeight="1" x14ac:dyDescent="0.2">
      <c r="B113" s="86"/>
      <c r="C113" s="1000"/>
      <c r="D113" s="1000"/>
      <c r="E113" s="1076">
        <v>3</v>
      </c>
      <c r="F113" s="1076" t="s">
        <v>125</v>
      </c>
      <c r="G113" s="1000"/>
      <c r="H113" s="1050">
        <v>0</v>
      </c>
      <c r="I113" s="1065">
        <f t="shared" si="49"/>
        <v>0</v>
      </c>
      <c r="J113" s="1065">
        <f t="shared" si="49"/>
        <v>0</v>
      </c>
      <c r="K113" s="1065">
        <f t="shared" si="49"/>
        <v>0</v>
      </c>
      <c r="L113" s="1065">
        <f t="shared" si="50"/>
        <v>0</v>
      </c>
      <c r="M113" s="1065">
        <f t="shared" si="50"/>
        <v>0</v>
      </c>
      <c r="N113" s="1065">
        <f t="shared" si="51"/>
        <v>0</v>
      </c>
      <c r="O113" s="1065">
        <f t="shared" si="51"/>
        <v>0</v>
      </c>
      <c r="P113" s="1000"/>
      <c r="Q113" s="88"/>
    </row>
    <row r="114" spans="2:17" ht="13.15" customHeight="1" x14ac:dyDescent="0.2">
      <c r="B114" s="86"/>
      <c r="C114" s="1000"/>
      <c r="D114" s="1085" t="s">
        <v>653</v>
      </c>
      <c r="E114" s="1076"/>
      <c r="F114" s="1076"/>
      <c r="G114" s="1000"/>
      <c r="H114" s="1094">
        <v>41.12</v>
      </c>
      <c r="I114" s="1117">
        <f>tab!$C$111</f>
        <v>41.48</v>
      </c>
      <c r="J114" s="1117">
        <f t="shared" si="49"/>
        <v>41.48</v>
      </c>
      <c r="K114" s="1117">
        <f t="shared" si="49"/>
        <v>41.48</v>
      </c>
      <c r="L114" s="1117">
        <f t="shared" si="50"/>
        <v>41.48</v>
      </c>
      <c r="M114" s="1117">
        <f t="shared" si="50"/>
        <v>41.48</v>
      </c>
      <c r="N114" s="1117">
        <f t="shared" si="51"/>
        <v>41.48</v>
      </c>
      <c r="O114" s="1117">
        <f t="shared" si="51"/>
        <v>41.48</v>
      </c>
      <c r="P114" s="1000"/>
      <c r="Q114" s="88"/>
    </row>
    <row r="115" spans="2:17" ht="13.15" customHeight="1" x14ac:dyDescent="0.2">
      <c r="B115" s="86"/>
      <c r="C115" s="1000"/>
      <c r="D115" s="1000"/>
      <c r="E115" s="1076"/>
      <c r="F115" s="1076"/>
      <c r="G115" s="1000"/>
      <c r="H115" s="1095"/>
      <c r="I115" s="1076"/>
      <c r="J115" s="1076"/>
      <c r="K115" s="1076"/>
      <c r="L115" s="1076"/>
      <c r="M115" s="1076"/>
      <c r="N115" s="1076"/>
      <c r="O115" s="1076"/>
      <c r="P115" s="1000"/>
      <c r="Q115" s="88"/>
    </row>
    <row r="116" spans="2:17" ht="13.15" customHeight="1" x14ac:dyDescent="0.2">
      <c r="B116" s="86"/>
      <c r="C116" s="1000"/>
      <c r="D116" s="1116" t="s">
        <v>627</v>
      </c>
      <c r="E116" s="1076">
        <v>1</v>
      </c>
      <c r="F116" s="1076" t="s">
        <v>145</v>
      </c>
      <c r="G116" s="1000"/>
      <c r="H116" s="1050">
        <v>0</v>
      </c>
      <c r="I116" s="1065">
        <f t="shared" ref="I116:K122" si="52">+H116</f>
        <v>0</v>
      </c>
      <c r="J116" s="1065">
        <f t="shared" si="52"/>
        <v>0</v>
      </c>
      <c r="K116" s="1065">
        <f t="shared" si="52"/>
        <v>0</v>
      </c>
      <c r="L116" s="1065">
        <f t="shared" ref="L116:M122" si="53">+K116</f>
        <v>0</v>
      </c>
      <c r="M116" s="1065">
        <f t="shared" si="53"/>
        <v>0</v>
      </c>
      <c r="N116" s="1065">
        <f t="shared" ref="N116:O122" si="54">+M116</f>
        <v>0</v>
      </c>
      <c r="O116" s="1065">
        <f t="shared" si="54"/>
        <v>0</v>
      </c>
      <c r="P116" s="1000"/>
      <c r="Q116" s="88"/>
    </row>
    <row r="117" spans="2:17" ht="13.15" customHeight="1" x14ac:dyDescent="0.2">
      <c r="B117" s="86"/>
      <c r="C117" s="1000"/>
      <c r="D117" s="1000"/>
      <c r="E117" s="1076">
        <v>2</v>
      </c>
      <c r="F117" s="1076" t="s">
        <v>145</v>
      </c>
      <c r="G117" s="1000"/>
      <c r="H117" s="1050">
        <v>0</v>
      </c>
      <c r="I117" s="1065">
        <f t="shared" si="52"/>
        <v>0</v>
      </c>
      <c r="J117" s="1065">
        <f t="shared" si="52"/>
        <v>0</v>
      </c>
      <c r="K117" s="1065">
        <f t="shared" si="52"/>
        <v>0</v>
      </c>
      <c r="L117" s="1065">
        <f t="shared" si="53"/>
        <v>0</v>
      </c>
      <c r="M117" s="1065">
        <f t="shared" si="53"/>
        <v>0</v>
      </c>
      <c r="N117" s="1065">
        <f t="shared" si="54"/>
        <v>0</v>
      </c>
      <c r="O117" s="1065">
        <f t="shared" si="54"/>
        <v>0</v>
      </c>
      <c r="P117" s="1000"/>
      <c r="Q117" s="88"/>
    </row>
    <row r="118" spans="2:17" ht="13.15" customHeight="1" x14ac:dyDescent="0.2">
      <c r="B118" s="86"/>
      <c r="C118" s="1000"/>
      <c r="D118" s="1000"/>
      <c r="E118" s="1076">
        <v>3</v>
      </c>
      <c r="F118" s="1076" t="s">
        <v>145</v>
      </c>
      <c r="G118" s="1000"/>
      <c r="H118" s="1050">
        <v>0</v>
      </c>
      <c r="I118" s="1065">
        <f t="shared" si="52"/>
        <v>0</v>
      </c>
      <c r="J118" s="1065">
        <f t="shared" si="52"/>
        <v>0</v>
      </c>
      <c r="K118" s="1065">
        <f t="shared" si="52"/>
        <v>0</v>
      </c>
      <c r="L118" s="1065">
        <f t="shared" si="53"/>
        <v>0</v>
      </c>
      <c r="M118" s="1065">
        <f t="shared" si="53"/>
        <v>0</v>
      </c>
      <c r="N118" s="1065">
        <f t="shared" si="54"/>
        <v>0</v>
      </c>
      <c r="O118" s="1065">
        <f t="shared" si="54"/>
        <v>0</v>
      </c>
      <c r="P118" s="1000"/>
      <c r="Q118" s="88"/>
    </row>
    <row r="119" spans="2:17" ht="13.15" customHeight="1" x14ac:dyDescent="0.2">
      <c r="B119" s="86"/>
      <c r="C119" s="1000"/>
      <c r="D119" s="1000"/>
      <c r="E119" s="1076">
        <v>1</v>
      </c>
      <c r="F119" s="1076" t="s">
        <v>125</v>
      </c>
      <c r="G119" s="1000"/>
      <c r="H119" s="1050">
        <v>0</v>
      </c>
      <c r="I119" s="1065">
        <f t="shared" si="52"/>
        <v>0</v>
      </c>
      <c r="J119" s="1065">
        <f t="shared" si="52"/>
        <v>0</v>
      </c>
      <c r="K119" s="1065">
        <f t="shared" si="52"/>
        <v>0</v>
      </c>
      <c r="L119" s="1065">
        <f t="shared" si="53"/>
        <v>0</v>
      </c>
      <c r="M119" s="1065">
        <f t="shared" si="53"/>
        <v>0</v>
      </c>
      <c r="N119" s="1065">
        <f t="shared" si="54"/>
        <v>0</v>
      </c>
      <c r="O119" s="1065">
        <f t="shared" si="54"/>
        <v>0</v>
      </c>
      <c r="P119" s="1000"/>
      <c r="Q119" s="88"/>
    </row>
    <row r="120" spans="2:17" ht="13.15" customHeight="1" x14ac:dyDescent="0.2">
      <c r="B120" s="86"/>
      <c r="C120" s="1000"/>
      <c r="D120" s="1000"/>
      <c r="E120" s="1076">
        <v>2</v>
      </c>
      <c r="F120" s="1076" t="s">
        <v>125</v>
      </c>
      <c r="G120" s="1000"/>
      <c r="H120" s="1050">
        <v>0</v>
      </c>
      <c r="I120" s="1065">
        <f t="shared" si="52"/>
        <v>0</v>
      </c>
      <c r="J120" s="1065">
        <f t="shared" si="52"/>
        <v>0</v>
      </c>
      <c r="K120" s="1065">
        <f t="shared" si="52"/>
        <v>0</v>
      </c>
      <c r="L120" s="1065">
        <f t="shared" si="53"/>
        <v>0</v>
      </c>
      <c r="M120" s="1065">
        <f t="shared" si="53"/>
        <v>0</v>
      </c>
      <c r="N120" s="1065">
        <f t="shared" si="54"/>
        <v>0</v>
      </c>
      <c r="O120" s="1065">
        <f t="shared" si="54"/>
        <v>0</v>
      </c>
      <c r="P120" s="1000"/>
      <c r="Q120" s="88"/>
    </row>
    <row r="121" spans="2:17" ht="13.15" customHeight="1" x14ac:dyDescent="0.2">
      <c r="B121" s="86"/>
      <c r="C121" s="1000"/>
      <c r="D121" s="1000"/>
      <c r="E121" s="1076">
        <v>3</v>
      </c>
      <c r="F121" s="1076" t="s">
        <v>125</v>
      </c>
      <c r="G121" s="1000"/>
      <c r="H121" s="1050">
        <v>0</v>
      </c>
      <c r="I121" s="1065">
        <f t="shared" si="52"/>
        <v>0</v>
      </c>
      <c r="J121" s="1065">
        <f t="shared" si="52"/>
        <v>0</v>
      </c>
      <c r="K121" s="1065">
        <f t="shared" si="52"/>
        <v>0</v>
      </c>
      <c r="L121" s="1065">
        <f t="shared" si="53"/>
        <v>0</v>
      </c>
      <c r="M121" s="1065">
        <f t="shared" si="53"/>
        <v>0</v>
      </c>
      <c r="N121" s="1065">
        <f t="shared" si="54"/>
        <v>0</v>
      </c>
      <c r="O121" s="1065">
        <f t="shared" si="54"/>
        <v>0</v>
      </c>
      <c r="P121" s="1000"/>
      <c r="Q121" s="88"/>
    </row>
    <row r="122" spans="2:17" ht="13.15" customHeight="1" x14ac:dyDescent="0.2">
      <c r="B122" s="86"/>
      <c r="C122" s="1000"/>
      <c r="D122" s="1085" t="s">
        <v>653</v>
      </c>
      <c r="E122" s="1076"/>
      <c r="F122" s="1076"/>
      <c r="G122" s="1000"/>
      <c r="H122" s="1094">
        <v>41.12</v>
      </c>
      <c r="I122" s="1117">
        <f>tab!$C$111</f>
        <v>41.48</v>
      </c>
      <c r="J122" s="1117">
        <f t="shared" si="52"/>
        <v>41.48</v>
      </c>
      <c r="K122" s="1117">
        <f t="shared" si="52"/>
        <v>41.48</v>
      </c>
      <c r="L122" s="1117">
        <f t="shared" si="53"/>
        <v>41.48</v>
      </c>
      <c r="M122" s="1117">
        <f t="shared" si="53"/>
        <v>41.48</v>
      </c>
      <c r="N122" s="1117">
        <f t="shared" si="54"/>
        <v>41.48</v>
      </c>
      <c r="O122" s="1117">
        <f t="shared" si="54"/>
        <v>41.48</v>
      </c>
      <c r="P122" s="1000"/>
      <c r="Q122" s="88"/>
    </row>
    <row r="123" spans="2:17" ht="13.15" customHeight="1" x14ac:dyDescent="0.2">
      <c r="B123" s="86"/>
      <c r="C123" s="1000"/>
      <c r="D123" s="1000"/>
      <c r="E123" s="1076"/>
      <c r="F123" s="1076"/>
      <c r="G123" s="1000"/>
      <c r="H123" s="1095"/>
      <c r="I123" s="1076"/>
      <c r="J123" s="1076"/>
      <c r="K123" s="1076"/>
      <c r="L123" s="1076"/>
      <c r="M123" s="1076"/>
      <c r="N123" s="1076"/>
      <c r="O123" s="1076"/>
      <c r="P123" s="1000"/>
      <c r="Q123" s="88"/>
    </row>
    <row r="124" spans="2:17" ht="13.15" customHeight="1" x14ac:dyDescent="0.2">
      <c r="B124" s="86"/>
      <c r="C124" s="1000"/>
      <c r="D124" s="1116" t="s">
        <v>638</v>
      </c>
      <c r="E124" s="1076">
        <v>1</v>
      </c>
      <c r="F124" s="1076" t="s">
        <v>145</v>
      </c>
      <c r="G124" s="1000"/>
      <c r="H124" s="1050">
        <v>0</v>
      </c>
      <c r="I124" s="1065">
        <f t="shared" ref="I124:K130" si="55">+H124</f>
        <v>0</v>
      </c>
      <c r="J124" s="1065">
        <f t="shared" si="55"/>
        <v>0</v>
      </c>
      <c r="K124" s="1065">
        <f t="shared" si="55"/>
        <v>0</v>
      </c>
      <c r="L124" s="1065">
        <f t="shared" ref="L124:M130" si="56">+K124</f>
        <v>0</v>
      </c>
      <c r="M124" s="1065">
        <f t="shared" si="56"/>
        <v>0</v>
      </c>
      <c r="N124" s="1065">
        <f t="shared" ref="N124:O130" si="57">+M124</f>
        <v>0</v>
      </c>
      <c r="O124" s="1065">
        <f t="shared" si="57"/>
        <v>0</v>
      </c>
      <c r="P124" s="1000"/>
      <c r="Q124" s="88"/>
    </row>
    <row r="125" spans="2:17" ht="13.15" customHeight="1" x14ac:dyDescent="0.2">
      <c r="B125" s="86"/>
      <c r="C125" s="1000"/>
      <c r="D125" s="1000"/>
      <c r="E125" s="1076">
        <v>2</v>
      </c>
      <c r="F125" s="1076" t="s">
        <v>145</v>
      </c>
      <c r="G125" s="1000"/>
      <c r="H125" s="1050">
        <v>0</v>
      </c>
      <c r="I125" s="1065">
        <f t="shared" si="55"/>
        <v>0</v>
      </c>
      <c r="J125" s="1065">
        <f t="shared" si="55"/>
        <v>0</v>
      </c>
      <c r="K125" s="1065">
        <f t="shared" si="55"/>
        <v>0</v>
      </c>
      <c r="L125" s="1065">
        <f t="shared" si="56"/>
        <v>0</v>
      </c>
      <c r="M125" s="1065">
        <f t="shared" si="56"/>
        <v>0</v>
      </c>
      <c r="N125" s="1065">
        <f t="shared" si="57"/>
        <v>0</v>
      </c>
      <c r="O125" s="1065">
        <f t="shared" si="57"/>
        <v>0</v>
      </c>
      <c r="P125" s="1000"/>
      <c r="Q125" s="88"/>
    </row>
    <row r="126" spans="2:17" ht="13.15" customHeight="1" x14ac:dyDescent="0.2">
      <c r="B126" s="86"/>
      <c r="C126" s="1000"/>
      <c r="D126" s="1000"/>
      <c r="E126" s="1076">
        <v>3</v>
      </c>
      <c r="F126" s="1076" t="s">
        <v>145</v>
      </c>
      <c r="G126" s="1000"/>
      <c r="H126" s="1050">
        <v>0</v>
      </c>
      <c r="I126" s="1065">
        <f t="shared" si="55"/>
        <v>0</v>
      </c>
      <c r="J126" s="1065">
        <f t="shared" si="55"/>
        <v>0</v>
      </c>
      <c r="K126" s="1065">
        <f t="shared" si="55"/>
        <v>0</v>
      </c>
      <c r="L126" s="1065">
        <f t="shared" si="56"/>
        <v>0</v>
      </c>
      <c r="M126" s="1065">
        <f t="shared" si="56"/>
        <v>0</v>
      </c>
      <c r="N126" s="1065">
        <f t="shared" si="57"/>
        <v>0</v>
      </c>
      <c r="O126" s="1065">
        <f t="shared" si="57"/>
        <v>0</v>
      </c>
      <c r="P126" s="1000"/>
      <c r="Q126" s="88"/>
    </row>
    <row r="127" spans="2:17" ht="13.15" customHeight="1" x14ac:dyDescent="0.2">
      <c r="B127" s="86"/>
      <c r="C127" s="1000"/>
      <c r="D127" s="1000"/>
      <c r="E127" s="1076">
        <v>1</v>
      </c>
      <c r="F127" s="1076" t="s">
        <v>125</v>
      </c>
      <c r="G127" s="1000"/>
      <c r="H127" s="1050">
        <v>0</v>
      </c>
      <c r="I127" s="1065">
        <f t="shared" si="55"/>
        <v>0</v>
      </c>
      <c r="J127" s="1065">
        <f t="shared" si="55"/>
        <v>0</v>
      </c>
      <c r="K127" s="1065">
        <f t="shared" si="55"/>
        <v>0</v>
      </c>
      <c r="L127" s="1065">
        <f t="shared" si="56"/>
        <v>0</v>
      </c>
      <c r="M127" s="1065">
        <f t="shared" si="56"/>
        <v>0</v>
      </c>
      <c r="N127" s="1065">
        <f t="shared" si="57"/>
        <v>0</v>
      </c>
      <c r="O127" s="1065">
        <f t="shared" si="57"/>
        <v>0</v>
      </c>
      <c r="P127" s="1000"/>
      <c r="Q127" s="88"/>
    </row>
    <row r="128" spans="2:17" ht="13.15" customHeight="1" x14ac:dyDescent="0.2">
      <c r="B128" s="86"/>
      <c r="C128" s="1000"/>
      <c r="D128" s="1000"/>
      <c r="E128" s="1076">
        <v>2</v>
      </c>
      <c r="F128" s="1076" t="s">
        <v>125</v>
      </c>
      <c r="G128" s="1000"/>
      <c r="H128" s="1050">
        <v>0</v>
      </c>
      <c r="I128" s="1065">
        <f t="shared" si="55"/>
        <v>0</v>
      </c>
      <c r="J128" s="1065">
        <f t="shared" si="55"/>
        <v>0</v>
      </c>
      <c r="K128" s="1065">
        <f t="shared" si="55"/>
        <v>0</v>
      </c>
      <c r="L128" s="1065">
        <f t="shared" si="56"/>
        <v>0</v>
      </c>
      <c r="M128" s="1065">
        <f t="shared" si="56"/>
        <v>0</v>
      </c>
      <c r="N128" s="1065">
        <f t="shared" si="57"/>
        <v>0</v>
      </c>
      <c r="O128" s="1065">
        <f t="shared" si="57"/>
        <v>0</v>
      </c>
      <c r="P128" s="1000"/>
      <c r="Q128" s="88"/>
    </row>
    <row r="129" spans="2:17" ht="13.15" customHeight="1" x14ac:dyDescent="0.2">
      <c r="B129" s="86"/>
      <c r="C129" s="1000"/>
      <c r="D129" s="1000"/>
      <c r="E129" s="1076">
        <v>3</v>
      </c>
      <c r="F129" s="1076" t="s">
        <v>125</v>
      </c>
      <c r="G129" s="1000"/>
      <c r="H129" s="1050">
        <v>0</v>
      </c>
      <c r="I129" s="1065">
        <f t="shared" si="55"/>
        <v>0</v>
      </c>
      <c r="J129" s="1065">
        <f t="shared" si="55"/>
        <v>0</v>
      </c>
      <c r="K129" s="1065">
        <f t="shared" si="55"/>
        <v>0</v>
      </c>
      <c r="L129" s="1065">
        <f t="shared" si="56"/>
        <v>0</v>
      </c>
      <c r="M129" s="1065">
        <f t="shared" si="56"/>
        <v>0</v>
      </c>
      <c r="N129" s="1065">
        <f t="shared" si="57"/>
        <v>0</v>
      </c>
      <c r="O129" s="1065">
        <f t="shared" si="57"/>
        <v>0</v>
      </c>
      <c r="P129" s="1000"/>
      <c r="Q129" s="88"/>
    </row>
    <row r="130" spans="2:17" ht="13.15" customHeight="1" x14ac:dyDescent="0.2">
      <c r="B130" s="86"/>
      <c r="C130" s="1000"/>
      <c r="D130" s="1085" t="s">
        <v>653</v>
      </c>
      <c r="E130" s="1076"/>
      <c r="F130" s="1076"/>
      <c r="G130" s="1000"/>
      <c r="H130" s="1094">
        <v>41.12</v>
      </c>
      <c r="I130" s="1117">
        <f>tab!$C$111</f>
        <v>41.48</v>
      </c>
      <c r="J130" s="1117">
        <f t="shared" si="55"/>
        <v>41.48</v>
      </c>
      <c r="K130" s="1117">
        <f t="shared" si="55"/>
        <v>41.48</v>
      </c>
      <c r="L130" s="1117">
        <f t="shared" si="56"/>
        <v>41.48</v>
      </c>
      <c r="M130" s="1117">
        <f t="shared" si="56"/>
        <v>41.48</v>
      </c>
      <c r="N130" s="1117">
        <f t="shared" si="57"/>
        <v>41.48</v>
      </c>
      <c r="O130" s="1117">
        <f t="shared" si="57"/>
        <v>41.48</v>
      </c>
      <c r="P130" s="1000"/>
      <c r="Q130" s="88"/>
    </row>
    <row r="131" spans="2:17" ht="13.15" customHeight="1" x14ac:dyDescent="0.2">
      <c r="B131" s="86"/>
      <c r="C131" s="1000"/>
      <c r="D131" s="1000"/>
      <c r="E131" s="1076"/>
      <c r="F131" s="1076"/>
      <c r="G131" s="1000"/>
      <c r="H131" s="1095"/>
      <c r="I131" s="1076"/>
      <c r="J131" s="1076"/>
      <c r="K131" s="1076"/>
      <c r="L131" s="1076"/>
      <c r="M131" s="1076"/>
      <c r="N131" s="1076"/>
      <c r="O131" s="1076"/>
      <c r="P131" s="1000"/>
      <c r="Q131" s="88"/>
    </row>
    <row r="132" spans="2:17" ht="13.15" customHeight="1" x14ac:dyDescent="0.2">
      <c r="B132" s="86"/>
      <c r="C132" s="1000"/>
      <c r="D132" s="1116" t="s">
        <v>639</v>
      </c>
      <c r="E132" s="1076">
        <v>1</v>
      </c>
      <c r="F132" s="1076" t="s">
        <v>145</v>
      </c>
      <c r="G132" s="1000"/>
      <c r="H132" s="1050">
        <v>0</v>
      </c>
      <c r="I132" s="1065">
        <f t="shared" ref="I132:K138" si="58">+H132</f>
        <v>0</v>
      </c>
      <c r="J132" s="1065">
        <f t="shared" si="58"/>
        <v>0</v>
      </c>
      <c r="K132" s="1065">
        <f t="shared" si="58"/>
        <v>0</v>
      </c>
      <c r="L132" s="1065">
        <f t="shared" ref="L132:M138" si="59">+K132</f>
        <v>0</v>
      </c>
      <c r="M132" s="1065">
        <f t="shared" si="59"/>
        <v>0</v>
      </c>
      <c r="N132" s="1065">
        <f t="shared" ref="N132:O138" si="60">+M132</f>
        <v>0</v>
      </c>
      <c r="O132" s="1065">
        <f t="shared" si="60"/>
        <v>0</v>
      </c>
      <c r="P132" s="1000"/>
      <c r="Q132" s="88"/>
    </row>
    <row r="133" spans="2:17" ht="13.15" customHeight="1" x14ac:dyDescent="0.2">
      <c r="B133" s="86"/>
      <c r="C133" s="1000"/>
      <c r="D133" s="1000"/>
      <c r="E133" s="1076">
        <v>2</v>
      </c>
      <c r="F133" s="1076" t="s">
        <v>145</v>
      </c>
      <c r="G133" s="1000"/>
      <c r="H133" s="1050">
        <v>0</v>
      </c>
      <c r="I133" s="1065">
        <f t="shared" si="58"/>
        <v>0</v>
      </c>
      <c r="J133" s="1065">
        <f t="shared" si="58"/>
        <v>0</v>
      </c>
      <c r="K133" s="1065">
        <f t="shared" si="58"/>
        <v>0</v>
      </c>
      <c r="L133" s="1065">
        <f t="shared" si="59"/>
        <v>0</v>
      </c>
      <c r="M133" s="1065">
        <f t="shared" si="59"/>
        <v>0</v>
      </c>
      <c r="N133" s="1065">
        <f t="shared" si="60"/>
        <v>0</v>
      </c>
      <c r="O133" s="1065">
        <f t="shared" si="60"/>
        <v>0</v>
      </c>
      <c r="P133" s="1000"/>
      <c r="Q133" s="88"/>
    </row>
    <row r="134" spans="2:17" ht="13.15" customHeight="1" x14ac:dyDescent="0.2">
      <c r="B134" s="86"/>
      <c r="C134" s="1000"/>
      <c r="D134" s="1000"/>
      <c r="E134" s="1076">
        <v>3</v>
      </c>
      <c r="F134" s="1076" t="s">
        <v>145</v>
      </c>
      <c r="G134" s="1000"/>
      <c r="H134" s="1050">
        <v>0</v>
      </c>
      <c r="I134" s="1065">
        <f t="shared" si="58"/>
        <v>0</v>
      </c>
      <c r="J134" s="1065">
        <f t="shared" si="58"/>
        <v>0</v>
      </c>
      <c r="K134" s="1065">
        <f t="shared" si="58"/>
        <v>0</v>
      </c>
      <c r="L134" s="1065">
        <f t="shared" si="59"/>
        <v>0</v>
      </c>
      <c r="M134" s="1065">
        <f t="shared" si="59"/>
        <v>0</v>
      </c>
      <c r="N134" s="1065">
        <f t="shared" si="60"/>
        <v>0</v>
      </c>
      <c r="O134" s="1065">
        <f t="shared" si="60"/>
        <v>0</v>
      </c>
      <c r="P134" s="1000"/>
      <c r="Q134" s="88"/>
    </row>
    <row r="135" spans="2:17" ht="13.15" customHeight="1" x14ac:dyDescent="0.2">
      <c r="B135" s="86"/>
      <c r="C135" s="1000"/>
      <c r="D135" s="1000"/>
      <c r="E135" s="1076">
        <v>1</v>
      </c>
      <c r="F135" s="1076" t="s">
        <v>125</v>
      </c>
      <c r="G135" s="1000"/>
      <c r="H135" s="1050">
        <v>0</v>
      </c>
      <c r="I135" s="1065">
        <f t="shared" si="58"/>
        <v>0</v>
      </c>
      <c r="J135" s="1065">
        <f t="shared" si="58"/>
        <v>0</v>
      </c>
      <c r="K135" s="1065">
        <f t="shared" si="58"/>
        <v>0</v>
      </c>
      <c r="L135" s="1065">
        <f t="shared" si="59"/>
        <v>0</v>
      </c>
      <c r="M135" s="1065">
        <f t="shared" si="59"/>
        <v>0</v>
      </c>
      <c r="N135" s="1065">
        <f t="shared" si="60"/>
        <v>0</v>
      </c>
      <c r="O135" s="1065">
        <f t="shared" si="60"/>
        <v>0</v>
      </c>
      <c r="P135" s="1000"/>
      <c r="Q135" s="88"/>
    </row>
    <row r="136" spans="2:17" ht="13.15" customHeight="1" x14ac:dyDescent="0.2">
      <c r="B136" s="86"/>
      <c r="C136" s="1000"/>
      <c r="D136" s="1000"/>
      <c r="E136" s="1076">
        <v>2</v>
      </c>
      <c r="F136" s="1076" t="s">
        <v>125</v>
      </c>
      <c r="G136" s="1000"/>
      <c r="H136" s="1050">
        <v>0</v>
      </c>
      <c r="I136" s="1065">
        <f t="shared" si="58"/>
        <v>0</v>
      </c>
      <c r="J136" s="1065">
        <f t="shared" si="58"/>
        <v>0</v>
      </c>
      <c r="K136" s="1065">
        <f t="shared" si="58"/>
        <v>0</v>
      </c>
      <c r="L136" s="1065">
        <f t="shared" si="59"/>
        <v>0</v>
      </c>
      <c r="M136" s="1065">
        <f t="shared" si="59"/>
        <v>0</v>
      </c>
      <c r="N136" s="1065">
        <f t="shared" si="60"/>
        <v>0</v>
      </c>
      <c r="O136" s="1065">
        <f t="shared" si="60"/>
        <v>0</v>
      </c>
      <c r="P136" s="1000"/>
      <c r="Q136" s="88"/>
    </row>
    <row r="137" spans="2:17" ht="13.15" customHeight="1" x14ac:dyDescent="0.2">
      <c r="B137" s="86"/>
      <c r="C137" s="1000"/>
      <c r="D137" s="1000"/>
      <c r="E137" s="1076">
        <v>3</v>
      </c>
      <c r="F137" s="1076" t="s">
        <v>125</v>
      </c>
      <c r="G137" s="1000"/>
      <c r="H137" s="1050">
        <v>0</v>
      </c>
      <c r="I137" s="1065">
        <f t="shared" si="58"/>
        <v>0</v>
      </c>
      <c r="J137" s="1065">
        <f t="shared" si="58"/>
        <v>0</v>
      </c>
      <c r="K137" s="1065">
        <f t="shared" si="58"/>
        <v>0</v>
      </c>
      <c r="L137" s="1065">
        <f t="shared" si="59"/>
        <v>0</v>
      </c>
      <c r="M137" s="1065">
        <f t="shared" si="59"/>
        <v>0</v>
      </c>
      <c r="N137" s="1065">
        <f t="shared" si="60"/>
        <v>0</v>
      </c>
      <c r="O137" s="1065">
        <f t="shared" si="60"/>
        <v>0</v>
      </c>
      <c r="P137" s="1000"/>
      <c r="Q137" s="88"/>
    </row>
    <row r="138" spans="2:17" ht="13.15" customHeight="1" x14ac:dyDescent="0.2">
      <c r="B138" s="86"/>
      <c r="C138" s="1000"/>
      <c r="D138" s="1085" t="s">
        <v>653</v>
      </c>
      <c r="E138" s="1076"/>
      <c r="F138" s="1076"/>
      <c r="G138" s="1000"/>
      <c r="H138" s="1094">
        <v>41.12</v>
      </c>
      <c r="I138" s="1117">
        <f>tab!$C$111</f>
        <v>41.48</v>
      </c>
      <c r="J138" s="1117">
        <f t="shared" si="58"/>
        <v>41.48</v>
      </c>
      <c r="K138" s="1117">
        <f t="shared" si="58"/>
        <v>41.48</v>
      </c>
      <c r="L138" s="1117">
        <f t="shared" si="59"/>
        <v>41.48</v>
      </c>
      <c r="M138" s="1117">
        <f t="shared" si="59"/>
        <v>41.48</v>
      </c>
      <c r="N138" s="1117">
        <f t="shared" si="60"/>
        <v>41.48</v>
      </c>
      <c r="O138" s="1117">
        <f t="shared" si="60"/>
        <v>41.48</v>
      </c>
      <c r="P138" s="1000"/>
      <c r="Q138" s="88"/>
    </row>
    <row r="139" spans="2:17" ht="13.15" customHeight="1" x14ac:dyDescent="0.2">
      <c r="B139" s="86"/>
      <c r="C139" s="1000"/>
      <c r="D139" s="1000"/>
      <c r="E139" s="1076"/>
      <c r="F139" s="1076"/>
      <c r="G139" s="1000"/>
      <c r="H139" s="1095"/>
      <c r="I139" s="1076"/>
      <c r="J139" s="1076"/>
      <c r="K139" s="1076"/>
      <c r="L139" s="1076"/>
      <c r="M139" s="1076"/>
      <c r="N139" s="1076"/>
      <c r="O139" s="1076"/>
      <c r="P139" s="1000"/>
      <c r="Q139" s="88"/>
    </row>
    <row r="140" spans="2:17" ht="13.15" customHeight="1" x14ac:dyDescent="0.2">
      <c r="B140" s="86"/>
      <c r="C140" s="1000"/>
      <c r="D140" s="1116" t="s">
        <v>640</v>
      </c>
      <c r="E140" s="1076">
        <v>1</v>
      </c>
      <c r="F140" s="1076" t="s">
        <v>145</v>
      </c>
      <c r="G140" s="1000"/>
      <c r="H140" s="1050">
        <v>0</v>
      </c>
      <c r="I140" s="1065">
        <f t="shared" ref="I140:K146" si="61">+H140</f>
        <v>0</v>
      </c>
      <c r="J140" s="1065">
        <f t="shared" si="61"/>
        <v>0</v>
      </c>
      <c r="K140" s="1065">
        <f t="shared" si="61"/>
        <v>0</v>
      </c>
      <c r="L140" s="1065">
        <f t="shared" ref="L140:M146" si="62">+K140</f>
        <v>0</v>
      </c>
      <c r="M140" s="1065">
        <f t="shared" si="62"/>
        <v>0</v>
      </c>
      <c r="N140" s="1065">
        <f t="shared" ref="N140:O146" si="63">+M140</f>
        <v>0</v>
      </c>
      <c r="O140" s="1065">
        <f t="shared" si="63"/>
        <v>0</v>
      </c>
      <c r="P140" s="1000"/>
      <c r="Q140" s="88"/>
    </row>
    <row r="141" spans="2:17" ht="13.15" customHeight="1" x14ac:dyDescent="0.2">
      <c r="B141" s="477"/>
      <c r="C141" s="1000"/>
      <c r="D141" s="1000"/>
      <c r="E141" s="1076">
        <v>2</v>
      </c>
      <c r="F141" s="1076" t="s">
        <v>145</v>
      </c>
      <c r="G141" s="1000"/>
      <c r="H141" s="1050">
        <v>0</v>
      </c>
      <c r="I141" s="1065">
        <f t="shared" si="61"/>
        <v>0</v>
      </c>
      <c r="J141" s="1065">
        <f t="shared" si="61"/>
        <v>0</v>
      </c>
      <c r="K141" s="1065">
        <f t="shared" si="61"/>
        <v>0</v>
      </c>
      <c r="L141" s="1065">
        <f t="shared" si="62"/>
        <v>0</v>
      </c>
      <c r="M141" s="1065">
        <f t="shared" si="62"/>
        <v>0</v>
      </c>
      <c r="N141" s="1065">
        <f t="shared" si="63"/>
        <v>0</v>
      </c>
      <c r="O141" s="1065">
        <f t="shared" si="63"/>
        <v>0</v>
      </c>
      <c r="P141" s="1000"/>
      <c r="Q141" s="88"/>
    </row>
    <row r="142" spans="2:17" ht="13.15" customHeight="1" x14ac:dyDescent="0.2">
      <c r="B142" s="477"/>
      <c r="C142" s="1000"/>
      <c r="D142" s="1000"/>
      <c r="E142" s="1076">
        <v>3</v>
      </c>
      <c r="F142" s="1076" t="s">
        <v>145</v>
      </c>
      <c r="G142" s="1000"/>
      <c r="H142" s="1050">
        <v>0</v>
      </c>
      <c r="I142" s="1065">
        <f t="shared" si="61"/>
        <v>0</v>
      </c>
      <c r="J142" s="1065">
        <f t="shared" si="61"/>
        <v>0</v>
      </c>
      <c r="K142" s="1065">
        <f t="shared" si="61"/>
        <v>0</v>
      </c>
      <c r="L142" s="1065">
        <f t="shared" si="62"/>
        <v>0</v>
      </c>
      <c r="M142" s="1065">
        <f t="shared" si="62"/>
        <v>0</v>
      </c>
      <c r="N142" s="1065">
        <f t="shared" si="63"/>
        <v>0</v>
      </c>
      <c r="O142" s="1065">
        <f t="shared" si="63"/>
        <v>0</v>
      </c>
      <c r="P142" s="1000"/>
      <c r="Q142" s="88"/>
    </row>
    <row r="143" spans="2:17" ht="13.15" customHeight="1" x14ac:dyDescent="0.2">
      <c r="B143" s="477"/>
      <c r="C143" s="1000"/>
      <c r="D143" s="1000"/>
      <c r="E143" s="1076">
        <v>1</v>
      </c>
      <c r="F143" s="1076" t="s">
        <v>125</v>
      </c>
      <c r="G143" s="1000"/>
      <c r="H143" s="1050">
        <v>0</v>
      </c>
      <c r="I143" s="1065">
        <f t="shared" si="61"/>
        <v>0</v>
      </c>
      <c r="J143" s="1065">
        <f t="shared" si="61"/>
        <v>0</v>
      </c>
      <c r="K143" s="1065">
        <f t="shared" si="61"/>
        <v>0</v>
      </c>
      <c r="L143" s="1065">
        <f t="shared" si="62"/>
        <v>0</v>
      </c>
      <c r="M143" s="1065">
        <f t="shared" si="62"/>
        <v>0</v>
      </c>
      <c r="N143" s="1065">
        <f t="shared" si="63"/>
        <v>0</v>
      </c>
      <c r="O143" s="1065">
        <f t="shared" si="63"/>
        <v>0</v>
      </c>
      <c r="P143" s="1000"/>
      <c r="Q143" s="88"/>
    </row>
    <row r="144" spans="2:17" ht="13.15" customHeight="1" x14ac:dyDescent="0.2">
      <c r="B144" s="477"/>
      <c r="C144" s="1000"/>
      <c r="D144" s="1000"/>
      <c r="E144" s="1076">
        <v>2</v>
      </c>
      <c r="F144" s="1076" t="s">
        <v>125</v>
      </c>
      <c r="G144" s="1000"/>
      <c r="H144" s="1050">
        <v>0</v>
      </c>
      <c r="I144" s="1065">
        <f t="shared" si="61"/>
        <v>0</v>
      </c>
      <c r="J144" s="1065">
        <f t="shared" si="61"/>
        <v>0</v>
      </c>
      <c r="K144" s="1065">
        <f t="shared" si="61"/>
        <v>0</v>
      </c>
      <c r="L144" s="1065">
        <f t="shared" si="62"/>
        <v>0</v>
      </c>
      <c r="M144" s="1065">
        <f t="shared" si="62"/>
        <v>0</v>
      </c>
      <c r="N144" s="1065">
        <f t="shared" si="63"/>
        <v>0</v>
      </c>
      <c r="O144" s="1065">
        <f t="shared" si="63"/>
        <v>0</v>
      </c>
      <c r="P144" s="1000"/>
      <c r="Q144" s="88"/>
    </row>
    <row r="145" spans="2:17" ht="13.15" customHeight="1" x14ac:dyDescent="0.2">
      <c r="B145" s="477"/>
      <c r="C145" s="1000"/>
      <c r="D145" s="1000"/>
      <c r="E145" s="1076">
        <v>3</v>
      </c>
      <c r="F145" s="1076" t="s">
        <v>125</v>
      </c>
      <c r="G145" s="1000"/>
      <c r="H145" s="1050">
        <v>0</v>
      </c>
      <c r="I145" s="1065">
        <f t="shared" si="61"/>
        <v>0</v>
      </c>
      <c r="J145" s="1065">
        <f t="shared" si="61"/>
        <v>0</v>
      </c>
      <c r="K145" s="1065">
        <f t="shared" si="61"/>
        <v>0</v>
      </c>
      <c r="L145" s="1065">
        <f t="shared" si="62"/>
        <v>0</v>
      </c>
      <c r="M145" s="1065">
        <f t="shared" si="62"/>
        <v>0</v>
      </c>
      <c r="N145" s="1065">
        <f t="shared" si="63"/>
        <v>0</v>
      </c>
      <c r="O145" s="1065">
        <f t="shared" si="63"/>
        <v>0</v>
      </c>
      <c r="P145" s="1000"/>
      <c r="Q145" s="88"/>
    </row>
    <row r="146" spans="2:17" ht="13.15" customHeight="1" x14ac:dyDescent="0.2">
      <c r="B146" s="477"/>
      <c r="C146" s="1000"/>
      <c r="D146" s="1085" t="s">
        <v>653</v>
      </c>
      <c r="E146" s="1076"/>
      <c r="F146" s="1076"/>
      <c r="G146" s="1000"/>
      <c r="H146" s="1094">
        <v>41.12</v>
      </c>
      <c r="I146" s="1117">
        <f>tab!$C$111</f>
        <v>41.48</v>
      </c>
      <c r="J146" s="1117">
        <f t="shared" si="61"/>
        <v>41.48</v>
      </c>
      <c r="K146" s="1117">
        <f t="shared" si="61"/>
        <v>41.48</v>
      </c>
      <c r="L146" s="1117">
        <f t="shared" si="62"/>
        <v>41.48</v>
      </c>
      <c r="M146" s="1117">
        <f t="shared" si="62"/>
        <v>41.48</v>
      </c>
      <c r="N146" s="1117">
        <f t="shared" si="63"/>
        <v>41.48</v>
      </c>
      <c r="O146" s="1117">
        <f t="shared" si="63"/>
        <v>41.48</v>
      </c>
      <c r="P146" s="1000"/>
      <c r="Q146" s="88"/>
    </row>
    <row r="147" spans="2:17" ht="13.15" customHeight="1" x14ac:dyDescent="0.2">
      <c r="B147" s="86"/>
      <c r="C147" s="1000"/>
      <c r="D147" s="1000"/>
      <c r="E147" s="1076"/>
      <c r="F147" s="1076"/>
      <c r="G147" s="1000"/>
      <c r="H147" s="1095"/>
      <c r="I147" s="1076"/>
      <c r="J147" s="1076"/>
      <c r="K147" s="1076"/>
      <c r="L147" s="1076"/>
      <c r="M147" s="1076"/>
      <c r="N147" s="1076"/>
      <c r="O147" s="1076"/>
      <c r="P147" s="1000"/>
      <c r="Q147" s="88"/>
    </row>
    <row r="148" spans="2:17" ht="13.15" customHeight="1" x14ac:dyDescent="0.2">
      <c r="B148" s="86"/>
      <c r="C148" s="1000"/>
      <c r="D148" s="1116" t="s">
        <v>641</v>
      </c>
      <c r="E148" s="1076">
        <v>1</v>
      </c>
      <c r="F148" s="1076" t="s">
        <v>145</v>
      </c>
      <c r="G148" s="1000"/>
      <c r="H148" s="1050">
        <v>0</v>
      </c>
      <c r="I148" s="1065">
        <f t="shared" ref="I148:K154" si="64">+H148</f>
        <v>0</v>
      </c>
      <c r="J148" s="1065">
        <f t="shared" si="64"/>
        <v>0</v>
      </c>
      <c r="K148" s="1065">
        <f t="shared" si="64"/>
        <v>0</v>
      </c>
      <c r="L148" s="1065">
        <f t="shared" ref="L148:M154" si="65">+K148</f>
        <v>0</v>
      </c>
      <c r="M148" s="1065">
        <f t="shared" si="65"/>
        <v>0</v>
      </c>
      <c r="N148" s="1065">
        <f t="shared" ref="N148:O154" si="66">+M148</f>
        <v>0</v>
      </c>
      <c r="O148" s="1065">
        <f t="shared" si="66"/>
        <v>0</v>
      </c>
      <c r="P148" s="1000"/>
      <c r="Q148" s="88"/>
    </row>
    <row r="149" spans="2:17" ht="13.15" customHeight="1" x14ac:dyDescent="0.2">
      <c r="B149" s="86"/>
      <c r="C149" s="1000"/>
      <c r="D149" s="1000"/>
      <c r="E149" s="1076">
        <v>2</v>
      </c>
      <c r="F149" s="1076" t="s">
        <v>145</v>
      </c>
      <c r="G149" s="1000"/>
      <c r="H149" s="1050">
        <v>0</v>
      </c>
      <c r="I149" s="1065">
        <f t="shared" si="64"/>
        <v>0</v>
      </c>
      <c r="J149" s="1065">
        <f t="shared" si="64"/>
        <v>0</v>
      </c>
      <c r="K149" s="1065">
        <f t="shared" si="64"/>
        <v>0</v>
      </c>
      <c r="L149" s="1065">
        <f t="shared" si="65"/>
        <v>0</v>
      </c>
      <c r="M149" s="1065">
        <f t="shared" si="65"/>
        <v>0</v>
      </c>
      <c r="N149" s="1065">
        <f t="shared" si="66"/>
        <v>0</v>
      </c>
      <c r="O149" s="1065">
        <f t="shared" si="66"/>
        <v>0</v>
      </c>
      <c r="P149" s="1000"/>
      <c r="Q149" s="88"/>
    </row>
    <row r="150" spans="2:17" ht="13.15" customHeight="1" x14ac:dyDescent="0.2">
      <c r="B150" s="86"/>
      <c r="C150" s="1000"/>
      <c r="D150" s="1000"/>
      <c r="E150" s="1076">
        <v>3</v>
      </c>
      <c r="F150" s="1076" t="s">
        <v>145</v>
      </c>
      <c r="G150" s="1000"/>
      <c r="H150" s="1050">
        <v>0</v>
      </c>
      <c r="I150" s="1065">
        <f t="shared" si="64"/>
        <v>0</v>
      </c>
      <c r="J150" s="1065">
        <f t="shared" si="64"/>
        <v>0</v>
      </c>
      <c r="K150" s="1065">
        <f t="shared" si="64"/>
        <v>0</v>
      </c>
      <c r="L150" s="1065">
        <f t="shared" si="65"/>
        <v>0</v>
      </c>
      <c r="M150" s="1065">
        <f t="shared" si="65"/>
        <v>0</v>
      </c>
      <c r="N150" s="1065">
        <f t="shared" si="66"/>
        <v>0</v>
      </c>
      <c r="O150" s="1065">
        <f t="shared" si="66"/>
        <v>0</v>
      </c>
      <c r="P150" s="1000"/>
      <c r="Q150" s="88"/>
    </row>
    <row r="151" spans="2:17" ht="13.15" customHeight="1" x14ac:dyDescent="0.2">
      <c r="B151" s="86"/>
      <c r="C151" s="1000"/>
      <c r="D151" s="1000"/>
      <c r="E151" s="1076">
        <v>1</v>
      </c>
      <c r="F151" s="1076" t="s">
        <v>125</v>
      </c>
      <c r="G151" s="1000"/>
      <c r="H151" s="1050">
        <v>0</v>
      </c>
      <c r="I151" s="1065">
        <f t="shared" si="64"/>
        <v>0</v>
      </c>
      <c r="J151" s="1065">
        <f t="shared" si="64"/>
        <v>0</v>
      </c>
      <c r="K151" s="1065">
        <f t="shared" si="64"/>
        <v>0</v>
      </c>
      <c r="L151" s="1065">
        <f t="shared" si="65"/>
        <v>0</v>
      </c>
      <c r="M151" s="1065">
        <f t="shared" si="65"/>
        <v>0</v>
      </c>
      <c r="N151" s="1065">
        <f t="shared" si="66"/>
        <v>0</v>
      </c>
      <c r="O151" s="1065">
        <f t="shared" si="66"/>
        <v>0</v>
      </c>
      <c r="P151" s="1000"/>
      <c r="Q151" s="88"/>
    </row>
    <row r="152" spans="2:17" ht="13.15" customHeight="1" x14ac:dyDescent="0.2">
      <c r="B152" s="86"/>
      <c r="C152" s="1000"/>
      <c r="D152" s="1000"/>
      <c r="E152" s="1076">
        <v>2</v>
      </c>
      <c r="F152" s="1076" t="s">
        <v>125</v>
      </c>
      <c r="G152" s="1000"/>
      <c r="H152" s="1050">
        <v>0</v>
      </c>
      <c r="I152" s="1065">
        <f t="shared" si="64"/>
        <v>0</v>
      </c>
      <c r="J152" s="1065">
        <f t="shared" si="64"/>
        <v>0</v>
      </c>
      <c r="K152" s="1065">
        <f t="shared" si="64"/>
        <v>0</v>
      </c>
      <c r="L152" s="1065">
        <f t="shared" si="65"/>
        <v>0</v>
      </c>
      <c r="M152" s="1065">
        <f t="shared" si="65"/>
        <v>0</v>
      </c>
      <c r="N152" s="1065">
        <f t="shared" si="66"/>
        <v>0</v>
      </c>
      <c r="O152" s="1065">
        <f t="shared" si="66"/>
        <v>0</v>
      </c>
      <c r="P152" s="1000"/>
      <c r="Q152" s="88"/>
    </row>
    <row r="153" spans="2:17" ht="13.15" customHeight="1" x14ac:dyDescent="0.2">
      <c r="B153" s="86"/>
      <c r="C153" s="1000"/>
      <c r="D153" s="1000"/>
      <c r="E153" s="1076">
        <v>3</v>
      </c>
      <c r="F153" s="1076" t="s">
        <v>125</v>
      </c>
      <c r="G153" s="1000"/>
      <c r="H153" s="1050">
        <v>0</v>
      </c>
      <c r="I153" s="1065">
        <f t="shared" si="64"/>
        <v>0</v>
      </c>
      <c r="J153" s="1065">
        <f t="shared" si="64"/>
        <v>0</v>
      </c>
      <c r="K153" s="1065">
        <f t="shared" si="64"/>
        <v>0</v>
      </c>
      <c r="L153" s="1065">
        <f t="shared" si="65"/>
        <v>0</v>
      </c>
      <c r="M153" s="1065">
        <f t="shared" si="65"/>
        <v>0</v>
      </c>
      <c r="N153" s="1065">
        <f t="shared" si="66"/>
        <v>0</v>
      </c>
      <c r="O153" s="1065">
        <f t="shared" si="66"/>
        <v>0</v>
      </c>
      <c r="P153" s="1000"/>
      <c r="Q153" s="88"/>
    </row>
    <row r="154" spans="2:17" ht="13.15" customHeight="1" x14ac:dyDescent="0.2">
      <c r="B154" s="86"/>
      <c r="C154" s="1000"/>
      <c r="D154" s="1085" t="s">
        <v>653</v>
      </c>
      <c r="E154" s="1076"/>
      <c r="F154" s="1076"/>
      <c r="G154" s="1000"/>
      <c r="H154" s="1094">
        <v>41.12</v>
      </c>
      <c r="I154" s="1117">
        <f>tab!$C$111</f>
        <v>41.48</v>
      </c>
      <c r="J154" s="1117">
        <f t="shared" si="64"/>
        <v>41.48</v>
      </c>
      <c r="K154" s="1117">
        <f t="shared" si="64"/>
        <v>41.48</v>
      </c>
      <c r="L154" s="1117">
        <f t="shared" si="65"/>
        <v>41.48</v>
      </c>
      <c r="M154" s="1117">
        <f t="shared" si="65"/>
        <v>41.48</v>
      </c>
      <c r="N154" s="1117">
        <f t="shared" si="66"/>
        <v>41.48</v>
      </c>
      <c r="O154" s="1117">
        <f t="shared" si="66"/>
        <v>41.48</v>
      </c>
      <c r="P154" s="1000"/>
      <c r="Q154" s="88"/>
    </row>
    <row r="155" spans="2:17" ht="13.15" customHeight="1" x14ac:dyDescent="0.2">
      <c r="B155" s="86"/>
      <c r="C155" s="1000"/>
      <c r="D155" s="1000"/>
      <c r="E155" s="1076"/>
      <c r="F155" s="1076"/>
      <c r="G155" s="1000"/>
      <c r="H155" s="1095"/>
      <c r="I155" s="1076"/>
      <c r="J155" s="1076"/>
      <c r="K155" s="1076"/>
      <c r="L155" s="1076"/>
      <c r="M155" s="1076"/>
      <c r="N155" s="1076"/>
      <c r="O155" s="1076"/>
      <c r="P155" s="1000"/>
      <c r="Q155" s="88"/>
    </row>
    <row r="156" spans="2:17" ht="13.15" customHeight="1" x14ac:dyDescent="0.2">
      <c r="B156" s="86"/>
      <c r="C156" s="1000"/>
      <c r="D156" s="1116" t="s">
        <v>642</v>
      </c>
      <c r="E156" s="1076">
        <v>1</v>
      </c>
      <c r="F156" s="1076" t="s">
        <v>145</v>
      </c>
      <c r="G156" s="1000"/>
      <c r="H156" s="1050">
        <v>0</v>
      </c>
      <c r="I156" s="1065">
        <f t="shared" ref="I156:K162" si="67">+H156</f>
        <v>0</v>
      </c>
      <c r="J156" s="1065">
        <f t="shared" si="67"/>
        <v>0</v>
      </c>
      <c r="K156" s="1065">
        <f t="shared" si="67"/>
        <v>0</v>
      </c>
      <c r="L156" s="1065">
        <f t="shared" ref="L156:M162" si="68">+K156</f>
        <v>0</v>
      </c>
      <c r="M156" s="1065">
        <f t="shared" si="68"/>
        <v>0</v>
      </c>
      <c r="N156" s="1065">
        <f t="shared" ref="N156:O162" si="69">+M156</f>
        <v>0</v>
      </c>
      <c r="O156" s="1065">
        <f t="shared" si="69"/>
        <v>0</v>
      </c>
      <c r="P156" s="1000"/>
      <c r="Q156" s="88"/>
    </row>
    <row r="157" spans="2:17" ht="13.15" customHeight="1" x14ac:dyDescent="0.2">
      <c r="B157" s="86"/>
      <c r="C157" s="1000"/>
      <c r="D157" s="1000"/>
      <c r="E157" s="1076">
        <v>2</v>
      </c>
      <c r="F157" s="1076" t="s">
        <v>145</v>
      </c>
      <c r="G157" s="1000"/>
      <c r="H157" s="1050">
        <v>0</v>
      </c>
      <c r="I157" s="1065">
        <f t="shared" si="67"/>
        <v>0</v>
      </c>
      <c r="J157" s="1065">
        <f t="shared" si="67"/>
        <v>0</v>
      </c>
      <c r="K157" s="1065">
        <f t="shared" si="67"/>
        <v>0</v>
      </c>
      <c r="L157" s="1065">
        <f t="shared" si="68"/>
        <v>0</v>
      </c>
      <c r="M157" s="1065">
        <f t="shared" si="68"/>
        <v>0</v>
      </c>
      <c r="N157" s="1065">
        <f t="shared" si="69"/>
        <v>0</v>
      </c>
      <c r="O157" s="1065">
        <f t="shared" si="69"/>
        <v>0</v>
      </c>
      <c r="P157" s="1000"/>
      <c r="Q157" s="88"/>
    </row>
    <row r="158" spans="2:17" ht="13.15" customHeight="1" x14ac:dyDescent="0.2">
      <c r="B158" s="86"/>
      <c r="C158" s="1000"/>
      <c r="D158" s="1000"/>
      <c r="E158" s="1076">
        <v>3</v>
      </c>
      <c r="F158" s="1076" t="s">
        <v>145</v>
      </c>
      <c r="G158" s="1000"/>
      <c r="H158" s="1050">
        <v>0</v>
      </c>
      <c r="I158" s="1065">
        <f t="shared" si="67"/>
        <v>0</v>
      </c>
      <c r="J158" s="1065">
        <f t="shared" si="67"/>
        <v>0</v>
      </c>
      <c r="K158" s="1065">
        <f t="shared" si="67"/>
        <v>0</v>
      </c>
      <c r="L158" s="1065">
        <f t="shared" si="68"/>
        <v>0</v>
      </c>
      <c r="M158" s="1065">
        <f t="shared" si="68"/>
        <v>0</v>
      </c>
      <c r="N158" s="1065">
        <f t="shared" si="69"/>
        <v>0</v>
      </c>
      <c r="O158" s="1065">
        <f t="shared" si="69"/>
        <v>0</v>
      </c>
      <c r="P158" s="1000"/>
      <c r="Q158" s="88"/>
    </row>
    <row r="159" spans="2:17" ht="13.15" customHeight="1" x14ac:dyDescent="0.2">
      <c r="B159" s="86"/>
      <c r="C159" s="1000"/>
      <c r="D159" s="1000"/>
      <c r="E159" s="1076">
        <v>1</v>
      </c>
      <c r="F159" s="1076" t="s">
        <v>125</v>
      </c>
      <c r="G159" s="1000"/>
      <c r="H159" s="1050">
        <v>0</v>
      </c>
      <c r="I159" s="1065">
        <f t="shared" si="67"/>
        <v>0</v>
      </c>
      <c r="J159" s="1065">
        <f t="shared" si="67"/>
        <v>0</v>
      </c>
      <c r="K159" s="1065">
        <f t="shared" si="67"/>
        <v>0</v>
      </c>
      <c r="L159" s="1065">
        <f t="shared" si="68"/>
        <v>0</v>
      </c>
      <c r="M159" s="1065">
        <f t="shared" si="68"/>
        <v>0</v>
      </c>
      <c r="N159" s="1065">
        <f t="shared" si="69"/>
        <v>0</v>
      </c>
      <c r="O159" s="1065">
        <f t="shared" si="69"/>
        <v>0</v>
      </c>
      <c r="P159" s="1000"/>
      <c r="Q159" s="88"/>
    </row>
    <row r="160" spans="2:17" ht="13.15" customHeight="1" x14ac:dyDescent="0.2">
      <c r="B160" s="86"/>
      <c r="C160" s="1000"/>
      <c r="D160" s="1000"/>
      <c r="E160" s="1076">
        <v>2</v>
      </c>
      <c r="F160" s="1076" t="s">
        <v>125</v>
      </c>
      <c r="G160" s="1000"/>
      <c r="H160" s="1050">
        <v>0</v>
      </c>
      <c r="I160" s="1065">
        <f t="shared" si="67"/>
        <v>0</v>
      </c>
      <c r="J160" s="1065">
        <f t="shared" si="67"/>
        <v>0</v>
      </c>
      <c r="K160" s="1065">
        <f t="shared" si="67"/>
        <v>0</v>
      </c>
      <c r="L160" s="1065">
        <f t="shared" si="68"/>
        <v>0</v>
      </c>
      <c r="M160" s="1065">
        <f t="shared" si="68"/>
        <v>0</v>
      </c>
      <c r="N160" s="1065">
        <f t="shared" si="69"/>
        <v>0</v>
      </c>
      <c r="O160" s="1065">
        <f t="shared" si="69"/>
        <v>0</v>
      </c>
      <c r="P160" s="1000"/>
      <c r="Q160" s="88"/>
    </row>
    <row r="161" spans="2:17" ht="13.15" customHeight="1" x14ac:dyDescent="0.2">
      <c r="B161" s="86"/>
      <c r="C161" s="1000"/>
      <c r="D161" s="1000"/>
      <c r="E161" s="1076">
        <v>3</v>
      </c>
      <c r="F161" s="1076" t="s">
        <v>125</v>
      </c>
      <c r="G161" s="1000"/>
      <c r="H161" s="1050">
        <v>0</v>
      </c>
      <c r="I161" s="1065">
        <f t="shared" si="67"/>
        <v>0</v>
      </c>
      <c r="J161" s="1065">
        <f t="shared" si="67"/>
        <v>0</v>
      </c>
      <c r="K161" s="1065">
        <f t="shared" si="67"/>
        <v>0</v>
      </c>
      <c r="L161" s="1065">
        <f t="shared" si="68"/>
        <v>0</v>
      </c>
      <c r="M161" s="1065">
        <f t="shared" si="68"/>
        <v>0</v>
      </c>
      <c r="N161" s="1065">
        <f t="shared" si="69"/>
        <v>0</v>
      </c>
      <c r="O161" s="1065">
        <f t="shared" si="69"/>
        <v>0</v>
      </c>
      <c r="P161" s="1000"/>
      <c r="Q161" s="88"/>
    </row>
    <row r="162" spans="2:17" ht="13.15" customHeight="1" x14ac:dyDescent="0.2">
      <c r="B162" s="86"/>
      <c r="C162" s="1000"/>
      <c r="D162" s="1085" t="s">
        <v>653</v>
      </c>
      <c r="E162" s="1076"/>
      <c r="F162" s="1076"/>
      <c r="G162" s="1000"/>
      <c r="H162" s="1094">
        <v>41.12</v>
      </c>
      <c r="I162" s="1117">
        <f>tab!$C$111</f>
        <v>41.48</v>
      </c>
      <c r="J162" s="1117">
        <f t="shared" si="67"/>
        <v>41.48</v>
      </c>
      <c r="K162" s="1117">
        <f t="shared" si="67"/>
        <v>41.48</v>
      </c>
      <c r="L162" s="1117">
        <f t="shared" si="68"/>
        <v>41.48</v>
      </c>
      <c r="M162" s="1117">
        <f t="shared" si="68"/>
        <v>41.48</v>
      </c>
      <c r="N162" s="1117">
        <f t="shared" si="69"/>
        <v>41.48</v>
      </c>
      <c r="O162" s="1117">
        <f t="shared" si="69"/>
        <v>41.48</v>
      </c>
      <c r="P162" s="1000"/>
      <c r="Q162" s="88"/>
    </row>
    <row r="163" spans="2:17" ht="13.15" customHeight="1" x14ac:dyDescent="0.2">
      <c r="B163" s="86"/>
      <c r="C163" s="1000"/>
      <c r="D163" s="1000"/>
      <c r="E163" s="1076"/>
      <c r="F163" s="1076"/>
      <c r="G163" s="1000"/>
      <c r="H163" s="1095"/>
      <c r="I163" s="1076"/>
      <c r="J163" s="1076"/>
      <c r="K163" s="1076"/>
      <c r="L163" s="1076"/>
      <c r="M163" s="1076"/>
      <c r="N163" s="1076"/>
      <c r="O163" s="1076"/>
      <c r="P163" s="1000"/>
      <c r="Q163" s="88"/>
    </row>
    <row r="164" spans="2:17" ht="13.15" customHeight="1" x14ac:dyDescent="0.2">
      <c r="B164" s="86"/>
      <c r="C164" s="1000"/>
      <c r="D164" s="1116" t="s">
        <v>643</v>
      </c>
      <c r="E164" s="1076">
        <v>1</v>
      </c>
      <c r="F164" s="1076" t="s">
        <v>145</v>
      </c>
      <c r="G164" s="1000"/>
      <c r="H164" s="1050">
        <v>0</v>
      </c>
      <c r="I164" s="1065">
        <f t="shared" ref="I164:K170" si="70">+H164</f>
        <v>0</v>
      </c>
      <c r="J164" s="1065">
        <f t="shared" si="70"/>
        <v>0</v>
      </c>
      <c r="K164" s="1065">
        <f t="shared" si="70"/>
        <v>0</v>
      </c>
      <c r="L164" s="1065">
        <f t="shared" ref="L164:M170" si="71">+K164</f>
        <v>0</v>
      </c>
      <c r="M164" s="1065">
        <f t="shared" si="71"/>
        <v>0</v>
      </c>
      <c r="N164" s="1065">
        <f t="shared" ref="N164:O170" si="72">+M164</f>
        <v>0</v>
      </c>
      <c r="O164" s="1065">
        <f t="shared" si="72"/>
        <v>0</v>
      </c>
      <c r="P164" s="1000"/>
      <c r="Q164" s="88"/>
    </row>
    <row r="165" spans="2:17" ht="13.15" customHeight="1" x14ac:dyDescent="0.2">
      <c r="B165" s="86"/>
      <c r="C165" s="1000"/>
      <c r="D165" s="1000"/>
      <c r="E165" s="1076">
        <v>2</v>
      </c>
      <c r="F165" s="1076" t="s">
        <v>145</v>
      </c>
      <c r="G165" s="1000"/>
      <c r="H165" s="1050">
        <v>0</v>
      </c>
      <c r="I165" s="1065">
        <f t="shared" si="70"/>
        <v>0</v>
      </c>
      <c r="J165" s="1065">
        <f t="shared" si="70"/>
        <v>0</v>
      </c>
      <c r="K165" s="1065">
        <f t="shared" si="70"/>
        <v>0</v>
      </c>
      <c r="L165" s="1065">
        <f t="shared" si="71"/>
        <v>0</v>
      </c>
      <c r="M165" s="1065">
        <f t="shared" si="71"/>
        <v>0</v>
      </c>
      <c r="N165" s="1065">
        <f t="shared" si="72"/>
        <v>0</v>
      </c>
      <c r="O165" s="1065">
        <f t="shared" si="72"/>
        <v>0</v>
      </c>
      <c r="P165" s="1000"/>
      <c r="Q165" s="88"/>
    </row>
    <row r="166" spans="2:17" ht="13.15" customHeight="1" x14ac:dyDescent="0.2">
      <c r="B166" s="86"/>
      <c r="C166" s="1000"/>
      <c r="D166" s="1000"/>
      <c r="E166" s="1076">
        <v>3</v>
      </c>
      <c r="F166" s="1076" t="s">
        <v>145</v>
      </c>
      <c r="G166" s="1000"/>
      <c r="H166" s="1050">
        <v>0</v>
      </c>
      <c r="I166" s="1065">
        <f t="shared" si="70"/>
        <v>0</v>
      </c>
      <c r="J166" s="1065">
        <f t="shared" si="70"/>
        <v>0</v>
      </c>
      <c r="K166" s="1065">
        <f t="shared" si="70"/>
        <v>0</v>
      </c>
      <c r="L166" s="1065">
        <f t="shared" si="71"/>
        <v>0</v>
      </c>
      <c r="M166" s="1065">
        <f t="shared" si="71"/>
        <v>0</v>
      </c>
      <c r="N166" s="1065">
        <f t="shared" si="72"/>
        <v>0</v>
      </c>
      <c r="O166" s="1065">
        <f t="shared" si="72"/>
        <v>0</v>
      </c>
      <c r="P166" s="1000"/>
      <c r="Q166" s="88"/>
    </row>
    <row r="167" spans="2:17" ht="13.15" customHeight="1" x14ac:dyDescent="0.2">
      <c r="B167" s="86"/>
      <c r="C167" s="1000"/>
      <c r="D167" s="1000"/>
      <c r="E167" s="1076">
        <v>1</v>
      </c>
      <c r="F167" s="1076" t="s">
        <v>125</v>
      </c>
      <c r="G167" s="1000"/>
      <c r="H167" s="1050">
        <v>0</v>
      </c>
      <c r="I167" s="1065">
        <f t="shared" si="70"/>
        <v>0</v>
      </c>
      <c r="J167" s="1065">
        <f t="shared" si="70"/>
        <v>0</v>
      </c>
      <c r="K167" s="1065">
        <f t="shared" si="70"/>
        <v>0</v>
      </c>
      <c r="L167" s="1065">
        <f t="shared" si="71"/>
        <v>0</v>
      </c>
      <c r="M167" s="1065">
        <f t="shared" si="71"/>
        <v>0</v>
      </c>
      <c r="N167" s="1065">
        <f t="shared" si="72"/>
        <v>0</v>
      </c>
      <c r="O167" s="1065">
        <f t="shared" si="72"/>
        <v>0</v>
      </c>
      <c r="P167" s="1000"/>
      <c r="Q167" s="88"/>
    </row>
    <row r="168" spans="2:17" ht="13.15" customHeight="1" x14ac:dyDescent="0.2">
      <c r="B168" s="86"/>
      <c r="C168" s="1000"/>
      <c r="D168" s="1000"/>
      <c r="E168" s="1076">
        <v>2</v>
      </c>
      <c r="F168" s="1076" t="s">
        <v>125</v>
      </c>
      <c r="G168" s="1000"/>
      <c r="H168" s="1050">
        <v>0</v>
      </c>
      <c r="I168" s="1065">
        <f t="shared" si="70"/>
        <v>0</v>
      </c>
      <c r="J168" s="1065">
        <f t="shared" si="70"/>
        <v>0</v>
      </c>
      <c r="K168" s="1065">
        <f t="shared" si="70"/>
        <v>0</v>
      </c>
      <c r="L168" s="1065">
        <f t="shared" si="71"/>
        <v>0</v>
      </c>
      <c r="M168" s="1065">
        <f t="shared" si="71"/>
        <v>0</v>
      </c>
      <c r="N168" s="1065">
        <f t="shared" si="72"/>
        <v>0</v>
      </c>
      <c r="O168" s="1065">
        <f t="shared" si="72"/>
        <v>0</v>
      </c>
      <c r="P168" s="1000"/>
      <c r="Q168" s="88"/>
    </row>
    <row r="169" spans="2:17" ht="13.15" customHeight="1" x14ac:dyDescent="0.2">
      <c r="B169" s="86"/>
      <c r="C169" s="1000"/>
      <c r="D169" s="1000"/>
      <c r="E169" s="1076">
        <v>3</v>
      </c>
      <c r="F169" s="1076" t="s">
        <v>125</v>
      </c>
      <c r="G169" s="1000"/>
      <c r="H169" s="1050">
        <v>0</v>
      </c>
      <c r="I169" s="1065">
        <f t="shared" si="70"/>
        <v>0</v>
      </c>
      <c r="J169" s="1065">
        <f t="shared" si="70"/>
        <v>0</v>
      </c>
      <c r="K169" s="1065">
        <f t="shared" si="70"/>
        <v>0</v>
      </c>
      <c r="L169" s="1065">
        <f t="shared" si="71"/>
        <v>0</v>
      </c>
      <c r="M169" s="1065">
        <f t="shared" si="71"/>
        <v>0</v>
      </c>
      <c r="N169" s="1065">
        <f t="shared" si="72"/>
        <v>0</v>
      </c>
      <c r="O169" s="1065">
        <f t="shared" si="72"/>
        <v>0</v>
      </c>
      <c r="P169" s="1000"/>
      <c r="Q169" s="88"/>
    </row>
    <row r="170" spans="2:17" ht="13.15" customHeight="1" x14ac:dyDescent="0.2">
      <c r="B170" s="86"/>
      <c r="C170" s="1000"/>
      <c r="D170" s="1085" t="s">
        <v>653</v>
      </c>
      <c r="E170" s="1076"/>
      <c r="F170" s="1076"/>
      <c r="G170" s="1000"/>
      <c r="H170" s="1094">
        <v>41.12</v>
      </c>
      <c r="I170" s="1117">
        <f>tab!$C$111</f>
        <v>41.48</v>
      </c>
      <c r="J170" s="1117">
        <f t="shared" si="70"/>
        <v>41.48</v>
      </c>
      <c r="K170" s="1117">
        <f t="shared" si="70"/>
        <v>41.48</v>
      </c>
      <c r="L170" s="1117">
        <f t="shared" si="71"/>
        <v>41.48</v>
      </c>
      <c r="M170" s="1117">
        <f t="shared" si="71"/>
        <v>41.48</v>
      </c>
      <c r="N170" s="1117">
        <f t="shared" si="72"/>
        <v>41.48</v>
      </c>
      <c r="O170" s="1117">
        <f t="shared" si="72"/>
        <v>41.48</v>
      </c>
      <c r="P170" s="1000"/>
      <c r="Q170" s="88"/>
    </row>
    <row r="171" spans="2:17" ht="13.15" customHeight="1" x14ac:dyDescent="0.2">
      <c r="B171" s="86"/>
      <c r="C171" s="1000"/>
      <c r="D171" s="1000"/>
      <c r="E171" s="1076"/>
      <c r="F171" s="1076"/>
      <c r="G171" s="1000"/>
      <c r="H171" s="1095"/>
      <c r="I171" s="1076"/>
      <c r="J171" s="1076"/>
      <c r="K171" s="1076"/>
      <c r="L171" s="1076"/>
      <c r="M171" s="1076"/>
      <c r="N171" s="1076"/>
      <c r="O171" s="1076"/>
      <c r="P171" s="1000"/>
      <c r="Q171" s="88"/>
    </row>
    <row r="172" spans="2:17" ht="13.15" customHeight="1" x14ac:dyDescent="0.2">
      <c r="B172" s="86"/>
      <c r="C172" s="478"/>
      <c r="D172" s="478"/>
      <c r="E172" s="606"/>
      <c r="F172" s="606"/>
      <c r="G172" s="478"/>
      <c r="H172" s="619"/>
      <c r="I172" s="606"/>
      <c r="J172" s="606"/>
      <c r="K172" s="606"/>
      <c r="L172" s="606"/>
      <c r="M172" s="606"/>
      <c r="N172" s="606"/>
      <c r="O172" s="606"/>
      <c r="P172" s="478"/>
      <c r="Q172" s="517"/>
    </row>
    <row r="173" spans="2:17" ht="13.15" customHeight="1" x14ac:dyDescent="0.2">
      <c r="B173" s="96"/>
      <c r="C173" s="495"/>
      <c r="D173" s="495"/>
      <c r="E173" s="616"/>
      <c r="F173" s="616"/>
      <c r="G173" s="495"/>
      <c r="H173" s="620"/>
      <c r="I173" s="616"/>
      <c r="J173" s="616"/>
      <c r="K173" s="616"/>
      <c r="L173" s="616"/>
      <c r="M173" s="616"/>
      <c r="N173" s="616"/>
      <c r="O173" s="616"/>
      <c r="P173" s="495"/>
      <c r="Q173" s="95"/>
    </row>
    <row r="174" spans="2:17" ht="13.15" customHeight="1" x14ac:dyDescent="0.2">
      <c r="B174" s="82"/>
      <c r="C174" s="621"/>
      <c r="D174" s="621"/>
      <c r="E174" s="622"/>
      <c r="F174" s="622"/>
      <c r="G174" s="621"/>
      <c r="H174" s="623"/>
      <c r="I174" s="622"/>
      <c r="J174" s="622"/>
      <c r="K174" s="622"/>
      <c r="L174" s="622"/>
      <c r="M174" s="622"/>
      <c r="N174" s="622"/>
      <c r="O174" s="622"/>
      <c r="P174" s="621"/>
      <c r="Q174" s="603"/>
    </row>
    <row r="175" spans="2:17" ht="13.15" customHeight="1" x14ac:dyDescent="0.2">
      <c r="B175" s="86"/>
      <c r="C175" s="478"/>
      <c r="D175" s="478"/>
      <c r="E175" s="606"/>
      <c r="F175" s="606"/>
      <c r="G175" s="478"/>
      <c r="H175" s="619"/>
      <c r="I175" s="606"/>
      <c r="J175" s="606"/>
      <c r="K175" s="606"/>
      <c r="L175" s="606"/>
      <c r="M175" s="606"/>
      <c r="N175" s="606"/>
      <c r="O175" s="606"/>
      <c r="P175" s="478"/>
      <c r="Q175" s="517"/>
    </row>
    <row r="176" spans="2:17" ht="13.15" customHeight="1" x14ac:dyDescent="0.2">
      <c r="B176" s="86"/>
      <c r="C176" s="478"/>
      <c r="D176" s="478"/>
      <c r="E176" s="606"/>
      <c r="F176" s="606"/>
      <c r="G176" s="478"/>
      <c r="H176" s="619"/>
      <c r="I176" s="606"/>
      <c r="J176" s="606"/>
      <c r="K176" s="606"/>
      <c r="L176" s="606"/>
      <c r="M176" s="606"/>
      <c r="N176" s="606"/>
      <c r="O176" s="606"/>
      <c r="P176" s="478"/>
      <c r="Q176" s="517"/>
    </row>
    <row r="177" spans="2:17" ht="13.15" customHeight="1" x14ac:dyDescent="0.2">
      <c r="B177" s="86"/>
      <c r="C177" s="478"/>
      <c r="D177" s="478"/>
      <c r="E177" s="606"/>
      <c r="F177" s="606"/>
      <c r="G177" s="478"/>
      <c r="H177" s="662" t="e">
        <f t="shared" ref="H177:O177" si="73">+H16</f>
        <v>#REF!</v>
      </c>
      <c r="I177" s="662" t="str">
        <f t="shared" si="73"/>
        <v>2015/16</v>
      </c>
      <c r="J177" s="662" t="str">
        <f t="shared" si="73"/>
        <v>2016/17</v>
      </c>
      <c r="K177" s="662" t="str">
        <f t="shared" si="73"/>
        <v>2017/18</v>
      </c>
      <c r="L177" s="662" t="str">
        <f t="shared" si="73"/>
        <v>2018/19</v>
      </c>
      <c r="M177" s="662" t="str">
        <f t="shared" si="73"/>
        <v>2019/20</v>
      </c>
      <c r="N177" s="662" t="str">
        <f t="shared" si="73"/>
        <v>2020/21</v>
      </c>
      <c r="O177" s="662" t="str">
        <f t="shared" si="73"/>
        <v>2021/22</v>
      </c>
      <c r="P177" s="478"/>
      <c r="Q177" s="517"/>
    </row>
    <row r="178" spans="2:17" ht="13.15" customHeight="1" x14ac:dyDescent="0.2">
      <c r="B178" s="86"/>
      <c r="C178" s="478"/>
      <c r="D178" s="478"/>
      <c r="E178" s="606"/>
      <c r="F178" s="606"/>
      <c r="G178" s="478"/>
      <c r="H178" s="619"/>
      <c r="I178" s="606"/>
      <c r="J178" s="606"/>
      <c r="K178" s="606"/>
      <c r="L178" s="606"/>
      <c r="M178" s="606"/>
      <c r="N178" s="606"/>
      <c r="O178" s="606"/>
      <c r="P178" s="478"/>
      <c r="Q178" s="517"/>
    </row>
    <row r="179" spans="2:17" ht="13.15" customHeight="1" x14ac:dyDescent="0.2">
      <c r="B179" s="86"/>
      <c r="C179" s="1000"/>
      <c r="D179" s="1000"/>
      <c r="E179" s="1076"/>
      <c r="F179" s="1076"/>
      <c r="G179" s="1000"/>
      <c r="H179" s="1095"/>
      <c r="I179" s="1076"/>
      <c r="J179" s="1076"/>
      <c r="K179" s="1076"/>
      <c r="L179" s="1076"/>
      <c r="M179" s="1076"/>
      <c r="N179" s="1076"/>
      <c r="O179" s="1076"/>
      <c r="P179" s="1000"/>
      <c r="Q179" s="517"/>
    </row>
    <row r="180" spans="2:17" ht="13.15" customHeight="1" x14ac:dyDescent="0.2">
      <c r="B180" s="86"/>
      <c r="C180" s="1000"/>
      <c r="D180" s="1116" t="s">
        <v>126</v>
      </c>
      <c r="E180" s="1076">
        <v>1</v>
      </c>
      <c r="F180" s="1076" t="s">
        <v>145</v>
      </c>
      <c r="G180" s="1000"/>
      <c r="H180" s="1050">
        <v>0</v>
      </c>
      <c r="I180" s="1065">
        <f t="shared" ref="I180:K186" si="74">+H180</f>
        <v>0</v>
      </c>
      <c r="J180" s="1065">
        <f t="shared" si="74"/>
        <v>0</v>
      </c>
      <c r="K180" s="1065">
        <f t="shared" si="74"/>
        <v>0</v>
      </c>
      <c r="L180" s="1065">
        <f t="shared" ref="L180:M186" si="75">+K180</f>
        <v>0</v>
      </c>
      <c r="M180" s="1065">
        <f t="shared" si="75"/>
        <v>0</v>
      </c>
      <c r="N180" s="1065">
        <f t="shared" ref="N180:O186" si="76">+M180</f>
        <v>0</v>
      </c>
      <c r="O180" s="1065">
        <f t="shared" si="76"/>
        <v>0</v>
      </c>
      <c r="P180" s="1000"/>
      <c r="Q180" s="88"/>
    </row>
    <row r="181" spans="2:17" ht="13.15" customHeight="1" x14ac:dyDescent="0.2">
      <c r="B181" s="86"/>
      <c r="C181" s="1000"/>
      <c r="D181" s="1000"/>
      <c r="E181" s="1076">
        <v>2</v>
      </c>
      <c r="F181" s="1076" t="s">
        <v>145</v>
      </c>
      <c r="G181" s="1000"/>
      <c r="H181" s="1050">
        <v>0</v>
      </c>
      <c r="I181" s="1065">
        <f t="shared" si="74"/>
        <v>0</v>
      </c>
      <c r="J181" s="1065">
        <f t="shared" si="74"/>
        <v>0</v>
      </c>
      <c r="K181" s="1065">
        <f t="shared" si="74"/>
        <v>0</v>
      </c>
      <c r="L181" s="1065">
        <f t="shared" si="75"/>
        <v>0</v>
      </c>
      <c r="M181" s="1065">
        <f t="shared" si="75"/>
        <v>0</v>
      </c>
      <c r="N181" s="1065">
        <f t="shared" si="76"/>
        <v>0</v>
      </c>
      <c r="O181" s="1065">
        <f t="shared" si="76"/>
        <v>0</v>
      </c>
      <c r="P181" s="1000"/>
      <c r="Q181" s="88"/>
    </row>
    <row r="182" spans="2:17" ht="13.15" customHeight="1" x14ac:dyDescent="0.2">
      <c r="B182" s="86"/>
      <c r="C182" s="1000"/>
      <c r="D182" s="1000"/>
      <c r="E182" s="1076">
        <v>3</v>
      </c>
      <c r="F182" s="1076" t="s">
        <v>145</v>
      </c>
      <c r="G182" s="1000"/>
      <c r="H182" s="1050">
        <v>0</v>
      </c>
      <c r="I182" s="1065">
        <f t="shared" si="74"/>
        <v>0</v>
      </c>
      <c r="J182" s="1065">
        <f t="shared" si="74"/>
        <v>0</v>
      </c>
      <c r="K182" s="1065">
        <f t="shared" si="74"/>
        <v>0</v>
      </c>
      <c r="L182" s="1065">
        <f t="shared" si="75"/>
        <v>0</v>
      </c>
      <c r="M182" s="1065">
        <f t="shared" si="75"/>
        <v>0</v>
      </c>
      <c r="N182" s="1065">
        <f t="shared" si="76"/>
        <v>0</v>
      </c>
      <c r="O182" s="1065">
        <f t="shared" si="76"/>
        <v>0</v>
      </c>
      <c r="P182" s="1000"/>
      <c r="Q182" s="88"/>
    </row>
    <row r="183" spans="2:17" ht="13.15" customHeight="1" x14ac:dyDescent="0.2">
      <c r="B183" s="86"/>
      <c r="C183" s="1000"/>
      <c r="D183" s="1000"/>
      <c r="E183" s="1076">
        <v>1</v>
      </c>
      <c r="F183" s="1076" t="s">
        <v>125</v>
      </c>
      <c r="G183" s="1000"/>
      <c r="H183" s="1050">
        <v>0</v>
      </c>
      <c r="I183" s="1065">
        <f t="shared" si="74"/>
        <v>0</v>
      </c>
      <c r="J183" s="1065">
        <f t="shared" si="74"/>
        <v>0</v>
      </c>
      <c r="K183" s="1065">
        <f t="shared" si="74"/>
        <v>0</v>
      </c>
      <c r="L183" s="1065">
        <f t="shared" si="75"/>
        <v>0</v>
      </c>
      <c r="M183" s="1065">
        <f t="shared" si="75"/>
        <v>0</v>
      </c>
      <c r="N183" s="1065">
        <f t="shared" si="76"/>
        <v>0</v>
      </c>
      <c r="O183" s="1065">
        <f t="shared" si="76"/>
        <v>0</v>
      </c>
      <c r="P183" s="1000"/>
      <c r="Q183" s="88"/>
    </row>
    <row r="184" spans="2:17" ht="13.15" customHeight="1" x14ac:dyDescent="0.2">
      <c r="B184" s="86"/>
      <c r="C184" s="1000"/>
      <c r="D184" s="1000"/>
      <c r="E184" s="1076">
        <v>2</v>
      </c>
      <c r="F184" s="1076" t="s">
        <v>125</v>
      </c>
      <c r="G184" s="1000"/>
      <c r="H184" s="1050">
        <v>0</v>
      </c>
      <c r="I184" s="1065">
        <f t="shared" si="74"/>
        <v>0</v>
      </c>
      <c r="J184" s="1065">
        <f t="shared" si="74"/>
        <v>0</v>
      </c>
      <c r="K184" s="1065">
        <f t="shared" si="74"/>
        <v>0</v>
      </c>
      <c r="L184" s="1065">
        <f t="shared" si="75"/>
        <v>0</v>
      </c>
      <c r="M184" s="1065">
        <f t="shared" si="75"/>
        <v>0</v>
      </c>
      <c r="N184" s="1065">
        <f t="shared" si="76"/>
        <v>0</v>
      </c>
      <c r="O184" s="1065">
        <f t="shared" si="76"/>
        <v>0</v>
      </c>
      <c r="P184" s="1000"/>
      <c r="Q184" s="88"/>
    </row>
    <row r="185" spans="2:17" ht="13.15" customHeight="1" x14ac:dyDescent="0.2">
      <c r="B185" s="86"/>
      <c r="C185" s="1000"/>
      <c r="D185" s="1000"/>
      <c r="E185" s="1076">
        <v>3</v>
      </c>
      <c r="F185" s="1076" t="s">
        <v>125</v>
      </c>
      <c r="G185" s="1000"/>
      <c r="H185" s="1050">
        <v>0</v>
      </c>
      <c r="I185" s="1065">
        <f t="shared" si="74"/>
        <v>0</v>
      </c>
      <c r="J185" s="1065">
        <f t="shared" si="74"/>
        <v>0</v>
      </c>
      <c r="K185" s="1065">
        <f t="shared" si="74"/>
        <v>0</v>
      </c>
      <c r="L185" s="1065">
        <f t="shared" si="75"/>
        <v>0</v>
      </c>
      <c r="M185" s="1065">
        <f t="shared" si="75"/>
        <v>0</v>
      </c>
      <c r="N185" s="1065">
        <f t="shared" si="76"/>
        <v>0</v>
      </c>
      <c r="O185" s="1065">
        <f t="shared" si="76"/>
        <v>0</v>
      </c>
      <c r="P185" s="1000"/>
      <c r="Q185" s="88"/>
    </row>
    <row r="186" spans="2:17" ht="13.15" customHeight="1" x14ac:dyDescent="0.2">
      <c r="B186" s="86"/>
      <c r="C186" s="1000"/>
      <c r="D186" s="1085" t="s">
        <v>653</v>
      </c>
      <c r="E186" s="1076"/>
      <c r="F186" s="1076"/>
      <c r="G186" s="1000"/>
      <c r="H186" s="1094">
        <v>41.12</v>
      </c>
      <c r="I186" s="1117">
        <f>tab!$C$111</f>
        <v>41.48</v>
      </c>
      <c r="J186" s="1117">
        <f t="shared" si="74"/>
        <v>41.48</v>
      </c>
      <c r="K186" s="1117">
        <f t="shared" si="74"/>
        <v>41.48</v>
      </c>
      <c r="L186" s="1117">
        <f t="shared" si="75"/>
        <v>41.48</v>
      </c>
      <c r="M186" s="1117">
        <f t="shared" si="75"/>
        <v>41.48</v>
      </c>
      <c r="N186" s="1117">
        <f t="shared" si="76"/>
        <v>41.48</v>
      </c>
      <c r="O186" s="1117">
        <f t="shared" si="76"/>
        <v>41.48</v>
      </c>
      <c r="P186" s="1000"/>
      <c r="Q186" s="88"/>
    </row>
    <row r="187" spans="2:17" ht="13.15" customHeight="1" x14ac:dyDescent="0.2">
      <c r="B187" s="86"/>
      <c r="C187" s="1000"/>
      <c r="D187" s="1000"/>
      <c r="E187" s="1076"/>
      <c r="F187" s="1076"/>
      <c r="G187" s="1000"/>
      <c r="H187" s="1095"/>
      <c r="I187" s="1076"/>
      <c r="J187" s="1076"/>
      <c r="K187" s="1076"/>
      <c r="L187" s="1076"/>
      <c r="M187" s="1076"/>
      <c r="N187" s="1076"/>
      <c r="O187" s="1076"/>
      <c r="P187" s="1000"/>
      <c r="Q187" s="88"/>
    </row>
    <row r="188" spans="2:17" ht="13.15" customHeight="1" x14ac:dyDescent="0.2">
      <c r="B188" s="86"/>
      <c r="C188" s="1000"/>
      <c r="D188" s="1116" t="s">
        <v>127</v>
      </c>
      <c r="E188" s="1076">
        <v>1</v>
      </c>
      <c r="F188" s="1076" t="s">
        <v>145</v>
      </c>
      <c r="G188" s="1000"/>
      <c r="H188" s="1050">
        <v>0</v>
      </c>
      <c r="I188" s="1065">
        <f t="shared" ref="I188:K194" si="77">+H188</f>
        <v>0</v>
      </c>
      <c r="J188" s="1065">
        <f t="shared" si="77"/>
        <v>0</v>
      </c>
      <c r="K188" s="1065">
        <f t="shared" si="77"/>
        <v>0</v>
      </c>
      <c r="L188" s="1065">
        <f t="shared" ref="L188:M194" si="78">+K188</f>
        <v>0</v>
      </c>
      <c r="M188" s="1065">
        <f t="shared" si="78"/>
        <v>0</v>
      </c>
      <c r="N188" s="1065">
        <f t="shared" ref="N188:O194" si="79">+M188</f>
        <v>0</v>
      </c>
      <c r="O188" s="1065">
        <f t="shared" si="79"/>
        <v>0</v>
      </c>
      <c r="P188" s="1000"/>
      <c r="Q188" s="88"/>
    </row>
    <row r="189" spans="2:17" ht="13.15" customHeight="1" x14ac:dyDescent="0.2">
      <c r="B189" s="86"/>
      <c r="C189" s="1000"/>
      <c r="D189" s="1000"/>
      <c r="E189" s="1076">
        <v>2</v>
      </c>
      <c r="F189" s="1076" t="s">
        <v>145</v>
      </c>
      <c r="G189" s="1000"/>
      <c r="H189" s="1050">
        <v>0</v>
      </c>
      <c r="I189" s="1065">
        <f t="shared" si="77"/>
        <v>0</v>
      </c>
      <c r="J189" s="1065">
        <f t="shared" si="77"/>
        <v>0</v>
      </c>
      <c r="K189" s="1065">
        <f t="shared" si="77"/>
        <v>0</v>
      </c>
      <c r="L189" s="1065">
        <f t="shared" si="78"/>
        <v>0</v>
      </c>
      <c r="M189" s="1065">
        <f t="shared" si="78"/>
        <v>0</v>
      </c>
      <c r="N189" s="1065">
        <f t="shared" si="79"/>
        <v>0</v>
      </c>
      <c r="O189" s="1065">
        <f t="shared" si="79"/>
        <v>0</v>
      </c>
      <c r="P189" s="1000"/>
      <c r="Q189" s="88"/>
    </row>
    <row r="190" spans="2:17" ht="13.15" customHeight="1" x14ac:dyDescent="0.2">
      <c r="B190" s="86"/>
      <c r="C190" s="1000"/>
      <c r="D190" s="1000"/>
      <c r="E190" s="1076">
        <v>3</v>
      </c>
      <c r="F190" s="1076" t="s">
        <v>145</v>
      </c>
      <c r="G190" s="1000"/>
      <c r="H190" s="1050">
        <v>0</v>
      </c>
      <c r="I190" s="1065">
        <f t="shared" si="77"/>
        <v>0</v>
      </c>
      <c r="J190" s="1065">
        <f t="shared" si="77"/>
        <v>0</v>
      </c>
      <c r="K190" s="1065">
        <f t="shared" si="77"/>
        <v>0</v>
      </c>
      <c r="L190" s="1065">
        <f t="shared" si="78"/>
        <v>0</v>
      </c>
      <c r="M190" s="1065">
        <f t="shared" si="78"/>
        <v>0</v>
      </c>
      <c r="N190" s="1065">
        <f t="shared" si="79"/>
        <v>0</v>
      </c>
      <c r="O190" s="1065">
        <f t="shared" si="79"/>
        <v>0</v>
      </c>
      <c r="P190" s="1000"/>
      <c r="Q190" s="88"/>
    </row>
    <row r="191" spans="2:17" ht="13.15" customHeight="1" x14ac:dyDescent="0.2">
      <c r="B191" s="86"/>
      <c r="C191" s="1000"/>
      <c r="D191" s="1000"/>
      <c r="E191" s="1076">
        <v>1</v>
      </c>
      <c r="F191" s="1076" t="s">
        <v>125</v>
      </c>
      <c r="G191" s="1000"/>
      <c r="H191" s="1050">
        <v>0</v>
      </c>
      <c r="I191" s="1065">
        <f t="shared" si="77"/>
        <v>0</v>
      </c>
      <c r="J191" s="1065">
        <f t="shared" si="77"/>
        <v>0</v>
      </c>
      <c r="K191" s="1065">
        <f t="shared" si="77"/>
        <v>0</v>
      </c>
      <c r="L191" s="1065">
        <f t="shared" si="78"/>
        <v>0</v>
      </c>
      <c r="M191" s="1065">
        <f t="shared" si="78"/>
        <v>0</v>
      </c>
      <c r="N191" s="1065">
        <f t="shared" si="79"/>
        <v>0</v>
      </c>
      <c r="O191" s="1065">
        <f t="shared" si="79"/>
        <v>0</v>
      </c>
      <c r="P191" s="1000"/>
      <c r="Q191" s="88"/>
    </row>
    <row r="192" spans="2:17" ht="13.15" customHeight="1" x14ac:dyDescent="0.2">
      <c r="B192" s="86"/>
      <c r="C192" s="1000"/>
      <c r="D192" s="1000"/>
      <c r="E192" s="1076">
        <v>2</v>
      </c>
      <c r="F192" s="1076" t="s">
        <v>125</v>
      </c>
      <c r="G192" s="1000"/>
      <c r="H192" s="1050">
        <v>0</v>
      </c>
      <c r="I192" s="1065">
        <f t="shared" si="77"/>
        <v>0</v>
      </c>
      <c r="J192" s="1065">
        <f t="shared" si="77"/>
        <v>0</v>
      </c>
      <c r="K192" s="1065">
        <f t="shared" si="77"/>
        <v>0</v>
      </c>
      <c r="L192" s="1065">
        <f t="shared" si="78"/>
        <v>0</v>
      </c>
      <c r="M192" s="1065">
        <f t="shared" si="78"/>
        <v>0</v>
      </c>
      <c r="N192" s="1065">
        <f t="shared" si="79"/>
        <v>0</v>
      </c>
      <c r="O192" s="1065">
        <f t="shared" si="79"/>
        <v>0</v>
      </c>
      <c r="P192" s="1000"/>
      <c r="Q192" s="88"/>
    </row>
    <row r="193" spans="2:17" ht="13.15" customHeight="1" x14ac:dyDescent="0.2">
      <c r="B193" s="86"/>
      <c r="C193" s="1000"/>
      <c r="D193" s="1000"/>
      <c r="E193" s="1076">
        <v>3</v>
      </c>
      <c r="F193" s="1076" t="s">
        <v>125</v>
      </c>
      <c r="G193" s="1000"/>
      <c r="H193" s="1050">
        <v>0</v>
      </c>
      <c r="I193" s="1065">
        <f t="shared" si="77"/>
        <v>0</v>
      </c>
      <c r="J193" s="1065">
        <f t="shared" si="77"/>
        <v>0</v>
      </c>
      <c r="K193" s="1065">
        <f t="shared" si="77"/>
        <v>0</v>
      </c>
      <c r="L193" s="1065">
        <f t="shared" si="78"/>
        <v>0</v>
      </c>
      <c r="M193" s="1065">
        <f t="shared" si="78"/>
        <v>0</v>
      </c>
      <c r="N193" s="1065">
        <f t="shared" si="79"/>
        <v>0</v>
      </c>
      <c r="O193" s="1065">
        <f t="shared" si="79"/>
        <v>0</v>
      </c>
      <c r="P193" s="1000"/>
      <c r="Q193" s="88"/>
    </row>
    <row r="194" spans="2:17" ht="13.15" customHeight="1" x14ac:dyDescent="0.2">
      <c r="B194" s="86"/>
      <c r="C194" s="1000"/>
      <c r="D194" s="1085" t="s">
        <v>653</v>
      </c>
      <c r="E194" s="1076"/>
      <c r="F194" s="1076"/>
      <c r="G194" s="1000"/>
      <c r="H194" s="1094">
        <v>41.12</v>
      </c>
      <c r="I194" s="1117">
        <f>tab!$C$111</f>
        <v>41.48</v>
      </c>
      <c r="J194" s="1117">
        <f t="shared" si="77"/>
        <v>41.48</v>
      </c>
      <c r="K194" s="1117">
        <f t="shared" si="77"/>
        <v>41.48</v>
      </c>
      <c r="L194" s="1117">
        <f t="shared" si="78"/>
        <v>41.48</v>
      </c>
      <c r="M194" s="1117">
        <f t="shared" si="78"/>
        <v>41.48</v>
      </c>
      <c r="N194" s="1117">
        <f t="shared" si="79"/>
        <v>41.48</v>
      </c>
      <c r="O194" s="1117">
        <f t="shared" si="79"/>
        <v>41.48</v>
      </c>
      <c r="P194" s="1000"/>
      <c r="Q194" s="88"/>
    </row>
    <row r="195" spans="2:17" ht="13.15" customHeight="1" x14ac:dyDescent="0.2">
      <c r="B195" s="86"/>
      <c r="C195" s="1000"/>
      <c r="D195" s="1000"/>
      <c r="E195" s="1076"/>
      <c r="F195" s="1076"/>
      <c r="G195" s="1000"/>
      <c r="H195" s="1095"/>
      <c r="I195" s="1076"/>
      <c r="J195" s="1076"/>
      <c r="K195" s="1076"/>
      <c r="L195" s="1076"/>
      <c r="M195" s="1076"/>
      <c r="N195" s="1076"/>
      <c r="O195" s="1076"/>
      <c r="P195" s="1000"/>
      <c r="Q195" s="88"/>
    </row>
    <row r="196" spans="2:17" ht="13.15" customHeight="1" x14ac:dyDescent="0.2">
      <c r="B196" s="86"/>
      <c r="C196" s="1000"/>
      <c r="D196" s="1116" t="s">
        <v>128</v>
      </c>
      <c r="E196" s="1076">
        <v>1</v>
      </c>
      <c r="F196" s="1076" t="s">
        <v>145</v>
      </c>
      <c r="G196" s="1000"/>
      <c r="H196" s="1050">
        <v>0</v>
      </c>
      <c r="I196" s="1065">
        <f t="shared" ref="I196:K202" si="80">+H196</f>
        <v>0</v>
      </c>
      <c r="J196" s="1065">
        <f t="shared" si="80"/>
        <v>0</v>
      </c>
      <c r="K196" s="1065">
        <f t="shared" si="80"/>
        <v>0</v>
      </c>
      <c r="L196" s="1065">
        <f t="shared" ref="L196:M202" si="81">+K196</f>
        <v>0</v>
      </c>
      <c r="M196" s="1065">
        <f t="shared" si="81"/>
        <v>0</v>
      </c>
      <c r="N196" s="1065">
        <f t="shared" ref="N196:O202" si="82">+M196</f>
        <v>0</v>
      </c>
      <c r="O196" s="1065">
        <f t="shared" si="82"/>
        <v>0</v>
      </c>
      <c r="P196" s="1000"/>
      <c r="Q196" s="88"/>
    </row>
    <row r="197" spans="2:17" ht="13.15" customHeight="1" x14ac:dyDescent="0.2">
      <c r="B197" s="86"/>
      <c r="C197" s="1000"/>
      <c r="D197" s="1000"/>
      <c r="E197" s="1076">
        <v>2</v>
      </c>
      <c r="F197" s="1076" t="s">
        <v>145</v>
      </c>
      <c r="G197" s="1000"/>
      <c r="H197" s="1050">
        <v>0</v>
      </c>
      <c r="I197" s="1065">
        <f t="shared" si="80"/>
        <v>0</v>
      </c>
      <c r="J197" s="1065">
        <f t="shared" si="80"/>
        <v>0</v>
      </c>
      <c r="K197" s="1065">
        <f t="shared" si="80"/>
        <v>0</v>
      </c>
      <c r="L197" s="1065">
        <f t="shared" si="81"/>
        <v>0</v>
      </c>
      <c r="M197" s="1065">
        <f t="shared" si="81"/>
        <v>0</v>
      </c>
      <c r="N197" s="1065">
        <f t="shared" si="82"/>
        <v>0</v>
      </c>
      <c r="O197" s="1065">
        <f t="shared" si="82"/>
        <v>0</v>
      </c>
      <c r="P197" s="1000"/>
      <c r="Q197" s="88"/>
    </row>
    <row r="198" spans="2:17" ht="13.15" customHeight="1" x14ac:dyDescent="0.2">
      <c r="B198" s="86"/>
      <c r="C198" s="1000"/>
      <c r="D198" s="1000"/>
      <c r="E198" s="1076">
        <v>3</v>
      </c>
      <c r="F198" s="1076" t="s">
        <v>145</v>
      </c>
      <c r="G198" s="1000"/>
      <c r="H198" s="1050">
        <v>0</v>
      </c>
      <c r="I198" s="1065">
        <f t="shared" si="80"/>
        <v>0</v>
      </c>
      <c r="J198" s="1065">
        <f t="shared" si="80"/>
        <v>0</v>
      </c>
      <c r="K198" s="1065">
        <f t="shared" si="80"/>
        <v>0</v>
      </c>
      <c r="L198" s="1065">
        <f t="shared" si="81"/>
        <v>0</v>
      </c>
      <c r="M198" s="1065">
        <f t="shared" si="81"/>
        <v>0</v>
      </c>
      <c r="N198" s="1065">
        <f t="shared" si="82"/>
        <v>0</v>
      </c>
      <c r="O198" s="1065">
        <f t="shared" si="82"/>
        <v>0</v>
      </c>
      <c r="P198" s="1000"/>
      <c r="Q198" s="88"/>
    </row>
    <row r="199" spans="2:17" ht="13.15" customHeight="1" x14ac:dyDescent="0.2">
      <c r="B199" s="86"/>
      <c r="C199" s="1000"/>
      <c r="D199" s="1000"/>
      <c r="E199" s="1076">
        <v>1</v>
      </c>
      <c r="F199" s="1076" t="s">
        <v>125</v>
      </c>
      <c r="G199" s="1000"/>
      <c r="H199" s="1050">
        <v>0</v>
      </c>
      <c r="I199" s="1065">
        <f t="shared" si="80"/>
        <v>0</v>
      </c>
      <c r="J199" s="1065">
        <f t="shared" si="80"/>
        <v>0</v>
      </c>
      <c r="K199" s="1065">
        <f t="shared" si="80"/>
        <v>0</v>
      </c>
      <c r="L199" s="1065">
        <f t="shared" si="81"/>
        <v>0</v>
      </c>
      <c r="M199" s="1065">
        <f t="shared" si="81"/>
        <v>0</v>
      </c>
      <c r="N199" s="1065">
        <f t="shared" si="82"/>
        <v>0</v>
      </c>
      <c r="O199" s="1065">
        <f t="shared" si="82"/>
        <v>0</v>
      </c>
      <c r="P199" s="1000"/>
      <c r="Q199" s="88"/>
    </row>
    <row r="200" spans="2:17" ht="13.15" customHeight="1" x14ac:dyDescent="0.2">
      <c r="B200" s="86"/>
      <c r="C200" s="1000"/>
      <c r="D200" s="1000"/>
      <c r="E200" s="1076">
        <v>2</v>
      </c>
      <c r="F200" s="1076" t="s">
        <v>125</v>
      </c>
      <c r="G200" s="1000"/>
      <c r="H200" s="1050">
        <v>0</v>
      </c>
      <c r="I200" s="1065">
        <f t="shared" si="80"/>
        <v>0</v>
      </c>
      <c r="J200" s="1065">
        <f t="shared" si="80"/>
        <v>0</v>
      </c>
      <c r="K200" s="1065">
        <f t="shared" si="80"/>
        <v>0</v>
      </c>
      <c r="L200" s="1065">
        <f t="shared" si="81"/>
        <v>0</v>
      </c>
      <c r="M200" s="1065">
        <f t="shared" si="81"/>
        <v>0</v>
      </c>
      <c r="N200" s="1065">
        <f t="shared" si="82"/>
        <v>0</v>
      </c>
      <c r="O200" s="1065">
        <f t="shared" si="82"/>
        <v>0</v>
      </c>
      <c r="P200" s="1000"/>
      <c r="Q200" s="88"/>
    </row>
    <row r="201" spans="2:17" ht="13.15" customHeight="1" x14ac:dyDescent="0.2">
      <c r="B201" s="86"/>
      <c r="C201" s="1000"/>
      <c r="D201" s="1000"/>
      <c r="E201" s="1076">
        <v>3</v>
      </c>
      <c r="F201" s="1076" t="s">
        <v>125</v>
      </c>
      <c r="G201" s="1000"/>
      <c r="H201" s="1050">
        <v>0</v>
      </c>
      <c r="I201" s="1065">
        <f t="shared" si="80"/>
        <v>0</v>
      </c>
      <c r="J201" s="1065">
        <f t="shared" si="80"/>
        <v>0</v>
      </c>
      <c r="K201" s="1065">
        <f t="shared" si="80"/>
        <v>0</v>
      </c>
      <c r="L201" s="1065">
        <f t="shared" si="81"/>
        <v>0</v>
      </c>
      <c r="M201" s="1065">
        <f t="shared" si="81"/>
        <v>0</v>
      </c>
      <c r="N201" s="1065">
        <f t="shared" si="82"/>
        <v>0</v>
      </c>
      <c r="O201" s="1065">
        <f t="shared" si="82"/>
        <v>0</v>
      </c>
      <c r="P201" s="1000"/>
      <c r="Q201" s="88"/>
    </row>
    <row r="202" spans="2:17" ht="13.15" customHeight="1" x14ac:dyDescent="0.2">
      <c r="B202" s="86"/>
      <c r="C202" s="1000"/>
      <c r="D202" s="1085" t="s">
        <v>653</v>
      </c>
      <c r="E202" s="1076"/>
      <c r="F202" s="1076"/>
      <c r="G202" s="1000"/>
      <c r="H202" s="1094">
        <v>41.12</v>
      </c>
      <c r="I202" s="1117">
        <f>tab!$C$111</f>
        <v>41.48</v>
      </c>
      <c r="J202" s="1117">
        <f t="shared" si="80"/>
        <v>41.48</v>
      </c>
      <c r="K202" s="1117">
        <f t="shared" si="80"/>
        <v>41.48</v>
      </c>
      <c r="L202" s="1117">
        <f t="shared" si="81"/>
        <v>41.48</v>
      </c>
      <c r="M202" s="1117">
        <f t="shared" si="81"/>
        <v>41.48</v>
      </c>
      <c r="N202" s="1117">
        <f t="shared" si="82"/>
        <v>41.48</v>
      </c>
      <c r="O202" s="1117">
        <f t="shared" si="82"/>
        <v>41.48</v>
      </c>
      <c r="P202" s="1000"/>
      <c r="Q202" s="88"/>
    </row>
    <row r="203" spans="2:17" ht="13.15" customHeight="1" x14ac:dyDescent="0.2">
      <c r="B203" s="86"/>
      <c r="C203" s="1000"/>
      <c r="D203" s="1000"/>
      <c r="E203" s="1076"/>
      <c r="F203" s="1076"/>
      <c r="G203" s="1000"/>
      <c r="H203" s="1095"/>
      <c r="I203" s="1076"/>
      <c r="J203" s="1076"/>
      <c r="K203" s="1076"/>
      <c r="L203" s="1076"/>
      <c r="M203" s="1076"/>
      <c r="N203" s="1076"/>
      <c r="O203" s="1076"/>
      <c r="P203" s="1000"/>
      <c r="Q203" s="88"/>
    </row>
    <row r="204" spans="2:17" ht="13.15" customHeight="1" x14ac:dyDescent="0.2">
      <c r="B204" s="86"/>
      <c r="C204" s="1000"/>
      <c r="D204" s="1116" t="s">
        <v>129</v>
      </c>
      <c r="E204" s="1076">
        <v>1</v>
      </c>
      <c r="F204" s="1076" t="s">
        <v>145</v>
      </c>
      <c r="G204" s="1000"/>
      <c r="H204" s="1050">
        <v>0</v>
      </c>
      <c r="I204" s="1065">
        <f t="shared" ref="I204:K210" si="83">+H204</f>
        <v>0</v>
      </c>
      <c r="J204" s="1065">
        <f t="shared" si="83"/>
        <v>0</v>
      </c>
      <c r="K204" s="1065">
        <f t="shared" si="83"/>
        <v>0</v>
      </c>
      <c r="L204" s="1065">
        <f t="shared" ref="L204:M210" si="84">+K204</f>
        <v>0</v>
      </c>
      <c r="M204" s="1065">
        <f t="shared" si="84"/>
        <v>0</v>
      </c>
      <c r="N204" s="1065">
        <f t="shared" ref="N204:O210" si="85">+M204</f>
        <v>0</v>
      </c>
      <c r="O204" s="1065">
        <f t="shared" si="85"/>
        <v>0</v>
      </c>
      <c r="P204" s="1000"/>
      <c r="Q204" s="88"/>
    </row>
    <row r="205" spans="2:17" ht="13.15" customHeight="1" x14ac:dyDescent="0.2">
      <c r="B205" s="86"/>
      <c r="C205" s="1000"/>
      <c r="D205" s="1000"/>
      <c r="E205" s="1076">
        <v>2</v>
      </c>
      <c r="F205" s="1076" t="s">
        <v>145</v>
      </c>
      <c r="G205" s="1000"/>
      <c r="H205" s="1050">
        <v>0</v>
      </c>
      <c r="I205" s="1065">
        <f t="shared" si="83"/>
        <v>0</v>
      </c>
      <c r="J205" s="1065">
        <f t="shared" si="83"/>
        <v>0</v>
      </c>
      <c r="K205" s="1065">
        <f t="shared" si="83"/>
        <v>0</v>
      </c>
      <c r="L205" s="1065">
        <f t="shared" si="84"/>
        <v>0</v>
      </c>
      <c r="M205" s="1065">
        <f t="shared" si="84"/>
        <v>0</v>
      </c>
      <c r="N205" s="1065">
        <f t="shared" si="85"/>
        <v>0</v>
      </c>
      <c r="O205" s="1065">
        <f t="shared" si="85"/>
        <v>0</v>
      </c>
      <c r="P205" s="1000"/>
      <c r="Q205" s="88"/>
    </row>
    <row r="206" spans="2:17" ht="13.15" customHeight="1" x14ac:dyDescent="0.2">
      <c r="B206" s="86"/>
      <c r="C206" s="1000"/>
      <c r="D206" s="1000"/>
      <c r="E206" s="1076">
        <v>3</v>
      </c>
      <c r="F206" s="1076" t="s">
        <v>145</v>
      </c>
      <c r="G206" s="1000"/>
      <c r="H206" s="1050">
        <v>0</v>
      </c>
      <c r="I206" s="1065">
        <f t="shared" si="83"/>
        <v>0</v>
      </c>
      <c r="J206" s="1065">
        <f t="shared" si="83"/>
        <v>0</v>
      </c>
      <c r="K206" s="1065">
        <f t="shared" si="83"/>
        <v>0</v>
      </c>
      <c r="L206" s="1065">
        <f t="shared" si="84"/>
        <v>0</v>
      </c>
      <c r="M206" s="1065">
        <f t="shared" si="84"/>
        <v>0</v>
      </c>
      <c r="N206" s="1065">
        <f t="shared" si="85"/>
        <v>0</v>
      </c>
      <c r="O206" s="1065">
        <f t="shared" si="85"/>
        <v>0</v>
      </c>
      <c r="P206" s="1000"/>
      <c r="Q206" s="88"/>
    </row>
    <row r="207" spans="2:17" ht="13.15" customHeight="1" x14ac:dyDescent="0.2">
      <c r="B207" s="86"/>
      <c r="C207" s="1000"/>
      <c r="D207" s="1000"/>
      <c r="E207" s="1076">
        <v>1</v>
      </c>
      <c r="F207" s="1076" t="s">
        <v>125</v>
      </c>
      <c r="G207" s="1000"/>
      <c r="H207" s="1050">
        <v>0</v>
      </c>
      <c r="I207" s="1065">
        <f t="shared" si="83"/>
        <v>0</v>
      </c>
      <c r="J207" s="1065">
        <f t="shared" si="83"/>
        <v>0</v>
      </c>
      <c r="K207" s="1065">
        <f t="shared" si="83"/>
        <v>0</v>
      </c>
      <c r="L207" s="1065">
        <f t="shared" si="84"/>
        <v>0</v>
      </c>
      <c r="M207" s="1065">
        <f t="shared" si="84"/>
        <v>0</v>
      </c>
      <c r="N207" s="1065">
        <f t="shared" si="85"/>
        <v>0</v>
      </c>
      <c r="O207" s="1065">
        <f t="shared" si="85"/>
        <v>0</v>
      </c>
      <c r="P207" s="1000"/>
      <c r="Q207" s="88"/>
    </row>
    <row r="208" spans="2:17" ht="13.15" customHeight="1" x14ac:dyDescent="0.2">
      <c r="B208" s="86"/>
      <c r="C208" s="1000"/>
      <c r="D208" s="1000"/>
      <c r="E208" s="1076">
        <v>2</v>
      </c>
      <c r="F208" s="1076" t="s">
        <v>125</v>
      </c>
      <c r="G208" s="1000"/>
      <c r="H208" s="1050">
        <v>0</v>
      </c>
      <c r="I208" s="1065">
        <f t="shared" si="83"/>
        <v>0</v>
      </c>
      <c r="J208" s="1065">
        <f t="shared" si="83"/>
        <v>0</v>
      </c>
      <c r="K208" s="1065">
        <f t="shared" si="83"/>
        <v>0</v>
      </c>
      <c r="L208" s="1065">
        <f t="shared" si="84"/>
        <v>0</v>
      </c>
      <c r="M208" s="1065">
        <f t="shared" si="84"/>
        <v>0</v>
      </c>
      <c r="N208" s="1065">
        <f t="shared" si="85"/>
        <v>0</v>
      </c>
      <c r="O208" s="1065">
        <f t="shared" si="85"/>
        <v>0</v>
      </c>
      <c r="P208" s="1000"/>
      <c r="Q208" s="88"/>
    </row>
    <row r="209" spans="2:17" ht="13.15" customHeight="1" x14ac:dyDescent="0.2">
      <c r="B209" s="86"/>
      <c r="C209" s="1000"/>
      <c r="D209" s="1000"/>
      <c r="E209" s="1076">
        <v>3</v>
      </c>
      <c r="F209" s="1076" t="s">
        <v>125</v>
      </c>
      <c r="G209" s="1000"/>
      <c r="H209" s="1050">
        <v>0</v>
      </c>
      <c r="I209" s="1065">
        <f t="shared" si="83"/>
        <v>0</v>
      </c>
      <c r="J209" s="1065">
        <f t="shared" si="83"/>
        <v>0</v>
      </c>
      <c r="K209" s="1065">
        <f t="shared" si="83"/>
        <v>0</v>
      </c>
      <c r="L209" s="1065">
        <f t="shared" si="84"/>
        <v>0</v>
      </c>
      <c r="M209" s="1065">
        <f t="shared" si="84"/>
        <v>0</v>
      </c>
      <c r="N209" s="1065">
        <f t="shared" si="85"/>
        <v>0</v>
      </c>
      <c r="O209" s="1065">
        <f t="shared" si="85"/>
        <v>0</v>
      </c>
      <c r="P209" s="1000"/>
      <c r="Q209" s="88"/>
    </row>
    <row r="210" spans="2:17" ht="13.15" customHeight="1" x14ac:dyDescent="0.2">
      <c r="B210" s="86"/>
      <c r="C210" s="1000"/>
      <c r="D210" s="1085" t="s">
        <v>653</v>
      </c>
      <c r="E210" s="1076"/>
      <c r="F210" s="1076"/>
      <c r="G210" s="1000"/>
      <c r="H210" s="1094">
        <v>41.12</v>
      </c>
      <c r="I210" s="1117">
        <f>tab!$C$111</f>
        <v>41.48</v>
      </c>
      <c r="J210" s="1117">
        <f t="shared" si="83"/>
        <v>41.48</v>
      </c>
      <c r="K210" s="1117">
        <f t="shared" si="83"/>
        <v>41.48</v>
      </c>
      <c r="L210" s="1117">
        <f t="shared" si="84"/>
        <v>41.48</v>
      </c>
      <c r="M210" s="1117">
        <f t="shared" si="84"/>
        <v>41.48</v>
      </c>
      <c r="N210" s="1117">
        <f t="shared" si="85"/>
        <v>41.48</v>
      </c>
      <c r="O210" s="1117">
        <f t="shared" si="85"/>
        <v>41.48</v>
      </c>
      <c r="P210" s="1000"/>
      <c r="Q210" s="88"/>
    </row>
    <row r="211" spans="2:17" ht="13.15" customHeight="1" x14ac:dyDescent="0.2">
      <c r="B211" s="86"/>
      <c r="C211" s="1000"/>
      <c r="D211" s="1000"/>
      <c r="E211" s="1076"/>
      <c r="F211" s="1076"/>
      <c r="G211" s="1000"/>
      <c r="H211" s="1095"/>
      <c r="I211" s="1076"/>
      <c r="J211" s="1076"/>
      <c r="K211" s="1076"/>
      <c r="L211" s="1076"/>
      <c r="M211" s="1076"/>
      <c r="N211" s="1076"/>
      <c r="O211" s="1076"/>
      <c r="P211" s="1000"/>
      <c r="Q211" s="88"/>
    </row>
    <row r="212" spans="2:17" ht="13.15" customHeight="1" x14ac:dyDescent="0.2">
      <c r="B212" s="86"/>
      <c r="C212" s="1000"/>
      <c r="D212" s="1116" t="s">
        <v>130</v>
      </c>
      <c r="E212" s="1076">
        <v>1</v>
      </c>
      <c r="F212" s="1076" t="s">
        <v>145</v>
      </c>
      <c r="G212" s="1000"/>
      <c r="H212" s="1050">
        <v>0</v>
      </c>
      <c r="I212" s="1065">
        <f t="shared" ref="I212:K218" si="86">+H212</f>
        <v>0</v>
      </c>
      <c r="J212" s="1065">
        <f t="shared" si="86"/>
        <v>0</v>
      </c>
      <c r="K212" s="1065">
        <f t="shared" si="86"/>
        <v>0</v>
      </c>
      <c r="L212" s="1065">
        <f t="shared" ref="L212:M218" si="87">+K212</f>
        <v>0</v>
      </c>
      <c r="M212" s="1065">
        <f t="shared" si="87"/>
        <v>0</v>
      </c>
      <c r="N212" s="1065">
        <f t="shared" ref="N212:O218" si="88">+M212</f>
        <v>0</v>
      </c>
      <c r="O212" s="1065">
        <f t="shared" si="88"/>
        <v>0</v>
      </c>
      <c r="P212" s="1000"/>
      <c r="Q212" s="88"/>
    </row>
    <row r="213" spans="2:17" ht="13.15" customHeight="1" x14ac:dyDescent="0.2">
      <c r="B213" s="86"/>
      <c r="C213" s="1000"/>
      <c r="D213" s="1000"/>
      <c r="E213" s="1076">
        <v>2</v>
      </c>
      <c r="F213" s="1076" t="s">
        <v>145</v>
      </c>
      <c r="G213" s="1000"/>
      <c r="H213" s="1050">
        <v>0</v>
      </c>
      <c r="I213" s="1065">
        <f t="shared" si="86"/>
        <v>0</v>
      </c>
      <c r="J213" s="1065">
        <f t="shared" si="86"/>
        <v>0</v>
      </c>
      <c r="K213" s="1065">
        <f t="shared" si="86"/>
        <v>0</v>
      </c>
      <c r="L213" s="1065">
        <f t="shared" si="87"/>
        <v>0</v>
      </c>
      <c r="M213" s="1065">
        <f t="shared" si="87"/>
        <v>0</v>
      </c>
      <c r="N213" s="1065">
        <f t="shared" si="88"/>
        <v>0</v>
      </c>
      <c r="O213" s="1065">
        <f t="shared" si="88"/>
        <v>0</v>
      </c>
      <c r="P213" s="1000"/>
      <c r="Q213" s="88"/>
    </row>
    <row r="214" spans="2:17" ht="13.15" customHeight="1" x14ac:dyDescent="0.2">
      <c r="B214" s="86"/>
      <c r="C214" s="1000"/>
      <c r="D214" s="1000"/>
      <c r="E214" s="1076">
        <v>3</v>
      </c>
      <c r="F214" s="1076" t="s">
        <v>145</v>
      </c>
      <c r="G214" s="1000"/>
      <c r="H214" s="1050">
        <v>0</v>
      </c>
      <c r="I214" s="1065">
        <f t="shared" si="86"/>
        <v>0</v>
      </c>
      <c r="J214" s="1065">
        <f t="shared" si="86"/>
        <v>0</v>
      </c>
      <c r="K214" s="1065">
        <f t="shared" si="86"/>
        <v>0</v>
      </c>
      <c r="L214" s="1065">
        <f t="shared" si="87"/>
        <v>0</v>
      </c>
      <c r="M214" s="1065">
        <f t="shared" si="87"/>
        <v>0</v>
      </c>
      <c r="N214" s="1065">
        <f t="shared" si="88"/>
        <v>0</v>
      </c>
      <c r="O214" s="1065">
        <f t="shared" si="88"/>
        <v>0</v>
      </c>
      <c r="P214" s="1000"/>
      <c r="Q214" s="88"/>
    </row>
    <row r="215" spans="2:17" ht="13.15" customHeight="1" x14ac:dyDescent="0.2">
      <c r="B215" s="86"/>
      <c r="C215" s="1000"/>
      <c r="D215" s="1000"/>
      <c r="E215" s="1076">
        <v>1</v>
      </c>
      <c r="F215" s="1076" t="s">
        <v>125</v>
      </c>
      <c r="G215" s="1000"/>
      <c r="H215" s="1050">
        <v>0</v>
      </c>
      <c r="I215" s="1065">
        <f t="shared" si="86"/>
        <v>0</v>
      </c>
      <c r="J215" s="1065">
        <f t="shared" si="86"/>
        <v>0</v>
      </c>
      <c r="K215" s="1065">
        <f t="shared" si="86"/>
        <v>0</v>
      </c>
      <c r="L215" s="1065">
        <f t="shared" si="87"/>
        <v>0</v>
      </c>
      <c r="M215" s="1065">
        <f t="shared" si="87"/>
        <v>0</v>
      </c>
      <c r="N215" s="1065">
        <f t="shared" si="88"/>
        <v>0</v>
      </c>
      <c r="O215" s="1065">
        <f t="shared" si="88"/>
        <v>0</v>
      </c>
      <c r="P215" s="1000"/>
      <c r="Q215" s="88"/>
    </row>
    <row r="216" spans="2:17" ht="13.15" customHeight="1" x14ac:dyDescent="0.2">
      <c r="B216" s="86"/>
      <c r="C216" s="1000"/>
      <c r="D216" s="1000"/>
      <c r="E216" s="1076">
        <v>2</v>
      </c>
      <c r="F216" s="1076" t="s">
        <v>125</v>
      </c>
      <c r="G216" s="1000"/>
      <c r="H216" s="1050">
        <v>0</v>
      </c>
      <c r="I216" s="1065">
        <f t="shared" si="86"/>
        <v>0</v>
      </c>
      <c r="J216" s="1065">
        <f t="shared" si="86"/>
        <v>0</v>
      </c>
      <c r="K216" s="1065">
        <f t="shared" si="86"/>
        <v>0</v>
      </c>
      <c r="L216" s="1065">
        <f t="shared" si="87"/>
        <v>0</v>
      </c>
      <c r="M216" s="1065">
        <f t="shared" si="87"/>
        <v>0</v>
      </c>
      <c r="N216" s="1065">
        <f t="shared" si="88"/>
        <v>0</v>
      </c>
      <c r="O216" s="1065">
        <f t="shared" si="88"/>
        <v>0</v>
      </c>
      <c r="P216" s="1000"/>
      <c r="Q216" s="88"/>
    </row>
    <row r="217" spans="2:17" ht="13.15" customHeight="1" x14ac:dyDescent="0.2">
      <c r="B217" s="86"/>
      <c r="C217" s="1000"/>
      <c r="D217" s="1000"/>
      <c r="E217" s="1076">
        <v>3</v>
      </c>
      <c r="F217" s="1076" t="s">
        <v>125</v>
      </c>
      <c r="G217" s="1000"/>
      <c r="H217" s="1050">
        <v>0</v>
      </c>
      <c r="I217" s="1065">
        <f t="shared" si="86"/>
        <v>0</v>
      </c>
      <c r="J217" s="1065">
        <f t="shared" si="86"/>
        <v>0</v>
      </c>
      <c r="K217" s="1065">
        <f t="shared" si="86"/>
        <v>0</v>
      </c>
      <c r="L217" s="1065">
        <f t="shared" si="87"/>
        <v>0</v>
      </c>
      <c r="M217" s="1065">
        <f t="shared" si="87"/>
        <v>0</v>
      </c>
      <c r="N217" s="1065">
        <f t="shared" si="88"/>
        <v>0</v>
      </c>
      <c r="O217" s="1065">
        <f t="shared" si="88"/>
        <v>0</v>
      </c>
      <c r="P217" s="1000"/>
      <c r="Q217" s="88"/>
    </row>
    <row r="218" spans="2:17" ht="13.15" customHeight="1" x14ac:dyDescent="0.2">
      <c r="B218" s="86"/>
      <c r="C218" s="1000"/>
      <c r="D218" s="1085" t="s">
        <v>653</v>
      </c>
      <c r="E218" s="1076"/>
      <c r="F218" s="1076"/>
      <c r="G218" s="1000"/>
      <c r="H218" s="1094">
        <v>41.12</v>
      </c>
      <c r="I218" s="1117">
        <f>tab!$C$111</f>
        <v>41.48</v>
      </c>
      <c r="J218" s="1117">
        <f t="shared" si="86"/>
        <v>41.48</v>
      </c>
      <c r="K218" s="1117">
        <f t="shared" si="86"/>
        <v>41.48</v>
      </c>
      <c r="L218" s="1117">
        <f t="shared" si="87"/>
        <v>41.48</v>
      </c>
      <c r="M218" s="1117">
        <f t="shared" si="87"/>
        <v>41.48</v>
      </c>
      <c r="N218" s="1117">
        <f t="shared" si="88"/>
        <v>41.48</v>
      </c>
      <c r="O218" s="1117">
        <f t="shared" si="88"/>
        <v>41.48</v>
      </c>
      <c r="P218" s="1000"/>
      <c r="Q218" s="88"/>
    </row>
    <row r="219" spans="2:17" ht="13.15" customHeight="1" x14ac:dyDescent="0.2">
      <c r="B219" s="86"/>
      <c r="C219" s="1000"/>
      <c r="D219" s="1000"/>
      <c r="E219" s="1076"/>
      <c r="F219" s="1076"/>
      <c r="G219" s="1000"/>
      <c r="H219" s="1095"/>
      <c r="I219" s="1076"/>
      <c r="J219" s="1076"/>
      <c r="K219" s="1076"/>
      <c r="L219" s="1076"/>
      <c r="M219" s="1076"/>
      <c r="N219" s="1076"/>
      <c r="O219" s="1076"/>
      <c r="P219" s="1000"/>
      <c r="Q219" s="88"/>
    </row>
    <row r="220" spans="2:17" ht="13.15" customHeight="1" x14ac:dyDescent="0.2">
      <c r="B220" s="86"/>
      <c r="C220" s="1000"/>
      <c r="D220" s="1116" t="s">
        <v>131</v>
      </c>
      <c r="E220" s="1076">
        <v>1</v>
      </c>
      <c r="F220" s="1076" t="s">
        <v>145</v>
      </c>
      <c r="G220" s="1000"/>
      <c r="H220" s="1050">
        <v>0</v>
      </c>
      <c r="I220" s="1065">
        <f t="shared" ref="I220:K226" si="89">+H220</f>
        <v>0</v>
      </c>
      <c r="J220" s="1065">
        <f t="shared" si="89"/>
        <v>0</v>
      </c>
      <c r="K220" s="1065">
        <f t="shared" si="89"/>
        <v>0</v>
      </c>
      <c r="L220" s="1065">
        <f t="shared" ref="L220:M226" si="90">+K220</f>
        <v>0</v>
      </c>
      <c r="M220" s="1065">
        <f t="shared" si="90"/>
        <v>0</v>
      </c>
      <c r="N220" s="1065">
        <f t="shared" ref="N220:O226" si="91">+M220</f>
        <v>0</v>
      </c>
      <c r="O220" s="1065">
        <f t="shared" si="91"/>
        <v>0</v>
      </c>
      <c r="P220" s="1000"/>
      <c r="Q220" s="88"/>
    </row>
    <row r="221" spans="2:17" ht="13.15" customHeight="1" x14ac:dyDescent="0.2">
      <c r="B221" s="86"/>
      <c r="C221" s="1000"/>
      <c r="D221" s="1000"/>
      <c r="E221" s="1076">
        <v>2</v>
      </c>
      <c r="F221" s="1076" t="s">
        <v>145</v>
      </c>
      <c r="G221" s="1000"/>
      <c r="H221" s="1050">
        <v>0</v>
      </c>
      <c r="I221" s="1065">
        <f t="shared" si="89"/>
        <v>0</v>
      </c>
      <c r="J221" s="1065">
        <f t="shared" si="89"/>
        <v>0</v>
      </c>
      <c r="K221" s="1065">
        <f t="shared" si="89"/>
        <v>0</v>
      </c>
      <c r="L221" s="1065">
        <f t="shared" si="90"/>
        <v>0</v>
      </c>
      <c r="M221" s="1065">
        <f t="shared" si="90"/>
        <v>0</v>
      </c>
      <c r="N221" s="1065">
        <f t="shared" si="91"/>
        <v>0</v>
      </c>
      <c r="O221" s="1065">
        <f t="shared" si="91"/>
        <v>0</v>
      </c>
      <c r="P221" s="1000"/>
      <c r="Q221" s="88"/>
    </row>
    <row r="222" spans="2:17" ht="13.15" customHeight="1" x14ac:dyDescent="0.2">
      <c r="B222" s="86"/>
      <c r="C222" s="1000"/>
      <c r="D222" s="1000"/>
      <c r="E222" s="1076">
        <v>3</v>
      </c>
      <c r="F222" s="1076" t="s">
        <v>145</v>
      </c>
      <c r="G222" s="1000"/>
      <c r="H222" s="1050">
        <v>0</v>
      </c>
      <c r="I222" s="1065">
        <f t="shared" si="89"/>
        <v>0</v>
      </c>
      <c r="J222" s="1065">
        <f t="shared" si="89"/>
        <v>0</v>
      </c>
      <c r="K222" s="1065">
        <f t="shared" si="89"/>
        <v>0</v>
      </c>
      <c r="L222" s="1065">
        <f t="shared" si="90"/>
        <v>0</v>
      </c>
      <c r="M222" s="1065">
        <f t="shared" si="90"/>
        <v>0</v>
      </c>
      <c r="N222" s="1065">
        <f t="shared" si="91"/>
        <v>0</v>
      </c>
      <c r="O222" s="1065">
        <f t="shared" si="91"/>
        <v>0</v>
      </c>
      <c r="P222" s="1000"/>
      <c r="Q222" s="88"/>
    </row>
    <row r="223" spans="2:17" ht="13.15" customHeight="1" x14ac:dyDescent="0.2">
      <c r="B223" s="86"/>
      <c r="C223" s="1000"/>
      <c r="D223" s="1000"/>
      <c r="E223" s="1076">
        <v>1</v>
      </c>
      <c r="F223" s="1076" t="s">
        <v>125</v>
      </c>
      <c r="G223" s="1000"/>
      <c r="H223" s="1050">
        <v>0</v>
      </c>
      <c r="I223" s="1065">
        <f t="shared" si="89"/>
        <v>0</v>
      </c>
      <c r="J223" s="1065">
        <f t="shared" si="89"/>
        <v>0</v>
      </c>
      <c r="K223" s="1065">
        <f t="shared" si="89"/>
        <v>0</v>
      </c>
      <c r="L223" s="1065">
        <f t="shared" si="90"/>
        <v>0</v>
      </c>
      <c r="M223" s="1065">
        <f t="shared" si="90"/>
        <v>0</v>
      </c>
      <c r="N223" s="1065">
        <f t="shared" si="91"/>
        <v>0</v>
      </c>
      <c r="O223" s="1065">
        <f t="shared" si="91"/>
        <v>0</v>
      </c>
      <c r="P223" s="1000"/>
      <c r="Q223" s="88"/>
    </row>
    <row r="224" spans="2:17" ht="13.15" customHeight="1" x14ac:dyDescent="0.2">
      <c r="B224" s="86"/>
      <c r="C224" s="1000"/>
      <c r="D224" s="1000"/>
      <c r="E224" s="1076">
        <v>2</v>
      </c>
      <c r="F224" s="1076" t="s">
        <v>125</v>
      </c>
      <c r="G224" s="1000"/>
      <c r="H224" s="1050">
        <v>0</v>
      </c>
      <c r="I224" s="1065">
        <f t="shared" si="89"/>
        <v>0</v>
      </c>
      <c r="J224" s="1065">
        <f t="shared" si="89"/>
        <v>0</v>
      </c>
      <c r="K224" s="1065">
        <f t="shared" si="89"/>
        <v>0</v>
      </c>
      <c r="L224" s="1065">
        <f t="shared" si="90"/>
        <v>0</v>
      </c>
      <c r="M224" s="1065">
        <f t="shared" si="90"/>
        <v>0</v>
      </c>
      <c r="N224" s="1065">
        <f t="shared" si="91"/>
        <v>0</v>
      </c>
      <c r="O224" s="1065">
        <f t="shared" si="91"/>
        <v>0</v>
      </c>
      <c r="P224" s="1000"/>
      <c r="Q224" s="88"/>
    </row>
    <row r="225" spans="2:17" ht="13.15" customHeight="1" x14ac:dyDescent="0.2">
      <c r="B225" s="86"/>
      <c r="C225" s="1000"/>
      <c r="D225" s="1000"/>
      <c r="E225" s="1076">
        <v>3</v>
      </c>
      <c r="F225" s="1076" t="s">
        <v>125</v>
      </c>
      <c r="G225" s="1000"/>
      <c r="H225" s="1050">
        <v>0</v>
      </c>
      <c r="I225" s="1065">
        <f t="shared" si="89"/>
        <v>0</v>
      </c>
      <c r="J225" s="1065">
        <f t="shared" si="89"/>
        <v>0</v>
      </c>
      <c r="K225" s="1065">
        <f t="shared" si="89"/>
        <v>0</v>
      </c>
      <c r="L225" s="1065">
        <f t="shared" si="90"/>
        <v>0</v>
      </c>
      <c r="M225" s="1065">
        <f t="shared" si="90"/>
        <v>0</v>
      </c>
      <c r="N225" s="1065">
        <f t="shared" si="91"/>
        <v>0</v>
      </c>
      <c r="O225" s="1065">
        <f t="shared" si="91"/>
        <v>0</v>
      </c>
      <c r="P225" s="1000"/>
      <c r="Q225" s="88"/>
    </row>
    <row r="226" spans="2:17" ht="13.15" customHeight="1" x14ac:dyDescent="0.2">
      <c r="B226" s="86"/>
      <c r="C226" s="1000"/>
      <c r="D226" s="1085" t="s">
        <v>653</v>
      </c>
      <c r="E226" s="1076"/>
      <c r="F226" s="1076"/>
      <c r="G226" s="1000"/>
      <c r="H226" s="1094">
        <v>41.12</v>
      </c>
      <c r="I226" s="1117">
        <f>tab!$C$111</f>
        <v>41.48</v>
      </c>
      <c r="J226" s="1117">
        <f t="shared" si="89"/>
        <v>41.48</v>
      </c>
      <c r="K226" s="1117">
        <f t="shared" si="89"/>
        <v>41.48</v>
      </c>
      <c r="L226" s="1117">
        <f t="shared" si="90"/>
        <v>41.48</v>
      </c>
      <c r="M226" s="1117">
        <f t="shared" si="90"/>
        <v>41.48</v>
      </c>
      <c r="N226" s="1117">
        <f t="shared" si="91"/>
        <v>41.48</v>
      </c>
      <c r="O226" s="1117">
        <f t="shared" si="91"/>
        <v>41.48</v>
      </c>
      <c r="P226" s="1000"/>
      <c r="Q226" s="88"/>
    </row>
    <row r="227" spans="2:17" ht="13.15" customHeight="1" x14ac:dyDescent="0.2">
      <c r="B227" s="86"/>
      <c r="C227" s="1000"/>
      <c r="D227" s="1000"/>
      <c r="E227" s="1076"/>
      <c r="F227" s="1076"/>
      <c r="G227" s="1000"/>
      <c r="H227" s="1095"/>
      <c r="I227" s="1076"/>
      <c r="J227" s="1076"/>
      <c r="K227" s="1076"/>
      <c r="L227" s="1076"/>
      <c r="M227" s="1076"/>
      <c r="N227" s="1076"/>
      <c r="O227" s="1076"/>
      <c r="P227" s="1000"/>
      <c r="Q227" s="88"/>
    </row>
    <row r="228" spans="2:17" ht="13.15" customHeight="1" x14ac:dyDescent="0.2">
      <c r="B228" s="86"/>
      <c r="C228" s="1000"/>
      <c r="D228" s="1116" t="s">
        <v>132</v>
      </c>
      <c r="E228" s="1076">
        <v>1</v>
      </c>
      <c r="F228" s="1076" t="s">
        <v>145</v>
      </c>
      <c r="G228" s="1000"/>
      <c r="H228" s="1050">
        <v>0</v>
      </c>
      <c r="I228" s="1065">
        <f t="shared" ref="I228:K234" si="92">+H228</f>
        <v>0</v>
      </c>
      <c r="J228" s="1065">
        <f t="shared" si="92"/>
        <v>0</v>
      </c>
      <c r="K228" s="1065">
        <f t="shared" si="92"/>
        <v>0</v>
      </c>
      <c r="L228" s="1065">
        <f t="shared" ref="L228:M234" si="93">+K228</f>
        <v>0</v>
      </c>
      <c r="M228" s="1065">
        <f t="shared" si="93"/>
        <v>0</v>
      </c>
      <c r="N228" s="1065">
        <f t="shared" ref="N228:O234" si="94">+M228</f>
        <v>0</v>
      </c>
      <c r="O228" s="1065">
        <f t="shared" si="94"/>
        <v>0</v>
      </c>
      <c r="P228" s="1000"/>
      <c r="Q228" s="88"/>
    </row>
    <row r="229" spans="2:17" ht="13.15" customHeight="1" x14ac:dyDescent="0.2">
      <c r="B229" s="86"/>
      <c r="C229" s="1000"/>
      <c r="D229" s="1000"/>
      <c r="E229" s="1076">
        <v>2</v>
      </c>
      <c r="F229" s="1076" t="s">
        <v>145</v>
      </c>
      <c r="G229" s="1000"/>
      <c r="H229" s="1050">
        <v>0</v>
      </c>
      <c r="I229" s="1065">
        <f t="shared" si="92"/>
        <v>0</v>
      </c>
      <c r="J229" s="1065">
        <f t="shared" si="92"/>
        <v>0</v>
      </c>
      <c r="K229" s="1065">
        <f t="shared" si="92"/>
        <v>0</v>
      </c>
      <c r="L229" s="1065">
        <f t="shared" si="93"/>
        <v>0</v>
      </c>
      <c r="M229" s="1065">
        <f t="shared" si="93"/>
        <v>0</v>
      </c>
      <c r="N229" s="1065">
        <f t="shared" si="94"/>
        <v>0</v>
      </c>
      <c r="O229" s="1065">
        <f t="shared" si="94"/>
        <v>0</v>
      </c>
      <c r="P229" s="1000"/>
      <c r="Q229" s="88"/>
    </row>
    <row r="230" spans="2:17" ht="13.15" customHeight="1" x14ac:dyDescent="0.2">
      <c r="B230" s="86"/>
      <c r="C230" s="1000"/>
      <c r="D230" s="1000"/>
      <c r="E230" s="1076">
        <v>3</v>
      </c>
      <c r="F230" s="1076" t="s">
        <v>145</v>
      </c>
      <c r="G230" s="1000"/>
      <c r="H230" s="1050">
        <v>0</v>
      </c>
      <c r="I230" s="1065">
        <f t="shared" si="92"/>
        <v>0</v>
      </c>
      <c r="J230" s="1065">
        <f t="shared" si="92"/>
        <v>0</v>
      </c>
      <c r="K230" s="1065">
        <f t="shared" si="92"/>
        <v>0</v>
      </c>
      <c r="L230" s="1065">
        <f t="shared" si="93"/>
        <v>0</v>
      </c>
      <c r="M230" s="1065">
        <f t="shared" si="93"/>
        <v>0</v>
      </c>
      <c r="N230" s="1065">
        <f t="shared" si="94"/>
        <v>0</v>
      </c>
      <c r="O230" s="1065">
        <f t="shared" si="94"/>
        <v>0</v>
      </c>
      <c r="P230" s="1000"/>
      <c r="Q230" s="88"/>
    </row>
    <row r="231" spans="2:17" ht="13.15" customHeight="1" x14ac:dyDescent="0.2">
      <c r="B231" s="86"/>
      <c r="C231" s="1000"/>
      <c r="D231" s="1000"/>
      <c r="E231" s="1076">
        <v>1</v>
      </c>
      <c r="F231" s="1076" t="s">
        <v>125</v>
      </c>
      <c r="G231" s="1000"/>
      <c r="H231" s="1050">
        <v>0</v>
      </c>
      <c r="I231" s="1065">
        <f t="shared" si="92"/>
        <v>0</v>
      </c>
      <c r="J231" s="1065">
        <f t="shared" si="92"/>
        <v>0</v>
      </c>
      <c r="K231" s="1065">
        <f t="shared" si="92"/>
        <v>0</v>
      </c>
      <c r="L231" s="1065">
        <f t="shared" si="93"/>
        <v>0</v>
      </c>
      <c r="M231" s="1065">
        <f t="shared" si="93"/>
        <v>0</v>
      </c>
      <c r="N231" s="1065">
        <f t="shared" si="94"/>
        <v>0</v>
      </c>
      <c r="O231" s="1065">
        <f t="shared" si="94"/>
        <v>0</v>
      </c>
      <c r="P231" s="1000"/>
      <c r="Q231" s="88"/>
    </row>
    <row r="232" spans="2:17" ht="13.15" customHeight="1" x14ac:dyDescent="0.2">
      <c r="B232" s="86"/>
      <c r="C232" s="1000"/>
      <c r="D232" s="1000"/>
      <c r="E232" s="1076">
        <v>2</v>
      </c>
      <c r="F232" s="1076" t="s">
        <v>125</v>
      </c>
      <c r="G232" s="1000"/>
      <c r="H232" s="1050">
        <v>0</v>
      </c>
      <c r="I232" s="1065">
        <f t="shared" si="92"/>
        <v>0</v>
      </c>
      <c r="J232" s="1065">
        <f t="shared" si="92"/>
        <v>0</v>
      </c>
      <c r="K232" s="1065">
        <f t="shared" si="92"/>
        <v>0</v>
      </c>
      <c r="L232" s="1065">
        <f t="shared" si="93"/>
        <v>0</v>
      </c>
      <c r="M232" s="1065">
        <f t="shared" si="93"/>
        <v>0</v>
      </c>
      <c r="N232" s="1065">
        <f t="shared" si="94"/>
        <v>0</v>
      </c>
      <c r="O232" s="1065">
        <f t="shared" si="94"/>
        <v>0</v>
      </c>
      <c r="P232" s="1000"/>
      <c r="Q232" s="88"/>
    </row>
    <row r="233" spans="2:17" ht="13.15" customHeight="1" x14ac:dyDescent="0.2">
      <c r="B233" s="86"/>
      <c r="C233" s="1000"/>
      <c r="D233" s="1000"/>
      <c r="E233" s="1076">
        <v>3</v>
      </c>
      <c r="F233" s="1076" t="s">
        <v>125</v>
      </c>
      <c r="G233" s="1000"/>
      <c r="H233" s="1050">
        <v>0</v>
      </c>
      <c r="I233" s="1065">
        <f t="shared" si="92"/>
        <v>0</v>
      </c>
      <c r="J233" s="1065">
        <f t="shared" si="92"/>
        <v>0</v>
      </c>
      <c r="K233" s="1065">
        <f t="shared" si="92"/>
        <v>0</v>
      </c>
      <c r="L233" s="1065">
        <f t="shared" si="93"/>
        <v>0</v>
      </c>
      <c r="M233" s="1065">
        <f t="shared" si="93"/>
        <v>0</v>
      </c>
      <c r="N233" s="1065">
        <f t="shared" si="94"/>
        <v>0</v>
      </c>
      <c r="O233" s="1065">
        <f t="shared" si="94"/>
        <v>0</v>
      </c>
      <c r="P233" s="1000"/>
      <c r="Q233" s="88"/>
    </row>
    <row r="234" spans="2:17" ht="13.15" customHeight="1" x14ac:dyDescent="0.2">
      <c r="B234" s="86"/>
      <c r="C234" s="1000"/>
      <c r="D234" s="1085" t="s">
        <v>653</v>
      </c>
      <c r="E234" s="1076"/>
      <c r="F234" s="1076"/>
      <c r="G234" s="1000"/>
      <c r="H234" s="1094">
        <v>41.12</v>
      </c>
      <c r="I234" s="1117">
        <f>tab!$C$111</f>
        <v>41.48</v>
      </c>
      <c r="J234" s="1117">
        <f t="shared" si="92"/>
        <v>41.48</v>
      </c>
      <c r="K234" s="1117">
        <f t="shared" si="92"/>
        <v>41.48</v>
      </c>
      <c r="L234" s="1117">
        <f t="shared" si="93"/>
        <v>41.48</v>
      </c>
      <c r="M234" s="1117">
        <f t="shared" si="93"/>
        <v>41.48</v>
      </c>
      <c r="N234" s="1117">
        <f t="shared" si="94"/>
        <v>41.48</v>
      </c>
      <c r="O234" s="1117">
        <f t="shared" si="94"/>
        <v>41.48</v>
      </c>
      <c r="P234" s="1000"/>
      <c r="Q234" s="88"/>
    </row>
    <row r="235" spans="2:17" ht="13.15" customHeight="1" x14ac:dyDescent="0.2">
      <c r="B235" s="86"/>
      <c r="C235" s="1000"/>
      <c r="D235" s="1000"/>
      <c r="E235" s="1076"/>
      <c r="F235" s="1076"/>
      <c r="G235" s="1000"/>
      <c r="H235" s="1095"/>
      <c r="I235" s="1076"/>
      <c r="J235" s="1076"/>
      <c r="K235" s="1076"/>
      <c r="L235" s="1076"/>
      <c r="M235" s="1076"/>
      <c r="N235" s="1076"/>
      <c r="O235" s="1076"/>
      <c r="P235" s="1000"/>
      <c r="Q235" s="88"/>
    </row>
    <row r="236" spans="2:17" ht="13.15" customHeight="1" x14ac:dyDescent="0.2">
      <c r="B236" s="86"/>
      <c r="C236" s="1000"/>
      <c r="D236" s="1116" t="s">
        <v>133</v>
      </c>
      <c r="E236" s="1076">
        <v>1</v>
      </c>
      <c r="F236" s="1076" t="s">
        <v>145</v>
      </c>
      <c r="G236" s="1000"/>
      <c r="H236" s="1050">
        <v>0</v>
      </c>
      <c r="I236" s="1065">
        <f t="shared" ref="I236:K242" si="95">+H236</f>
        <v>0</v>
      </c>
      <c r="J236" s="1065">
        <f t="shared" si="95"/>
        <v>0</v>
      </c>
      <c r="K236" s="1065">
        <f t="shared" si="95"/>
        <v>0</v>
      </c>
      <c r="L236" s="1065">
        <f t="shared" ref="L236:M242" si="96">+K236</f>
        <v>0</v>
      </c>
      <c r="M236" s="1065">
        <f t="shared" si="96"/>
        <v>0</v>
      </c>
      <c r="N236" s="1065">
        <f t="shared" ref="N236:O242" si="97">+M236</f>
        <v>0</v>
      </c>
      <c r="O236" s="1065">
        <f t="shared" si="97"/>
        <v>0</v>
      </c>
      <c r="P236" s="1000"/>
      <c r="Q236" s="88"/>
    </row>
    <row r="237" spans="2:17" ht="13.15" customHeight="1" x14ac:dyDescent="0.2">
      <c r="B237" s="86"/>
      <c r="C237" s="1000"/>
      <c r="D237" s="1000"/>
      <c r="E237" s="1076">
        <v>2</v>
      </c>
      <c r="F237" s="1076" t="s">
        <v>145</v>
      </c>
      <c r="G237" s="1000"/>
      <c r="H237" s="1050">
        <v>0</v>
      </c>
      <c r="I237" s="1065">
        <f t="shared" si="95"/>
        <v>0</v>
      </c>
      <c r="J237" s="1065">
        <f t="shared" si="95"/>
        <v>0</v>
      </c>
      <c r="K237" s="1065">
        <f t="shared" si="95"/>
        <v>0</v>
      </c>
      <c r="L237" s="1065">
        <f t="shared" si="96"/>
        <v>0</v>
      </c>
      <c r="M237" s="1065">
        <f t="shared" si="96"/>
        <v>0</v>
      </c>
      <c r="N237" s="1065">
        <f t="shared" si="97"/>
        <v>0</v>
      </c>
      <c r="O237" s="1065">
        <f t="shared" si="97"/>
        <v>0</v>
      </c>
      <c r="P237" s="1000"/>
      <c r="Q237" s="88"/>
    </row>
    <row r="238" spans="2:17" ht="13.15" customHeight="1" x14ac:dyDescent="0.2">
      <c r="B238" s="86"/>
      <c r="C238" s="1000"/>
      <c r="D238" s="1000"/>
      <c r="E238" s="1076">
        <v>3</v>
      </c>
      <c r="F238" s="1076" t="s">
        <v>145</v>
      </c>
      <c r="G238" s="1000"/>
      <c r="H238" s="1050">
        <v>0</v>
      </c>
      <c r="I238" s="1065">
        <f t="shared" si="95"/>
        <v>0</v>
      </c>
      <c r="J238" s="1065">
        <f t="shared" si="95"/>
        <v>0</v>
      </c>
      <c r="K238" s="1065">
        <f t="shared" si="95"/>
        <v>0</v>
      </c>
      <c r="L238" s="1065">
        <f t="shared" si="96"/>
        <v>0</v>
      </c>
      <c r="M238" s="1065">
        <f t="shared" si="96"/>
        <v>0</v>
      </c>
      <c r="N238" s="1065">
        <f t="shared" si="97"/>
        <v>0</v>
      </c>
      <c r="O238" s="1065">
        <f t="shared" si="97"/>
        <v>0</v>
      </c>
      <c r="P238" s="1000"/>
      <c r="Q238" s="88"/>
    </row>
    <row r="239" spans="2:17" ht="13.15" customHeight="1" x14ac:dyDescent="0.2">
      <c r="B239" s="86"/>
      <c r="C239" s="1000"/>
      <c r="D239" s="1000"/>
      <c r="E239" s="1076">
        <v>1</v>
      </c>
      <c r="F239" s="1076" t="s">
        <v>125</v>
      </c>
      <c r="G239" s="1000"/>
      <c r="H239" s="1050">
        <v>0</v>
      </c>
      <c r="I239" s="1065">
        <f t="shared" si="95"/>
        <v>0</v>
      </c>
      <c r="J239" s="1065">
        <f t="shared" si="95"/>
        <v>0</v>
      </c>
      <c r="K239" s="1065">
        <f t="shared" si="95"/>
        <v>0</v>
      </c>
      <c r="L239" s="1065">
        <f t="shared" si="96"/>
        <v>0</v>
      </c>
      <c r="M239" s="1065">
        <f t="shared" si="96"/>
        <v>0</v>
      </c>
      <c r="N239" s="1065">
        <f t="shared" si="97"/>
        <v>0</v>
      </c>
      <c r="O239" s="1065">
        <f t="shared" si="97"/>
        <v>0</v>
      </c>
      <c r="P239" s="1000"/>
      <c r="Q239" s="88"/>
    </row>
    <row r="240" spans="2:17" ht="13.15" customHeight="1" x14ac:dyDescent="0.2">
      <c r="B240" s="86"/>
      <c r="C240" s="1000"/>
      <c r="D240" s="1000"/>
      <c r="E240" s="1076">
        <v>2</v>
      </c>
      <c r="F240" s="1076" t="s">
        <v>125</v>
      </c>
      <c r="G240" s="1000"/>
      <c r="H240" s="1050">
        <v>0</v>
      </c>
      <c r="I240" s="1065">
        <f t="shared" si="95"/>
        <v>0</v>
      </c>
      <c r="J240" s="1065">
        <f t="shared" si="95"/>
        <v>0</v>
      </c>
      <c r="K240" s="1065">
        <f t="shared" si="95"/>
        <v>0</v>
      </c>
      <c r="L240" s="1065">
        <f t="shared" si="96"/>
        <v>0</v>
      </c>
      <c r="M240" s="1065">
        <f t="shared" si="96"/>
        <v>0</v>
      </c>
      <c r="N240" s="1065">
        <f t="shared" si="97"/>
        <v>0</v>
      </c>
      <c r="O240" s="1065">
        <f t="shared" si="97"/>
        <v>0</v>
      </c>
      <c r="P240" s="1000"/>
      <c r="Q240" s="88"/>
    </row>
    <row r="241" spans="2:17" ht="13.15" customHeight="1" x14ac:dyDescent="0.2">
      <c r="B241" s="86"/>
      <c r="C241" s="1000"/>
      <c r="D241" s="1085"/>
      <c r="E241" s="1076">
        <v>3</v>
      </c>
      <c r="F241" s="1076" t="s">
        <v>125</v>
      </c>
      <c r="G241" s="1000"/>
      <c r="H241" s="1050">
        <v>0</v>
      </c>
      <c r="I241" s="1065">
        <f t="shared" si="95"/>
        <v>0</v>
      </c>
      <c r="J241" s="1065">
        <f t="shared" si="95"/>
        <v>0</v>
      </c>
      <c r="K241" s="1065">
        <f t="shared" si="95"/>
        <v>0</v>
      </c>
      <c r="L241" s="1065">
        <f t="shared" si="96"/>
        <v>0</v>
      </c>
      <c r="M241" s="1065">
        <f t="shared" si="96"/>
        <v>0</v>
      </c>
      <c r="N241" s="1065">
        <f t="shared" si="97"/>
        <v>0</v>
      </c>
      <c r="O241" s="1065">
        <f t="shared" si="97"/>
        <v>0</v>
      </c>
      <c r="P241" s="1000"/>
      <c r="Q241" s="88"/>
    </row>
    <row r="242" spans="2:17" ht="13.15" customHeight="1" x14ac:dyDescent="0.2">
      <c r="B242" s="86"/>
      <c r="C242" s="1000"/>
      <c r="D242" s="1085" t="s">
        <v>653</v>
      </c>
      <c r="E242" s="1076"/>
      <c r="F242" s="1076"/>
      <c r="G242" s="1000"/>
      <c r="H242" s="1094">
        <v>41.12</v>
      </c>
      <c r="I242" s="1117">
        <f>tab!$C$111</f>
        <v>41.48</v>
      </c>
      <c r="J242" s="1117">
        <f t="shared" si="95"/>
        <v>41.48</v>
      </c>
      <c r="K242" s="1117">
        <f t="shared" si="95"/>
        <v>41.48</v>
      </c>
      <c r="L242" s="1117">
        <f t="shared" si="96"/>
        <v>41.48</v>
      </c>
      <c r="M242" s="1117">
        <f t="shared" si="96"/>
        <v>41.48</v>
      </c>
      <c r="N242" s="1117">
        <f t="shared" si="97"/>
        <v>41.48</v>
      </c>
      <c r="O242" s="1117">
        <f t="shared" si="97"/>
        <v>41.48</v>
      </c>
      <c r="P242" s="1000"/>
      <c r="Q242" s="88"/>
    </row>
    <row r="243" spans="2:17" ht="13.15" customHeight="1" x14ac:dyDescent="0.2">
      <c r="B243" s="86"/>
      <c r="C243" s="1000"/>
      <c r="D243" s="1000"/>
      <c r="E243" s="1076"/>
      <c r="F243" s="1076"/>
      <c r="G243" s="1000"/>
      <c r="H243" s="1095"/>
      <c r="I243" s="1076"/>
      <c r="J243" s="1076"/>
      <c r="K243" s="1076"/>
      <c r="L243" s="1076"/>
      <c r="M243" s="1076"/>
      <c r="N243" s="1076"/>
      <c r="O243" s="1076"/>
      <c r="P243" s="1000"/>
      <c r="Q243" s="88"/>
    </row>
    <row r="244" spans="2:17" ht="13.15" customHeight="1" x14ac:dyDescent="0.2">
      <c r="B244" s="86"/>
      <c r="C244" s="1000"/>
      <c r="D244" s="1116" t="s">
        <v>134</v>
      </c>
      <c r="E244" s="1076">
        <v>1</v>
      </c>
      <c r="F244" s="1076" t="s">
        <v>145</v>
      </c>
      <c r="G244" s="1000"/>
      <c r="H244" s="1050">
        <v>0</v>
      </c>
      <c r="I244" s="1065">
        <f t="shared" ref="I244:K250" si="98">+H244</f>
        <v>0</v>
      </c>
      <c r="J244" s="1065">
        <f t="shared" si="98"/>
        <v>0</v>
      </c>
      <c r="K244" s="1065">
        <f t="shared" si="98"/>
        <v>0</v>
      </c>
      <c r="L244" s="1065">
        <f t="shared" ref="L244:M250" si="99">+K244</f>
        <v>0</v>
      </c>
      <c r="M244" s="1065">
        <f t="shared" si="99"/>
        <v>0</v>
      </c>
      <c r="N244" s="1065">
        <f t="shared" ref="N244:O250" si="100">+M244</f>
        <v>0</v>
      </c>
      <c r="O244" s="1065">
        <f t="shared" si="100"/>
        <v>0</v>
      </c>
      <c r="P244" s="1000"/>
      <c r="Q244" s="88"/>
    </row>
    <row r="245" spans="2:17" ht="13.15" customHeight="1" x14ac:dyDescent="0.2">
      <c r="B245" s="86"/>
      <c r="C245" s="1000"/>
      <c r="D245" s="1000"/>
      <c r="E245" s="1076">
        <v>2</v>
      </c>
      <c r="F245" s="1076" t="s">
        <v>145</v>
      </c>
      <c r="G245" s="1000"/>
      <c r="H245" s="1050">
        <v>0</v>
      </c>
      <c r="I245" s="1065">
        <f t="shared" si="98"/>
        <v>0</v>
      </c>
      <c r="J245" s="1065">
        <f t="shared" si="98"/>
        <v>0</v>
      </c>
      <c r="K245" s="1065">
        <f t="shared" si="98"/>
        <v>0</v>
      </c>
      <c r="L245" s="1065">
        <f t="shared" si="99"/>
        <v>0</v>
      </c>
      <c r="M245" s="1065">
        <f t="shared" si="99"/>
        <v>0</v>
      </c>
      <c r="N245" s="1065">
        <f t="shared" si="100"/>
        <v>0</v>
      </c>
      <c r="O245" s="1065">
        <f t="shared" si="100"/>
        <v>0</v>
      </c>
      <c r="P245" s="1000"/>
      <c r="Q245" s="88"/>
    </row>
    <row r="246" spans="2:17" ht="13.15" customHeight="1" x14ac:dyDescent="0.2">
      <c r="B246" s="86"/>
      <c r="C246" s="1000"/>
      <c r="D246" s="1000"/>
      <c r="E246" s="1076">
        <v>3</v>
      </c>
      <c r="F246" s="1076" t="s">
        <v>145</v>
      </c>
      <c r="G246" s="1000"/>
      <c r="H246" s="1050">
        <v>0</v>
      </c>
      <c r="I246" s="1065">
        <f t="shared" si="98"/>
        <v>0</v>
      </c>
      <c r="J246" s="1065">
        <f t="shared" si="98"/>
        <v>0</v>
      </c>
      <c r="K246" s="1065">
        <f t="shared" si="98"/>
        <v>0</v>
      </c>
      <c r="L246" s="1065">
        <f t="shared" si="99"/>
        <v>0</v>
      </c>
      <c r="M246" s="1065">
        <f t="shared" si="99"/>
        <v>0</v>
      </c>
      <c r="N246" s="1065">
        <f t="shared" si="100"/>
        <v>0</v>
      </c>
      <c r="O246" s="1065">
        <f t="shared" si="100"/>
        <v>0</v>
      </c>
      <c r="P246" s="1000"/>
      <c r="Q246" s="88"/>
    </row>
    <row r="247" spans="2:17" ht="13.15" customHeight="1" x14ac:dyDescent="0.2">
      <c r="B247" s="86"/>
      <c r="C247" s="1000"/>
      <c r="D247" s="1000"/>
      <c r="E247" s="1076">
        <v>1</v>
      </c>
      <c r="F247" s="1076" t="s">
        <v>125</v>
      </c>
      <c r="G247" s="1000"/>
      <c r="H247" s="1050">
        <v>0</v>
      </c>
      <c r="I247" s="1065">
        <f t="shared" si="98"/>
        <v>0</v>
      </c>
      <c r="J247" s="1065">
        <f t="shared" si="98"/>
        <v>0</v>
      </c>
      <c r="K247" s="1065">
        <f t="shared" si="98"/>
        <v>0</v>
      </c>
      <c r="L247" s="1065">
        <f t="shared" si="99"/>
        <v>0</v>
      </c>
      <c r="M247" s="1065">
        <f t="shared" si="99"/>
        <v>0</v>
      </c>
      <c r="N247" s="1065">
        <f t="shared" si="100"/>
        <v>0</v>
      </c>
      <c r="O247" s="1065">
        <f t="shared" si="100"/>
        <v>0</v>
      </c>
      <c r="P247" s="1000"/>
      <c r="Q247" s="88"/>
    </row>
    <row r="248" spans="2:17" ht="13.15" customHeight="1" x14ac:dyDescent="0.2">
      <c r="B248" s="86"/>
      <c r="C248" s="1000"/>
      <c r="D248" s="1000"/>
      <c r="E248" s="1076">
        <v>2</v>
      </c>
      <c r="F248" s="1076" t="s">
        <v>125</v>
      </c>
      <c r="G248" s="1000"/>
      <c r="H248" s="1050">
        <v>0</v>
      </c>
      <c r="I248" s="1065">
        <f t="shared" si="98"/>
        <v>0</v>
      </c>
      <c r="J248" s="1065">
        <f t="shared" si="98"/>
        <v>0</v>
      </c>
      <c r="K248" s="1065">
        <f t="shared" si="98"/>
        <v>0</v>
      </c>
      <c r="L248" s="1065">
        <f t="shared" si="99"/>
        <v>0</v>
      </c>
      <c r="M248" s="1065">
        <f t="shared" si="99"/>
        <v>0</v>
      </c>
      <c r="N248" s="1065">
        <f t="shared" si="100"/>
        <v>0</v>
      </c>
      <c r="O248" s="1065">
        <f t="shared" si="100"/>
        <v>0</v>
      </c>
      <c r="P248" s="1000"/>
      <c r="Q248" s="88"/>
    </row>
    <row r="249" spans="2:17" ht="13.15" customHeight="1" x14ac:dyDescent="0.2">
      <c r="B249" s="86"/>
      <c r="C249" s="1000"/>
      <c r="D249" s="1000"/>
      <c r="E249" s="1076">
        <v>3</v>
      </c>
      <c r="F249" s="1076" t="s">
        <v>125</v>
      </c>
      <c r="G249" s="1000"/>
      <c r="H249" s="1050">
        <v>0</v>
      </c>
      <c r="I249" s="1065">
        <f t="shared" si="98"/>
        <v>0</v>
      </c>
      <c r="J249" s="1065">
        <f t="shared" si="98"/>
        <v>0</v>
      </c>
      <c r="K249" s="1065">
        <f t="shared" si="98"/>
        <v>0</v>
      </c>
      <c r="L249" s="1065">
        <f t="shared" si="99"/>
        <v>0</v>
      </c>
      <c r="M249" s="1065">
        <f t="shared" si="99"/>
        <v>0</v>
      </c>
      <c r="N249" s="1065">
        <f t="shared" si="100"/>
        <v>0</v>
      </c>
      <c r="O249" s="1065">
        <f t="shared" si="100"/>
        <v>0</v>
      </c>
      <c r="P249" s="1000"/>
      <c r="Q249" s="88"/>
    </row>
    <row r="250" spans="2:17" ht="13.15" customHeight="1" x14ac:dyDescent="0.2">
      <c r="B250" s="86"/>
      <c r="C250" s="1000"/>
      <c r="D250" s="1085" t="s">
        <v>653</v>
      </c>
      <c r="E250" s="1076"/>
      <c r="F250" s="1076"/>
      <c r="G250" s="1000"/>
      <c r="H250" s="1094">
        <v>41.12</v>
      </c>
      <c r="I250" s="1117">
        <f>tab!$C$111</f>
        <v>41.48</v>
      </c>
      <c r="J250" s="1117">
        <f t="shared" si="98"/>
        <v>41.48</v>
      </c>
      <c r="K250" s="1117">
        <f t="shared" si="98"/>
        <v>41.48</v>
      </c>
      <c r="L250" s="1117">
        <f t="shared" si="99"/>
        <v>41.48</v>
      </c>
      <c r="M250" s="1117">
        <f t="shared" si="99"/>
        <v>41.48</v>
      </c>
      <c r="N250" s="1117">
        <f t="shared" si="100"/>
        <v>41.48</v>
      </c>
      <c r="O250" s="1117">
        <f t="shared" si="100"/>
        <v>41.48</v>
      </c>
      <c r="P250" s="1000"/>
      <c r="Q250" s="88"/>
    </row>
    <row r="251" spans="2:17" ht="13.15" customHeight="1" x14ac:dyDescent="0.2">
      <c r="B251" s="86"/>
      <c r="C251" s="1000"/>
      <c r="D251" s="1000"/>
      <c r="E251" s="1076"/>
      <c r="F251" s="1076"/>
      <c r="G251" s="1000"/>
      <c r="H251" s="1095"/>
      <c r="I251" s="1076"/>
      <c r="J251" s="1076"/>
      <c r="K251" s="1076"/>
      <c r="L251" s="1076"/>
      <c r="M251" s="1076"/>
      <c r="N251" s="1076"/>
      <c r="O251" s="1076"/>
      <c r="P251" s="1000"/>
      <c r="Q251" s="88"/>
    </row>
    <row r="252" spans="2:17" ht="13.15" customHeight="1" x14ac:dyDescent="0.2">
      <c r="B252" s="86"/>
      <c r="C252" s="1000"/>
      <c r="D252" s="1116" t="s">
        <v>135</v>
      </c>
      <c r="E252" s="1076">
        <v>1</v>
      </c>
      <c r="F252" s="1076" t="s">
        <v>145</v>
      </c>
      <c r="G252" s="1000"/>
      <c r="H252" s="1050">
        <v>0</v>
      </c>
      <c r="I252" s="1065">
        <f t="shared" ref="I252:K258" si="101">+H252</f>
        <v>0</v>
      </c>
      <c r="J252" s="1065">
        <f t="shared" si="101"/>
        <v>0</v>
      </c>
      <c r="K252" s="1065">
        <f t="shared" si="101"/>
        <v>0</v>
      </c>
      <c r="L252" s="1065">
        <f t="shared" ref="L252:M258" si="102">+K252</f>
        <v>0</v>
      </c>
      <c r="M252" s="1065">
        <f t="shared" si="102"/>
        <v>0</v>
      </c>
      <c r="N252" s="1065">
        <f t="shared" ref="N252:O258" si="103">+M252</f>
        <v>0</v>
      </c>
      <c r="O252" s="1065">
        <f t="shared" si="103"/>
        <v>0</v>
      </c>
      <c r="P252" s="1000"/>
      <c r="Q252" s="88"/>
    </row>
    <row r="253" spans="2:17" ht="13.15" customHeight="1" x14ac:dyDescent="0.2">
      <c r="B253" s="86"/>
      <c r="C253" s="1000"/>
      <c r="D253" s="1000"/>
      <c r="E253" s="1076">
        <v>2</v>
      </c>
      <c r="F253" s="1076" t="s">
        <v>145</v>
      </c>
      <c r="G253" s="1000"/>
      <c r="H253" s="1050">
        <v>0</v>
      </c>
      <c r="I253" s="1065">
        <f t="shared" si="101"/>
        <v>0</v>
      </c>
      <c r="J253" s="1065">
        <f t="shared" si="101"/>
        <v>0</v>
      </c>
      <c r="K253" s="1065">
        <f t="shared" si="101"/>
        <v>0</v>
      </c>
      <c r="L253" s="1065">
        <f t="shared" si="102"/>
        <v>0</v>
      </c>
      <c r="M253" s="1065">
        <f t="shared" si="102"/>
        <v>0</v>
      </c>
      <c r="N253" s="1065">
        <f t="shared" si="103"/>
        <v>0</v>
      </c>
      <c r="O253" s="1065">
        <f t="shared" si="103"/>
        <v>0</v>
      </c>
      <c r="P253" s="1000"/>
      <c r="Q253" s="88"/>
    </row>
    <row r="254" spans="2:17" ht="13.15" customHeight="1" x14ac:dyDescent="0.2">
      <c r="B254" s="86"/>
      <c r="C254" s="1000"/>
      <c r="D254" s="1000"/>
      <c r="E254" s="1076">
        <v>3</v>
      </c>
      <c r="F254" s="1076" t="s">
        <v>145</v>
      </c>
      <c r="G254" s="1000"/>
      <c r="H254" s="1050">
        <v>0</v>
      </c>
      <c r="I254" s="1065">
        <f t="shared" si="101"/>
        <v>0</v>
      </c>
      <c r="J254" s="1065">
        <f t="shared" si="101"/>
        <v>0</v>
      </c>
      <c r="K254" s="1065">
        <f t="shared" si="101"/>
        <v>0</v>
      </c>
      <c r="L254" s="1065">
        <f t="shared" si="102"/>
        <v>0</v>
      </c>
      <c r="M254" s="1065">
        <f t="shared" si="102"/>
        <v>0</v>
      </c>
      <c r="N254" s="1065">
        <f t="shared" si="103"/>
        <v>0</v>
      </c>
      <c r="O254" s="1065">
        <f t="shared" si="103"/>
        <v>0</v>
      </c>
      <c r="P254" s="1000"/>
      <c r="Q254" s="88"/>
    </row>
    <row r="255" spans="2:17" ht="13.15" customHeight="1" x14ac:dyDescent="0.2">
      <c r="B255" s="86"/>
      <c r="C255" s="1000"/>
      <c r="D255" s="1000"/>
      <c r="E255" s="1076">
        <v>1</v>
      </c>
      <c r="F255" s="1076" t="s">
        <v>125</v>
      </c>
      <c r="G255" s="1000"/>
      <c r="H255" s="1050">
        <v>0</v>
      </c>
      <c r="I255" s="1065">
        <f t="shared" si="101"/>
        <v>0</v>
      </c>
      <c r="J255" s="1065">
        <f t="shared" si="101"/>
        <v>0</v>
      </c>
      <c r="K255" s="1065">
        <f t="shared" si="101"/>
        <v>0</v>
      </c>
      <c r="L255" s="1065">
        <f t="shared" si="102"/>
        <v>0</v>
      </c>
      <c r="M255" s="1065">
        <f t="shared" si="102"/>
        <v>0</v>
      </c>
      <c r="N255" s="1065">
        <f t="shared" si="103"/>
        <v>0</v>
      </c>
      <c r="O255" s="1065">
        <f t="shared" si="103"/>
        <v>0</v>
      </c>
      <c r="P255" s="1000"/>
      <c r="Q255" s="88"/>
    </row>
    <row r="256" spans="2:17" ht="13.15" customHeight="1" x14ac:dyDescent="0.2">
      <c r="B256" s="86"/>
      <c r="C256" s="1000"/>
      <c r="D256" s="1000"/>
      <c r="E256" s="1076">
        <v>2</v>
      </c>
      <c r="F256" s="1076" t="s">
        <v>125</v>
      </c>
      <c r="G256" s="1000"/>
      <c r="H256" s="1050">
        <v>0</v>
      </c>
      <c r="I256" s="1065">
        <f t="shared" si="101"/>
        <v>0</v>
      </c>
      <c r="J256" s="1065">
        <f t="shared" si="101"/>
        <v>0</v>
      </c>
      <c r="K256" s="1065">
        <f t="shared" si="101"/>
        <v>0</v>
      </c>
      <c r="L256" s="1065">
        <f t="shared" si="102"/>
        <v>0</v>
      </c>
      <c r="M256" s="1065">
        <f t="shared" si="102"/>
        <v>0</v>
      </c>
      <c r="N256" s="1065">
        <f t="shared" si="103"/>
        <v>0</v>
      </c>
      <c r="O256" s="1065">
        <f t="shared" si="103"/>
        <v>0</v>
      </c>
      <c r="P256" s="1000"/>
      <c r="Q256" s="88"/>
    </row>
    <row r="257" spans="2:35" ht="13.15" customHeight="1" x14ac:dyDescent="0.2">
      <c r="B257" s="86"/>
      <c r="C257" s="1000"/>
      <c r="D257" s="1000"/>
      <c r="E257" s="1076">
        <v>3</v>
      </c>
      <c r="F257" s="1076" t="s">
        <v>125</v>
      </c>
      <c r="G257" s="1000"/>
      <c r="H257" s="1050">
        <v>0</v>
      </c>
      <c r="I257" s="1065">
        <f t="shared" si="101"/>
        <v>0</v>
      </c>
      <c r="J257" s="1065">
        <f t="shared" si="101"/>
        <v>0</v>
      </c>
      <c r="K257" s="1065">
        <f t="shared" si="101"/>
        <v>0</v>
      </c>
      <c r="L257" s="1065">
        <f t="shared" si="102"/>
        <v>0</v>
      </c>
      <c r="M257" s="1065">
        <f t="shared" si="102"/>
        <v>0</v>
      </c>
      <c r="N257" s="1065">
        <f t="shared" si="103"/>
        <v>0</v>
      </c>
      <c r="O257" s="1065">
        <f t="shared" si="103"/>
        <v>0</v>
      </c>
      <c r="P257" s="1000"/>
      <c r="Q257" s="88"/>
    </row>
    <row r="258" spans="2:35" ht="13.15" customHeight="1" x14ac:dyDescent="0.2">
      <c r="B258" s="86"/>
      <c r="C258" s="1000"/>
      <c r="D258" s="1085" t="s">
        <v>653</v>
      </c>
      <c r="E258" s="1076"/>
      <c r="F258" s="1076"/>
      <c r="G258" s="1000"/>
      <c r="H258" s="1094">
        <v>41.12</v>
      </c>
      <c r="I258" s="1117">
        <f>tab!$C$111</f>
        <v>41.48</v>
      </c>
      <c r="J258" s="1117">
        <f t="shared" si="101"/>
        <v>41.48</v>
      </c>
      <c r="K258" s="1117">
        <f t="shared" si="101"/>
        <v>41.48</v>
      </c>
      <c r="L258" s="1117">
        <f t="shared" si="102"/>
        <v>41.48</v>
      </c>
      <c r="M258" s="1117">
        <f t="shared" si="102"/>
        <v>41.48</v>
      </c>
      <c r="N258" s="1117">
        <f t="shared" si="103"/>
        <v>41.48</v>
      </c>
      <c r="O258" s="1117">
        <f t="shared" si="103"/>
        <v>41.48</v>
      </c>
      <c r="P258" s="1000"/>
      <c r="Q258" s="88"/>
      <c r="S258" s="476"/>
      <c r="T258" s="476"/>
      <c r="U258" s="476"/>
      <c r="V258" s="476"/>
      <c r="W258" s="476"/>
      <c r="X258" s="476"/>
      <c r="Y258" s="476"/>
      <c r="Z258" s="476"/>
      <c r="AA258" s="476"/>
      <c r="AB258" s="476"/>
      <c r="AC258" s="476"/>
      <c r="AD258" s="476"/>
      <c r="AE258" s="476"/>
      <c r="AF258" s="476"/>
      <c r="AG258" s="476"/>
      <c r="AH258" s="476"/>
      <c r="AI258" s="476"/>
    </row>
    <row r="259" spans="2:35" ht="13.15" customHeight="1" x14ac:dyDescent="0.2">
      <c r="B259" s="86"/>
      <c r="C259" s="1000"/>
      <c r="D259" s="1000"/>
      <c r="E259" s="1076"/>
      <c r="F259" s="1076"/>
      <c r="G259" s="1000"/>
      <c r="H259" s="1095"/>
      <c r="I259" s="1076"/>
      <c r="J259" s="1076"/>
      <c r="K259" s="1076"/>
      <c r="L259" s="1076"/>
      <c r="M259" s="1076"/>
      <c r="N259" s="1076"/>
      <c r="O259" s="1076"/>
      <c r="P259" s="1000"/>
      <c r="Q259" s="88"/>
      <c r="S259" s="476"/>
      <c r="T259" s="476"/>
      <c r="U259" s="476"/>
      <c r="V259" s="476"/>
      <c r="W259" s="476"/>
      <c r="X259" s="476"/>
      <c r="Y259" s="476"/>
      <c r="Z259" s="476"/>
      <c r="AA259" s="476"/>
      <c r="AB259" s="476"/>
      <c r="AC259" s="476"/>
      <c r="AD259" s="476"/>
      <c r="AE259" s="476"/>
      <c r="AF259" s="476"/>
      <c r="AG259" s="476"/>
      <c r="AH259" s="476"/>
      <c r="AI259" s="476"/>
    </row>
    <row r="260" spans="2:35" ht="13.15" customHeight="1" x14ac:dyDescent="0.2">
      <c r="B260" s="86"/>
      <c r="C260" s="1000"/>
      <c r="D260" s="1116" t="s">
        <v>136</v>
      </c>
      <c r="E260" s="1076">
        <v>1</v>
      </c>
      <c r="F260" s="1076" t="s">
        <v>145</v>
      </c>
      <c r="G260" s="1000"/>
      <c r="H260" s="1050">
        <v>0</v>
      </c>
      <c r="I260" s="1065">
        <f t="shared" ref="I260:K266" si="104">+H260</f>
        <v>0</v>
      </c>
      <c r="J260" s="1065">
        <f t="shared" si="104"/>
        <v>0</v>
      </c>
      <c r="K260" s="1065">
        <f t="shared" si="104"/>
        <v>0</v>
      </c>
      <c r="L260" s="1065">
        <f t="shared" ref="L260:M266" si="105">+K260</f>
        <v>0</v>
      </c>
      <c r="M260" s="1065">
        <f t="shared" si="105"/>
        <v>0</v>
      </c>
      <c r="N260" s="1065">
        <f t="shared" ref="N260:O266" si="106">+M260</f>
        <v>0</v>
      </c>
      <c r="O260" s="1065">
        <f t="shared" si="106"/>
        <v>0</v>
      </c>
      <c r="P260" s="1000"/>
      <c r="Q260" s="88"/>
      <c r="S260" s="476"/>
      <c r="T260" s="476"/>
      <c r="U260" s="476"/>
      <c r="V260" s="476"/>
      <c r="W260" s="614"/>
      <c r="X260" s="614"/>
      <c r="Y260" s="476"/>
      <c r="Z260" s="667"/>
      <c r="AA260" s="614"/>
      <c r="AB260" s="614"/>
      <c r="AC260" s="614"/>
      <c r="AD260" s="614"/>
      <c r="AE260" s="614"/>
      <c r="AF260" s="614"/>
      <c r="AG260" s="476"/>
      <c r="AH260" s="476"/>
      <c r="AI260" s="476"/>
    </row>
    <row r="261" spans="2:35" ht="13.15" customHeight="1" x14ac:dyDescent="0.2">
      <c r="B261" s="86"/>
      <c r="C261" s="1000"/>
      <c r="D261" s="1000"/>
      <c r="E261" s="1076">
        <v>2</v>
      </c>
      <c r="F261" s="1076" t="s">
        <v>145</v>
      </c>
      <c r="G261" s="1000"/>
      <c r="H261" s="1050">
        <v>0</v>
      </c>
      <c r="I261" s="1065">
        <f t="shared" si="104"/>
        <v>0</v>
      </c>
      <c r="J261" s="1065">
        <f t="shared" si="104"/>
        <v>0</v>
      </c>
      <c r="K261" s="1065">
        <f t="shared" si="104"/>
        <v>0</v>
      </c>
      <c r="L261" s="1065">
        <f t="shared" si="105"/>
        <v>0</v>
      </c>
      <c r="M261" s="1065">
        <f t="shared" si="105"/>
        <v>0</v>
      </c>
      <c r="N261" s="1065">
        <f t="shared" si="106"/>
        <v>0</v>
      </c>
      <c r="O261" s="1065">
        <f t="shared" si="106"/>
        <v>0</v>
      </c>
      <c r="P261" s="1000"/>
      <c r="Q261" s="88"/>
      <c r="S261" s="476"/>
      <c r="T261" s="476"/>
      <c r="U261" s="476"/>
      <c r="V261" s="476"/>
      <c r="W261" s="614"/>
      <c r="X261" s="614"/>
      <c r="Y261" s="476"/>
      <c r="Z261" s="667"/>
      <c r="AA261" s="614"/>
      <c r="AB261" s="614"/>
      <c r="AC261" s="614"/>
      <c r="AD261" s="614"/>
      <c r="AE261" s="614"/>
      <c r="AF261" s="614"/>
      <c r="AG261" s="476"/>
      <c r="AH261" s="476"/>
      <c r="AI261" s="476"/>
    </row>
    <row r="262" spans="2:35" ht="13.15" customHeight="1" x14ac:dyDescent="0.2">
      <c r="B262" s="86"/>
      <c r="C262" s="1000"/>
      <c r="D262" s="1000"/>
      <c r="E262" s="1076">
        <v>3</v>
      </c>
      <c r="F262" s="1076" t="s">
        <v>145</v>
      </c>
      <c r="G262" s="1000"/>
      <c r="H262" s="1050">
        <v>0</v>
      </c>
      <c r="I262" s="1065">
        <f t="shared" si="104"/>
        <v>0</v>
      </c>
      <c r="J262" s="1065">
        <f t="shared" si="104"/>
        <v>0</v>
      </c>
      <c r="K262" s="1065">
        <f t="shared" si="104"/>
        <v>0</v>
      </c>
      <c r="L262" s="1065">
        <f t="shared" si="105"/>
        <v>0</v>
      </c>
      <c r="M262" s="1065">
        <f t="shared" si="105"/>
        <v>0</v>
      </c>
      <c r="N262" s="1065">
        <f t="shared" si="106"/>
        <v>0</v>
      </c>
      <c r="O262" s="1065">
        <f t="shared" si="106"/>
        <v>0</v>
      </c>
      <c r="P262" s="1000"/>
      <c r="Q262" s="88"/>
      <c r="S262" s="476"/>
      <c r="T262" s="476"/>
      <c r="U262" s="476"/>
      <c r="V262" s="476"/>
      <c r="W262" s="614"/>
      <c r="X262" s="614"/>
      <c r="Y262" s="476"/>
      <c r="Z262" s="667"/>
      <c r="AA262" s="614"/>
      <c r="AB262" s="614"/>
      <c r="AC262" s="614"/>
      <c r="AD262" s="614"/>
      <c r="AE262" s="614"/>
      <c r="AF262" s="614"/>
      <c r="AG262" s="476"/>
      <c r="AH262" s="476"/>
      <c r="AI262" s="476"/>
    </row>
    <row r="263" spans="2:35" ht="13.15" customHeight="1" x14ac:dyDescent="0.2">
      <c r="B263" s="86"/>
      <c r="C263" s="1000"/>
      <c r="D263" s="1000"/>
      <c r="E263" s="1076">
        <v>1</v>
      </c>
      <c r="F263" s="1076" t="s">
        <v>125</v>
      </c>
      <c r="G263" s="1000"/>
      <c r="H263" s="1050">
        <v>0</v>
      </c>
      <c r="I263" s="1065">
        <f t="shared" si="104"/>
        <v>0</v>
      </c>
      <c r="J263" s="1065">
        <f t="shared" si="104"/>
        <v>0</v>
      </c>
      <c r="K263" s="1065">
        <f t="shared" si="104"/>
        <v>0</v>
      </c>
      <c r="L263" s="1065">
        <f t="shared" si="105"/>
        <v>0</v>
      </c>
      <c r="M263" s="1065">
        <f t="shared" si="105"/>
        <v>0</v>
      </c>
      <c r="N263" s="1065">
        <f t="shared" si="106"/>
        <v>0</v>
      </c>
      <c r="O263" s="1065">
        <f t="shared" si="106"/>
        <v>0</v>
      </c>
      <c r="P263" s="1000"/>
      <c r="Q263" s="88"/>
      <c r="S263" s="476"/>
      <c r="T263" s="476"/>
      <c r="U263" s="476"/>
      <c r="V263" s="476"/>
      <c r="W263" s="614"/>
      <c r="X263" s="614"/>
      <c r="Y263" s="476"/>
      <c r="Z263" s="667"/>
      <c r="AA263" s="614"/>
      <c r="AB263" s="614"/>
      <c r="AC263" s="614"/>
      <c r="AD263" s="614"/>
      <c r="AE263" s="614"/>
      <c r="AF263" s="614"/>
      <c r="AG263" s="476"/>
      <c r="AH263" s="476"/>
      <c r="AI263" s="476"/>
    </row>
    <row r="264" spans="2:35" ht="13.15" customHeight="1" x14ac:dyDescent="0.2">
      <c r="B264" s="86"/>
      <c r="C264" s="1000"/>
      <c r="D264" s="1000"/>
      <c r="E264" s="1076">
        <v>2</v>
      </c>
      <c r="F264" s="1076" t="s">
        <v>125</v>
      </c>
      <c r="G264" s="1000"/>
      <c r="H264" s="1050">
        <v>0</v>
      </c>
      <c r="I264" s="1065">
        <f t="shared" si="104"/>
        <v>0</v>
      </c>
      <c r="J264" s="1065">
        <f t="shared" si="104"/>
        <v>0</v>
      </c>
      <c r="K264" s="1065">
        <f t="shared" si="104"/>
        <v>0</v>
      </c>
      <c r="L264" s="1065">
        <f t="shared" si="105"/>
        <v>0</v>
      </c>
      <c r="M264" s="1065">
        <f t="shared" si="105"/>
        <v>0</v>
      </c>
      <c r="N264" s="1065">
        <f t="shared" si="106"/>
        <v>0</v>
      </c>
      <c r="O264" s="1065">
        <f t="shared" si="106"/>
        <v>0</v>
      </c>
      <c r="P264" s="1000"/>
      <c r="Q264" s="88"/>
      <c r="S264" s="476"/>
      <c r="T264" s="476"/>
      <c r="U264" s="476"/>
      <c r="V264" s="476"/>
      <c r="W264" s="614"/>
      <c r="X264" s="614"/>
      <c r="Y264" s="476"/>
      <c r="Z264" s="667"/>
      <c r="AA264" s="614"/>
      <c r="AB264" s="614"/>
      <c r="AC264" s="614"/>
      <c r="AD264" s="614"/>
      <c r="AE264" s="614"/>
      <c r="AF264" s="614"/>
      <c r="AG264" s="476"/>
      <c r="AH264" s="476"/>
      <c r="AI264" s="476"/>
    </row>
    <row r="265" spans="2:35" ht="13.15" customHeight="1" x14ac:dyDescent="0.2">
      <c r="B265" s="86"/>
      <c r="C265" s="1000"/>
      <c r="D265" s="1000"/>
      <c r="E265" s="1076">
        <v>3</v>
      </c>
      <c r="F265" s="1076" t="s">
        <v>125</v>
      </c>
      <c r="G265" s="1000"/>
      <c r="H265" s="1050">
        <v>0</v>
      </c>
      <c r="I265" s="1065">
        <f t="shared" si="104"/>
        <v>0</v>
      </c>
      <c r="J265" s="1065">
        <f t="shared" si="104"/>
        <v>0</v>
      </c>
      <c r="K265" s="1065">
        <f t="shared" si="104"/>
        <v>0</v>
      </c>
      <c r="L265" s="1065">
        <f t="shared" si="105"/>
        <v>0</v>
      </c>
      <c r="M265" s="1065">
        <f t="shared" si="105"/>
        <v>0</v>
      </c>
      <c r="N265" s="1065">
        <f t="shared" si="106"/>
        <v>0</v>
      </c>
      <c r="O265" s="1065">
        <f t="shared" si="106"/>
        <v>0</v>
      </c>
      <c r="P265" s="1000"/>
      <c r="Q265" s="88"/>
      <c r="S265" s="476"/>
      <c r="T265" s="476"/>
      <c r="U265" s="476"/>
      <c r="V265" s="476"/>
      <c r="W265" s="614"/>
      <c r="X265" s="614"/>
      <c r="Y265" s="476"/>
      <c r="Z265" s="668"/>
      <c r="AA265" s="668"/>
      <c r="AB265" s="668"/>
      <c r="AC265" s="668"/>
      <c r="AD265" s="668"/>
      <c r="AE265" s="668"/>
      <c r="AF265" s="668"/>
      <c r="AG265" s="476"/>
      <c r="AH265" s="476"/>
      <c r="AI265" s="476"/>
    </row>
    <row r="266" spans="2:35" ht="13.15" customHeight="1" x14ac:dyDescent="0.2">
      <c r="B266" s="86"/>
      <c r="C266" s="1000"/>
      <c r="D266" s="1085" t="s">
        <v>653</v>
      </c>
      <c r="E266" s="1076"/>
      <c r="F266" s="1076"/>
      <c r="G266" s="1000"/>
      <c r="H266" s="1094">
        <v>41.12</v>
      </c>
      <c r="I266" s="1117">
        <f>tab!$C$111</f>
        <v>41.48</v>
      </c>
      <c r="J266" s="1117">
        <f t="shared" si="104"/>
        <v>41.48</v>
      </c>
      <c r="K266" s="1117">
        <f t="shared" si="104"/>
        <v>41.48</v>
      </c>
      <c r="L266" s="1117">
        <f t="shared" si="105"/>
        <v>41.48</v>
      </c>
      <c r="M266" s="1117">
        <f t="shared" si="105"/>
        <v>41.48</v>
      </c>
      <c r="N266" s="1117">
        <f t="shared" si="106"/>
        <v>41.48</v>
      </c>
      <c r="O266" s="1117">
        <f t="shared" si="106"/>
        <v>41.48</v>
      </c>
      <c r="P266" s="1000"/>
      <c r="Q266" s="88"/>
      <c r="S266" s="476"/>
      <c r="T266" s="476"/>
      <c r="U266" s="476"/>
      <c r="V266" s="476"/>
      <c r="W266" s="614"/>
      <c r="X266" s="614"/>
      <c r="Y266" s="476"/>
      <c r="Z266" s="668"/>
      <c r="AA266" s="668"/>
      <c r="AB266" s="668"/>
      <c r="AC266" s="668"/>
      <c r="AD266" s="668"/>
      <c r="AE266" s="668"/>
      <c r="AF266" s="668"/>
      <c r="AG266" s="476"/>
      <c r="AH266" s="476"/>
      <c r="AI266" s="476"/>
    </row>
    <row r="267" spans="2:35" ht="13.15" customHeight="1" x14ac:dyDescent="0.2">
      <c r="B267" s="86"/>
      <c r="C267" s="1000"/>
      <c r="D267" s="1000"/>
      <c r="E267" s="1076"/>
      <c r="F267" s="1076"/>
      <c r="G267" s="1000"/>
      <c r="H267" s="1095"/>
      <c r="I267" s="1076"/>
      <c r="J267" s="1076"/>
      <c r="K267" s="1076"/>
      <c r="L267" s="1076"/>
      <c r="M267" s="1076"/>
      <c r="N267" s="1076"/>
      <c r="O267" s="1076"/>
      <c r="P267" s="1000"/>
      <c r="Q267" s="88"/>
      <c r="S267" s="476"/>
      <c r="T267" s="476"/>
      <c r="U267" s="476"/>
      <c r="V267" s="476"/>
      <c r="W267" s="614"/>
      <c r="X267" s="614"/>
      <c r="Y267" s="476"/>
      <c r="Z267" s="667"/>
      <c r="AA267" s="614"/>
      <c r="AB267" s="614"/>
      <c r="AC267" s="614"/>
      <c r="AD267" s="614"/>
      <c r="AE267" s="614"/>
      <c r="AF267" s="614"/>
      <c r="AG267" s="476"/>
      <c r="AH267" s="476"/>
      <c r="AI267" s="476"/>
    </row>
    <row r="268" spans="2:35" ht="13.15" customHeight="1" x14ac:dyDescent="0.2">
      <c r="B268" s="86"/>
      <c r="C268" s="1000"/>
      <c r="D268" s="1116" t="s">
        <v>137</v>
      </c>
      <c r="E268" s="1076">
        <v>1</v>
      </c>
      <c r="F268" s="1076" t="s">
        <v>145</v>
      </c>
      <c r="G268" s="1000"/>
      <c r="H268" s="1050">
        <v>0</v>
      </c>
      <c r="I268" s="1065">
        <f t="shared" ref="I268:K274" si="107">+H268</f>
        <v>0</v>
      </c>
      <c r="J268" s="1065">
        <f t="shared" si="107"/>
        <v>0</v>
      </c>
      <c r="K268" s="1065">
        <f t="shared" si="107"/>
        <v>0</v>
      </c>
      <c r="L268" s="1065">
        <f t="shared" ref="L268:M274" si="108">+K268</f>
        <v>0</v>
      </c>
      <c r="M268" s="1065">
        <f t="shared" si="108"/>
        <v>0</v>
      </c>
      <c r="N268" s="1065">
        <f t="shared" ref="N268:O274" si="109">+M268</f>
        <v>0</v>
      </c>
      <c r="O268" s="1065">
        <f t="shared" si="109"/>
        <v>0</v>
      </c>
      <c r="P268" s="1000"/>
      <c r="Q268" s="88"/>
      <c r="S268" s="476"/>
      <c r="T268" s="476"/>
      <c r="U268" s="476"/>
      <c r="V268" s="476"/>
      <c r="W268" s="476"/>
      <c r="X268" s="476"/>
      <c r="Y268" s="476"/>
      <c r="Z268" s="476"/>
      <c r="AA268" s="476"/>
      <c r="AB268" s="476"/>
      <c r="AC268" s="476"/>
      <c r="AD268" s="476"/>
      <c r="AE268" s="476"/>
      <c r="AF268" s="476"/>
      <c r="AG268" s="476"/>
      <c r="AH268" s="476"/>
      <c r="AI268" s="476"/>
    </row>
    <row r="269" spans="2:35" ht="13.15" customHeight="1" x14ac:dyDescent="0.2">
      <c r="B269" s="86"/>
      <c r="C269" s="1000"/>
      <c r="D269" s="1000"/>
      <c r="E269" s="1076">
        <v>2</v>
      </c>
      <c r="F269" s="1076" t="s">
        <v>145</v>
      </c>
      <c r="G269" s="1000"/>
      <c r="H269" s="1050">
        <v>0</v>
      </c>
      <c r="I269" s="1065">
        <f t="shared" si="107"/>
        <v>0</v>
      </c>
      <c r="J269" s="1065">
        <f t="shared" si="107"/>
        <v>0</v>
      </c>
      <c r="K269" s="1065">
        <f t="shared" si="107"/>
        <v>0</v>
      </c>
      <c r="L269" s="1065">
        <f t="shared" si="108"/>
        <v>0</v>
      </c>
      <c r="M269" s="1065">
        <f t="shared" si="108"/>
        <v>0</v>
      </c>
      <c r="N269" s="1065">
        <f t="shared" si="109"/>
        <v>0</v>
      </c>
      <c r="O269" s="1065">
        <f t="shared" si="109"/>
        <v>0</v>
      </c>
      <c r="P269" s="1000"/>
      <c r="Q269" s="88"/>
      <c r="S269" s="476"/>
      <c r="T269" s="476"/>
      <c r="U269" s="476"/>
      <c r="V269" s="476"/>
      <c r="W269" s="476"/>
      <c r="X269" s="476"/>
      <c r="Y269" s="476"/>
      <c r="Z269" s="476"/>
      <c r="AA269" s="476"/>
      <c r="AB269" s="476"/>
      <c r="AC269" s="476"/>
      <c r="AD269" s="476"/>
      <c r="AE269" s="476"/>
      <c r="AF269" s="476"/>
      <c r="AG269" s="476"/>
      <c r="AH269" s="476"/>
      <c r="AI269" s="476"/>
    </row>
    <row r="270" spans="2:35" ht="13.15" customHeight="1" x14ac:dyDescent="0.2">
      <c r="B270" s="86"/>
      <c r="C270" s="1000"/>
      <c r="D270" s="1000"/>
      <c r="E270" s="1076">
        <v>3</v>
      </c>
      <c r="F270" s="1076" t="s">
        <v>145</v>
      </c>
      <c r="G270" s="1000"/>
      <c r="H270" s="1050">
        <v>0</v>
      </c>
      <c r="I270" s="1065">
        <f t="shared" si="107"/>
        <v>0</v>
      </c>
      <c r="J270" s="1065">
        <f t="shared" si="107"/>
        <v>0</v>
      </c>
      <c r="K270" s="1065">
        <f t="shared" si="107"/>
        <v>0</v>
      </c>
      <c r="L270" s="1065">
        <f t="shared" si="108"/>
        <v>0</v>
      </c>
      <c r="M270" s="1065">
        <f t="shared" si="108"/>
        <v>0</v>
      </c>
      <c r="N270" s="1065">
        <f t="shared" si="109"/>
        <v>0</v>
      </c>
      <c r="O270" s="1065">
        <f t="shared" si="109"/>
        <v>0</v>
      </c>
      <c r="P270" s="1000"/>
      <c r="Q270" s="88"/>
      <c r="S270" s="476"/>
      <c r="T270" s="476"/>
      <c r="U270" s="476"/>
      <c r="V270" s="476"/>
      <c r="W270" s="476"/>
      <c r="X270" s="476"/>
      <c r="Y270" s="476"/>
      <c r="Z270" s="476"/>
      <c r="AA270" s="476"/>
      <c r="AB270" s="476"/>
      <c r="AC270" s="476"/>
      <c r="AD270" s="476"/>
      <c r="AE270" s="476"/>
      <c r="AF270" s="476"/>
      <c r="AG270" s="476"/>
      <c r="AH270" s="476"/>
      <c r="AI270" s="476"/>
    </row>
    <row r="271" spans="2:35" ht="13.15" customHeight="1" x14ac:dyDescent="0.2">
      <c r="B271" s="86"/>
      <c r="C271" s="1000"/>
      <c r="D271" s="1000"/>
      <c r="E271" s="1076">
        <v>1</v>
      </c>
      <c r="F271" s="1076" t="s">
        <v>125</v>
      </c>
      <c r="G271" s="1000"/>
      <c r="H271" s="1050">
        <v>0</v>
      </c>
      <c r="I271" s="1065">
        <f t="shared" si="107"/>
        <v>0</v>
      </c>
      <c r="J271" s="1065">
        <f t="shared" si="107"/>
        <v>0</v>
      </c>
      <c r="K271" s="1065">
        <f t="shared" si="107"/>
        <v>0</v>
      </c>
      <c r="L271" s="1065">
        <f t="shared" si="108"/>
        <v>0</v>
      </c>
      <c r="M271" s="1065">
        <f t="shared" si="108"/>
        <v>0</v>
      </c>
      <c r="N271" s="1065">
        <f t="shared" si="109"/>
        <v>0</v>
      </c>
      <c r="O271" s="1065">
        <f t="shared" si="109"/>
        <v>0</v>
      </c>
      <c r="P271" s="1000"/>
      <c r="Q271" s="88"/>
    </row>
    <row r="272" spans="2:35" ht="13.15" customHeight="1" x14ac:dyDescent="0.2">
      <c r="B272" s="86"/>
      <c r="C272" s="1000"/>
      <c r="D272" s="1000"/>
      <c r="E272" s="1076">
        <v>2</v>
      </c>
      <c r="F272" s="1076" t="s">
        <v>125</v>
      </c>
      <c r="G272" s="1000"/>
      <c r="H272" s="1050">
        <v>0</v>
      </c>
      <c r="I272" s="1065">
        <f t="shared" si="107"/>
        <v>0</v>
      </c>
      <c r="J272" s="1065">
        <f t="shared" si="107"/>
        <v>0</v>
      </c>
      <c r="K272" s="1065">
        <f t="shared" si="107"/>
        <v>0</v>
      </c>
      <c r="L272" s="1065">
        <f t="shared" si="108"/>
        <v>0</v>
      </c>
      <c r="M272" s="1065">
        <f t="shared" si="108"/>
        <v>0</v>
      </c>
      <c r="N272" s="1065">
        <f t="shared" si="109"/>
        <v>0</v>
      </c>
      <c r="O272" s="1065">
        <f t="shared" si="109"/>
        <v>0</v>
      </c>
      <c r="P272" s="1000"/>
      <c r="Q272" s="88"/>
    </row>
    <row r="273" spans="1:43" ht="13.15" customHeight="1" x14ac:dyDescent="0.2">
      <c r="B273" s="86"/>
      <c r="C273" s="1000"/>
      <c r="D273" s="1000"/>
      <c r="E273" s="1076">
        <v>3</v>
      </c>
      <c r="F273" s="1076" t="s">
        <v>125</v>
      </c>
      <c r="G273" s="1000"/>
      <c r="H273" s="1050">
        <v>0</v>
      </c>
      <c r="I273" s="1065">
        <f t="shared" si="107"/>
        <v>0</v>
      </c>
      <c r="J273" s="1065">
        <f t="shared" si="107"/>
        <v>0</v>
      </c>
      <c r="K273" s="1065">
        <f t="shared" si="107"/>
        <v>0</v>
      </c>
      <c r="L273" s="1065">
        <f t="shared" si="108"/>
        <v>0</v>
      </c>
      <c r="M273" s="1065">
        <f t="shared" si="108"/>
        <v>0</v>
      </c>
      <c r="N273" s="1065">
        <f t="shared" si="109"/>
        <v>0</v>
      </c>
      <c r="O273" s="1065">
        <f t="shared" si="109"/>
        <v>0</v>
      </c>
      <c r="P273" s="1000"/>
      <c r="Q273" s="88"/>
    </row>
    <row r="274" spans="1:43" ht="13.15" customHeight="1" x14ac:dyDescent="0.2">
      <c r="B274" s="86"/>
      <c r="C274" s="1000"/>
      <c r="D274" s="1085" t="s">
        <v>653</v>
      </c>
      <c r="E274" s="1076"/>
      <c r="F274" s="1076"/>
      <c r="G274" s="1000"/>
      <c r="H274" s="1094">
        <v>41.12</v>
      </c>
      <c r="I274" s="1117">
        <f>tab!$C$111</f>
        <v>41.48</v>
      </c>
      <c r="J274" s="1117">
        <f t="shared" si="107"/>
        <v>41.48</v>
      </c>
      <c r="K274" s="1117">
        <f t="shared" si="107"/>
        <v>41.48</v>
      </c>
      <c r="L274" s="1117">
        <f t="shared" si="108"/>
        <v>41.48</v>
      </c>
      <c r="M274" s="1117">
        <f t="shared" si="108"/>
        <v>41.48</v>
      </c>
      <c r="N274" s="1117">
        <f t="shared" si="109"/>
        <v>41.48</v>
      </c>
      <c r="O274" s="1117">
        <f t="shared" si="109"/>
        <v>41.48</v>
      </c>
      <c r="P274" s="1000"/>
      <c r="Q274" s="88"/>
    </row>
    <row r="275" spans="1:43" ht="13.15" customHeight="1" x14ac:dyDescent="0.2">
      <c r="B275" s="86"/>
      <c r="C275" s="1000"/>
      <c r="D275" s="1000"/>
      <c r="E275" s="1076"/>
      <c r="F275" s="1076"/>
      <c r="G275" s="1000"/>
      <c r="H275" s="1095"/>
      <c r="I275" s="1076"/>
      <c r="J275" s="1076"/>
      <c r="K275" s="1076"/>
      <c r="L275" s="1076"/>
      <c r="M275" s="1076"/>
      <c r="N275" s="1076"/>
      <c r="O275" s="1076"/>
      <c r="P275" s="1000"/>
      <c r="Q275" s="88"/>
    </row>
    <row r="276" spans="1:43" ht="13.15" customHeight="1" x14ac:dyDescent="0.2">
      <c r="B276" s="86"/>
      <c r="C276" s="1000"/>
      <c r="D276" s="1116" t="s">
        <v>138</v>
      </c>
      <c r="E276" s="1076">
        <v>1</v>
      </c>
      <c r="F276" s="1076" t="s">
        <v>145</v>
      </c>
      <c r="G276" s="1000"/>
      <c r="H276" s="1050">
        <v>0</v>
      </c>
      <c r="I276" s="1065">
        <f t="shared" ref="I276:K282" si="110">+H276</f>
        <v>0</v>
      </c>
      <c r="J276" s="1065">
        <f t="shared" si="110"/>
        <v>0</v>
      </c>
      <c r="K276" s="1065">
        <f t="shared" si="110"/>
        <v>0</v>
      </c>
      <c r="L276" s="1065">
        <f t="shared" ref="L276:M282" si="111">+K276</f>
        <v>0</v>
      </c>
      <c r="M276" s="1065">
        <f t="shared" si="111"/>
        <v>0</v>
      </c>
      <c r="N276" s="1065">
        <f t="shared" ref="N276:O282" si="112">+M276</f>
        <v>0</v>
      </c>
      <c r="O276" s="1065">
        <f t="shared" si="112"/>
        <v>0</v>
      </c>
      <c r="P276" s="1000"/>
      <c r="Q276" s="88"/>
    </row>
    <row r="277" spans="1:43" s="199" customFormat="1" ht="13.15" customHeight="1" x14ac:dyDescent="0.2">
      <c r="A277" s="601"/>
      <c r="B277" s="86"/>
      <c r="C277" s="1000"/>
      <c r="D277" s="1000"/>
      <c r="E277" s="1076">
        <v>2</v>
      </c>
      <c r="F277" s="1076" t="s">
        <v>145</v>
      </c>
      <c r="G277" s="1000"/>
      <c r="H277" s="1050">
        <v>0</v>
      </c>
      <c r="I277" s="1065">
        <f t="shared" si="110"/>
        <v>0</v>
      </c>
      <c r="J277" s="1065">
        <f t="shared" si="110"/>
        <v>0</v>
      </c>
      <c r="K277" s="1065">
        <f t="shared" si="110"/>
        <v>0</v>
      </c>
      <c r="L277" s="1065">
        <f t="shared" si="111"/>
        <v>0</v>
      </c>
      <c r="M277" s="1065">
        <f t="shared" si="111"/>
        <v>0</v>
      </c>
      <c r="N277" s="1065">
        <f t="shared" si="112"/>
        <v>0</v>
      </c>
      <c r="O277" s="1065">
        <f t="shared" si="112"/>
        <v>0</v>
      </c>
      <c r="P277" s="1000"/>
      <c r="Q277" s="88"/>
      <c r="R277" s="601"/>
      <c r="S277" s="601"/>
      <c r="T277" s="601"/>
      <c r="U277" s="601"/>
      <c r="V277" s="601"/>
      <c r="W277" s="601"/>
      <c r="X277" s="601"/>
      <c r="Y277" s="601"/>
      <c r="Z277" s="601"/>
      <c r="AA277" s="601"/>
      <c r="AB277" s="601"/>
      <c r="AC277" s="601"/>
      <c r="AD277" s="601"/>
      <c r="AE277" s="601"/>
      <c r="AF277" s="601"/>
      <c r="AG277" s="601"/>
      <c r="AH277" s="601"/>
      <c r="AI277" s="657"/>
      <c r="AJ277" s="657"/>
      <c r="AK277" s="657"/>
      <c r="AL277" s="657"/>
      <c r="AM277" s="657"/>
      <c r="AN277" s="657"/>
      <c r="AO277" s="657"/>
      <c r="AP277" s="657"/>
      <c r="AQ277" s="657"/>
    </row>
    <row r="278" spans="1:43" ht="13.15" customHeight="1" x14ac:dyDescent="0.2">
      <c r="B278" s="86"/>
      <c r="C278" s="1000"/>
      <c r="D278" s="1000"/>
      <c r="E278" s="1076">
        <v>3</v>
      </c>
      <c r="F278" s="1076" t="s">
        <v>145</v>
      </c>
      <c r="G278" s="1000"/>
      <c r="H278" s="1050">
        <v>0</v>
      </c>
      <c r="I278" s="1065">
        <f t="shared" si="110"/>
        <v>0</v>
      </c>
      <c r="J278" s="1065">
        <f t="shared" si="110"/>
        <v>0</v>
      </c>
      <c r="K278" s="1065">
        <f t="shared" si="110"/>
        <v>0</v>
      </c>
      <c r="L278" s="1065">
        <f t="shared" si="111"/>
        <v>0</v>
      </c>
      <c r="M278" s="1065">
        <f t="shared" si="111"/>
        <v>0</v>
      </c>
      <c r="N278" s="1065">
        <f t="shared" si="112"/>
        <v>0</v>
      </c>
      <c r="O278" s="1065">
        <f t="shared" si="112"/>
        <v>0</v>
      </c>
      <c r="P278" s="1000"/>
      <c r="Q278" s="88"/>
    </row>
    <row r="279" spans="1:43" ht="13.15" customHeight="1" x14ac:dyDescent="0.2">
      <c r="B279" s="86"/>
      <c r="C279" s="1000"/>
      <c r="D279" s="1000"/>
      <c r="E279" s="1076">
        <v>1</v>
      </c>
      <c r="F279" s="1076" t="s">
        <v>125</v>
      </c>
      <c r="G279" s="1000"/>
      <c r="H279" s="1050">
        <v>0</v>
      </c>
      <c r="I279" s="1065">
        <f t="shared" si="110"/>
        <v>0</v>
      </c>
      <c r="J279" s="1065">
        <f t="shared" si="110"/>
        <v>0</v>
      </c>
      <c r="K279" s="1065">
        <f t="shared" si="110"/>
        <v>0</v>
      </c>
      <c r="L279" s="1065">
        <f t="shared" si="111"/>
        <v>0</v>
      </c>
      <c r="M279" s="1065">
        <f t="shared" si="111"/>
        <v>0</v>
      </c>
      <c r="N279" s="1065">
        <f t="shared" si="112"/>
        <v>0</v>
      </c>
      <c r="O279" s="1065">
        <f t="shared" si="112"/>
        <v>0</v>
      </c>
      <c r="P279" s="1000"/>
      <c r="Q279" s="88"/>
    </row>
    <row r="280" spans="1:43" ht="13.15" customHeight="1" x14ac:dyDescent="0.2">
      <c r="B280" s="86"/>
      <c r="C280" s="1000"/>
      <c r="D280" s="1000"/>
      <c r="E280" s="1076">
        <v>2</v>
      </c>
      <c r="F280" s="1076" t="s">
        <v>125</v>
      </c>
      <c r="G280" s="1000"/>
      <c r="H280" s="1050">
        <v>0</v>
      </c>
      <c r="I280" s="1065">
        <f t="shared" si="110"/>
        <v>0</v>
      </c>
      <c r="J280" s="1065">
        <f t="shared" si="110"/>
        <v>0</v>
      </c>
      <c r="K280" s="1065">
        <f t="shared" si="110"/>
        <v>0</v>
      </c>
      <c r="L280" s="1065">
        <f t="shared" si="111"/>
        <v>0</v>
      </c>
      <c r="M280" s="1065">
        <f t="shared" si="111"/>
        <v>0</v>
      </c>
      <c r="N280" s="1065">
        <f t="shared" si="112"/>
        <v>0</v>
      </c>
      <c r="O280" s="1065">
        <f t="shared" si="112"/>
        <v>0</v>
      </c>
      <c r="P280" s="1000"/>
      <c r="Q280" s="88"/>
    </row>
    <row r="281" spans="1:43" ht="13.15" customHeight="1" x14ac:dyDescent="0.2">
      <c r="B281" s="86"/>
      <c r="C281" s="1000"/>
      <c r="D281" s="1000"/>
      <c r="E281" s="1076">
        <v>3</v>
      </c>
      <c r="F281" s="1076" t="s">
        <v>125</v>
      </c>
      <c r="G281" s="1000"/>
      <c r="H281" s="1050">
        <v>0</v>
      </c>
      <c r="I281" s="1065">
        <f t="shared" si="110"/>
        <v>0</v>
      </c>
      <c r="J281" s="1065">
        <f t="shared" si="110"/>
        <v>0</v>
      </c>
      <c r="K281" s="1065">
        <f t="shared" si="110"/>
        <v>0</v>
      </c>
      <c r="L281" s="1065">
        <f t="shared" si="111"/>
        <v>0</v>
      </c>
      <c r="M281" s="1065">
        <f t="shared" si="111"/>
        <v>0</v>
      </c>
      <c r="N281" s="1065">
        <f t="shared" si="112"/>
        <v>0</v>
      </c>
      <c r="O281" s="1065">
        <f t="shared" si="112"/>
        <v>0</v>
      </c>
      <c r="P281" s="1000"/>
      <c r="Q281" s="88"/>
    </row>
    <row r="282" spans="1:43" ht="13.15" customHeight="1" x14ac:dyDescent="0.2">
      <c r="B282" s="86"/>
      <c r="C282" s="1000"/>
      <c r="D282" s="1085" t="s">
        <v>653</v>
      </c>
      <c r="E282" s="1076"/>
      <c r="F282" s="1076"/>
      <c r="G282" s="1000"/>
      <c r="H282" s="1094">
        <v>41.12</v>
      </c>
      <c r="I282" s="1117">
        <f>tab!$C$111</f>
        <v>41.48</v>
      </c>
      <c r="J282" s="1117">
        <f t="shared" si="110"/>
        <v>41.48</v>
      </c>
      <c r="K282" s="1117">
        <f t="shared" si="110"/>
        <v>41.48</v>
      </c>
      <c r="L282" s="1117">
        <f t="shared" si="111"/>
        <v>41.48</v>
      </c>
      <c r="M282" s="1117">
        <f t="shared" si="111"/>
        <v>41.48</v>
      </c>
      <c r="N282" s="1117">
        <f t="shared" si="112"/>
        <v>41.48</v>
      </c>
      <c r="O282" s="1117">
        <f t="shared" si="112"/>
        <v>41.48</v>
      </c>
      <c r="P282" s="1000"/>
      <c r="Q282" s="88"/>
    </row>
    <row r="283" spans="1:43" ht="13.15" customHeight="1" x14ac:dyDescent="0.2">
      <c r="B283" s="86"/>
      <c r="C283" s="1000"/>
      <c r="D283" s="1000"/>
      <c r="E283" s="1076"/>
      <c r="F283" s="1076"/>
      <c r="G283" s="1000"/>
      <c r="H283" s="1095"/>
      <c r="I283" s="1076"/>
      <c r="J283" s="1076"/>
      <c r="K283" s="1076"/>
      <c r="L283" s="1076"/>
      <c r="M283" s="1076"/>
      <c r="N283" s="1076"/>
      <c r="O283" s="1076"/>
      <c r="P283" s="1000"/>
      <c r="Q283" s="88"/>
    </row>
    <row r="284" spans="1:43" ht="13.15" customHeight="1" x14ac:dyDescent="0.2">
      <c r="B284" s="86"/>
      <c r="C284" s="1000"/>
      <c r="D284" s="1116" t="s">
        <v>139</v>
      </c>
      <c r="E284" s="1076">
        <v>1</v>
      </c>
      <c r="F284" s="1076" t="s">
        <v>145</v>
      </c>
      <c r="G284" s="1000"/>
      <c r="H284" s="1050">
        <v>0</v>
      </c>
      <c r="I284" s="1065">
        <f t="shared" ref="I284:K290" si="113">+H284</f>
        <v>0</v>
      </c>
      <c r="J284" s="1065">
        <f t="shared" si="113"/>
        <v>0</v>
      </c>
      <c r="K284" s="1065">
        <f t="shared" si="113"/>
        <v>0</v>
      </c>
      <c r="L284" s="1065">
        <f t="shared" ref="L284:M290" si="114">+K284</f>
        <v>0</v>
      </c>
      <c r="M284" s="1065">
        <f t="shared" si="114"/>
        <v>0</v>
      </c>
      <c r="N284" s="1065">
        <f t="shared" ref="N284:O290" si="115">+M284</f>
        <v>0</v>
      </c>
      <c r="O284" s="1065">
        <f t="shared" si="115"/>
        <v>0</v>
      </c>
      <c r="P284" s="1000"/>
      <c r="Q284" s="88"/>
    </row>
    <row r="285" spans="1:43" ht="13.15" customHeight="1" x14ac:dyDescent="0.2">
      <c r="B285" s="86"/>
      <c r="C285" s="1000"/>
      <c r="D285" s="1000"/>
      <c r="E285" s="1076">
        <v>2</v>
      </c>
      <c r="F285" s="1076" t="s">
        <v>145</v>
      </c>
      <c r="G285" s="1000"/>
      <c r="H285" s="1050">
        <v>0</v>
      </c>
      <c r="I285" s="1065">
        <f t="shared" si="113"/>
        <v>0</v>
      </c>
      <c r="J285" s="1065">
        <f t="shared" si="113"/>
        <v>0</v>
      </c>
      <c r="K285" s="1065">
        <f t="shared" si="113"/>
        <v>0</v>
      </c>
      <c r="L285" s="1065">
        <f t="shared" si="114"/>
        <v>0</v>
      </c>
      <c r="M285" s="1065">
        <f t="shared" si="114"/>
        <v>0</v>
      </c>
      <c r="N285" s="1065">
        <f t="shared" si="115"/>
        <v>0</v>
      </c>
      <c r="O285" s="1065">
        <f t="shared" si="115"/>
        <v>0</v>
      </c>
      <c r="P285" s="1000"/>
      <c r="Q285" s="88"/>
    </row>
    <row r="286" spans="1:43" ht="13.15" customHeight="1" x14ac:dyDescent="0.2">
      <c r="B286" s="86"/>
      <c r="C286" s="1000"/>
      <c r="D286" s="1000"/>
      <c r="E286" s="1076">
        <v>3</v>
      </c>
      <c r="F286" s="1076" t="s">
        <v>145</v>
      </c>
      <c r="G286" s="1000"/>
      <c r="H286" s="1050">
        <v>0</v>
      </c>
      <c r="I286" s="1065">
        <f t="shared" si="113"/>
        <v>0</v>
      </c>
      <c r="J286" s="1065">
        <f t="shared" si="113"/>
        <v>0</v>
      </c>
      <c r="K286" s="1065">
        <f t="shared" si="113"/>
        <v>0</v>
      </c>
      <c r="L286" s="1065">
        <f t="shared" si="114"/>
        <v>0</v>
      </c>
      <c r="M286" s="1065">
        <f t="shared" si="114"/>
        <v>0</v>
      </c>
      <c r="N286" s="1065">
        <f t="shared" si="115"/>
        <v>0</v>
      </c>
      <c r="O286" s="1065">
        <f t="shared" si="115"/>
        <v>0</v>
      </c>
      <c r="P286" s="1000"/>
      <c r="Q286" s="88"/>
    </row>
    <row r="287" spans="1:43" ht="13.15" customHeight="1" x14ac:dyDescent="0.2">
      <c r="B287" s="86"/>
      <c r="C287" s="1000"/>
      <c r="D287" s="1000"/>
      <c r="E287" s="1076">
        <v>1</v>
      </c>
      <c r="F287" s="1076" t="s">
        <v>125</v>
      </c>
      <c r="G287" s="1000"/>
      <c r="H287" s="1050">
        <v>0</v>
      </c>
      <c r="I287" s="1065">
        <f t="shared" si="113"/>
        <v>0</v>
      </c>
      <c r="J287" s="1065">
        <f t="shared" si="113"/>
        <v>0</v>
      </c>
      <c r="K287" s="1065">
        <f t="shared" si="113"/>
        <v>0</v>
      </c>
      <c r="L287" s="1065">
        <f t="shared" si="114"/>
        <v>0</v>
      </c>
      <c r="M287" s="1065">
        <f t="shared" si="114"/>
        <v>0</v>
      </c>
      <c r="N287" s="1065">
        <f t="shared" si="115"/>
        <v>0</v>
      </c>
      <c r="O287" s="1065">
        <f t="shared" si="115"/>
        <v>0</v>
      </c>
      <c r="P287" s="1000"/>
      <c r="Q287" s="88"/>
    </row>
    <row r="288" spans="1:43" ht="13.15" customHeight="1" x14ac:dyDescent="0.2">
      <c r="B288" s="86"/>
      <c r="C288" s="1000"/>
      <c r="D288" s="1000"/>
      <c r="E288" s="1076">
        <v>2</v>
      </c>
      <c r="F288" s="1076" t="s">
        <v>125</v>
      </c>
      <c r="G288" s="1000"/>
      <c r="H288" s="1050">
        <v>0</v>
      </c>
      <c r="I288" s="1065">
        <f t="shared" si="113"/>
        <v>0</v>
      </c>
      <c r="J288" s="1065">
        <f t="shared" si="113"/>
        <v>0</v>
      </c>
      <c r="K288" s="1065">
        <f t="shared" si="113"/>
        <v>0</v>
      </c>
      <c r="L288" s="1065">
        <f t="shared" si="114"/>
        <v>0</v>
      </c>
      <c r="M288" s="1065">
        <f t="shared" si="114"/>
        <v>0</v>
      </c>
      <c r="N288" s="1065">
        <f t="shared" si="115"/>
        <v>0</v>
      </c>
      <c r="O288" s="1065">
        <f t="shared" si="115"/>
        <v>0</v>
      </c>
      <c r="P288" s="1000"/>
      <c r="Q288" s="88"/>
    </row>
    <row r="289" spans="2:51" ht="13.15" customHeight="1" x14ac:dyDescent="0.2">
      <c r="B289" s="86"/>
      <c r="C289" s="1000"/>
      <c r="D289" s="1000"/>
      <c r="E289" s="1076">
        <v>3</v>
      </c>
      <c r="F289" s="1076" t="s">
        <v>125</v>
      </c>
      <c r="G289" s="1000"/>
      <c r="H289" s="1050">
        <v>0</v>
      </c>
      <c r="I289" s="1065">
        <f t="shared" si="113"/>
        <v>0</v>
      </c>
      <c r="J289" s="1065">
        <f t="shared" si="113"/>
        <v>0</v>
      </c>
      <c r="K289" s="1065">
        <f t="shared" si="113"/>
        <v>0</v>
      </c>
      <c r="L289" s="1065">
        <f t="shared" si="114"/>
        <v>0</v>
      </c>
      <c r="M289" s="1065">
        <f t="shared" si="114"/>
        <v>0</v>
      </c>
      <c r="N289" s="1065">
        <f t="shared" si="115"/>
        <v>0</v>
      </c>
      <c r="O289" s="1065">
        <f t="shared" si="115"/>
        <v>0</v>
      </c>
      <c r="P289" s="1000"/>
      <c r="Q289" s="88"/>
    </row>
    <row r="290" spans="2:51" ht="13.15" customHeight="1" x14ac:dyDescent="0.2">
      <c r="B290" s="86"/>
      <c r="C290" s="1000"/>
      <c r="D290" s="1085" t="s">
        <v>653</v>
      </c>
      <c r="E290" s="1076"/>
      <c r="F290" s="1076"/>
      <c r="G290" s="1000"/>
      <c r="H290" s="1094">
        <v>41.12</v>
      </c>
      <c r="I290" s="1117">
        <f>tab!$C$111</f>
        <v>41.48</v>
      </c>
      <c r="J290" s="1117">
        <f t="shared" si="113"/>
        <v>41.48</v>
      </c>
      <c r="K290" s="1117">
        <f t="shared" si="113"/>
        <v>41.48</v>
      </c>
      <c r="L290" s="1117">
        <f t="shared" si="114"/>
        <v>41.48</v>
      </c>
      <c r="M290" s="1117">
        <f t="shared" si="114"/>
        <v>41.48</v>
      </c>
      <c r="N290" s="1117">
        <f t="shared" si="115"/>
        <v>41.48</v>
      </c>
      <c r="O290" s="1117">
        <f t="shared" si="115"/>
        <v>41.48</v>
      </c>
      <c r="P290" s="1000"/>
      <c r="Q290" s="88"/>
      <c r="AJ290" s="532"/>
      <c r="AX290" s="215"/>
      <c r="AY290" s="215"/>
    </row>
    <row r="291" spans="2:51" ht="13.15" customHeight="1" x14ac:dyDescent="0.2">
      <c r="B291" s="86"/>
      <c r="C291" s="1000"/>
      <c r="D291" s="1000"/>
      <c r="E291" s="1076"/>
      <c r="F291" s="1076"/>
      <c r="G291" s="1000"/>
      <c r="H291" s="1095"/>
      <c r="I291" s="1076"/>
      <c r="J291" s="1076"/>
      <c r="K291" s="1076"/>
      <c r="L291" s="1076"/>
      <c r="M291" s="1076"/>
      <c r="N291" s="1076"/>
      <c r="O291" s="1076"/>
      <c r="P291" s="1000"/>
      <c r="Q291" s="88"/>
    </row>
    <row r="292" spans="2:51" ht="13.15" customHeight="1" x14ac:dyDescent="0.2">
      <c r="B292" s="86"/>
      <c r="C292" s="1000"/>
      <c r="D292" s="1116" t="s">
        <v>140</v>
      </c>
      <c r="E292" s="1076">
        <v>1</v>
      </c>
      <c r="F292" s="1076" t="s">
        <v>145</v>
      </c>
      <c r="G292" s="1000"/>
      <c r="H292" s="1050">
        <v>0</v>
      </c>
      <c r="I292" s="1065">
        <f t="shared" ref="I292:K298" si="116">+H292</f>
        <v>0</v>
      </c>
      <c r="J292" s="1065">
        <f t="shared" si="116"/>
        <v>0</v>
      </c>
      <c r="K292" s="1065">
        <f t="shared" si="116"/>
        <v>0</v>
      </c>
      <c r="L292" s="1065">
        <f t="shared" ref="L292:M298" si="117">+K292</f>
        <v>0</v>
      </c>
      <c r="M292" s="1065">
        <f t="shared" si="117"/>
        <v>0</v>
      </c>
      <c r="N292" s="1065">
        <f t="shared" ref="N292:O298" si="118">+M292</f>
        <v>0</v>
      </c>
      <c r="O292" s="1065">
        <f t="shared" si="118"/>
        <v>0</v>
      </c>
      <c r="P292" s="1000"/>
      <c r="Q292" s="88"/>
    </row>
    <row r="293" spans="2:51" ht="13.15" customHeight="1" x14ac:dyDescent="0.2">
      <c r="B293" s="86"/>
      <c r="C293" s="1000"/>
      <c r="D293" s="1000"/>
      <c r="E293" s="1076">
        <v>2</v>
      </c>
      <c r="F293" s="1076" t="s">
        <v>145</v>
      </c>
      <c r="G293" s="1000"/>
      <c r="H293" s="1050">
        <v>0</v>
      </c>
      <c r="I293" s="1065">
        <f t="shared" si="116"/>
        <v>0</v>
      </c>
      <c r="J293" s="1065">
        <f t="shared" si="116"/>
        <v>0</v>
      </c>
      <c r="K293" s="1065">
        <f t="shared" si="116"/>
        <v>0</v>
      </c>
      <c r="L293" s="1065">
        <f t="shared" si="117"/>
        <v>0</v>
      </c>
      <c r="M293" s="1065">
        <f t="shared" si="117"/>
        <v>0</v>
      </c>
      <c r="N293" s="1065">
        <f t="shared" si="118"/>
        <v>0</v>
      </c>
      <c r="O293" s="1065">
        <f t="shared" si="118"/>
        <v>0</v>
      </c>
      <c r="P293" s="1000"/>
      <c r="Q293" s="88"/>
    </row>
    <row r="294" spans="2:51" ht="13.15" customHeight="1" x14ac:dyDescent="0.2">
      <c r="B294" s="86"/>
      <c r="C294" s="1000"/>
      <c r="D294" s="1000"/>
      <c r="E294" s="1076">
        <v>3</v>
      </c>
      <c r="F294" s="1076" t="s">
        <v>145</v>
      </c>
      <c r="G294" s="1000"/>
      <c r="H294" s="1050">
        <v>0</v>
      </c>
      <c r="I294" s="1065">
        <f t="shared" si="116"/>
        <v>0</v>
      </c>
      <c r="J294" s="1065">
        <f t="shared" si="116"/>
        <v>0</v>
      </c>
      <c r="K294" s="1065">
        <f t="shared" si="116"/>
        <v>0</v>
      </c>
      <c r="L294" s="1065">
        <f t="shared" si="117"/>
        <v>0</v>
      </c>
      <c r="M294" s="1065">
        <f t="shared" si="117"/>
        <v>0</v>
      </c>
      <c r="N294" s="1065">
        <f t="shared" si="118"/>
        <v>0</v>
      </c>
      <c r="O294" s="1065">
        <f t="shared" si="118"/>
        <v>0</v>
      </c>
      <c r="P294" s="1000"/>
      <c r="Q294" s="88"/>
    </row>
    <row r="295" spans="2:51" ht="13.15" customHeight="1" x14ac:dyDescent="0.2">
      <c r="B295" s="86"/>
      <c r="C295" s="1000"/>
      <c r="D295" s="1000"/>
      <c r="E295" s="1076">
        <v>1</v>
      </c>
      <c r="F295" s="1076" t="s">
        <v>125</v>
      </c>
      <c r="G295" s="1000"/>
      <c r="H295" s="1050">
        <v>0</v>
      </c>
      <c r="I295" s="1065">
        <f t="shared" si="116"/>
        <v>0</v>
      </c>
      <c r="J295" s="1065">
        <f t="shared" si="116"/>
        <v>0</v>
      </c>
      <c r="K295" s="1065">
        <f t="shared" si="116"/>
        <v>0</v>
      </c>
      <c r="L295" s="1065">
        <f t="shared" si="117"/>
        <v>0</v>
      </c>
      <c r="M295" s="1065">
        <f t="shared" si="117"/>
        <v>0</v>
      </c>
      <c r="N295" s="1065">
        <f t="shared" si="118"/>
        <v>0</v>
      </c>
      <c r="O295" s="1065">
        <f t="shared" si="118"/>
        <v>0</v>
      </c>
      <c r="P295" s="1000"/>
      <c r="Q295" s="88"/>
      <c r="AJ295" s="532"/>
      <c r="AX295" s="215"/>
      <c r="AY295" s="215"/>
    </row>
    <row r="296" spans="2:51" ht="13.15" customHeight="1" x14ac:dyDescent="0.2">
      <c r="B296" s="86"/>
      <c r="C296" s="1000"/>
      <c r="D296" s="1000"/>
      <c r="E296" s="1076">
        <v>2</v>
      </c>
      <c r="F296" s="1076" t="s">
        <v>125</v>
      </c>
      <c r="G296" s="1000"/>
      <c r="H296" s="1050">
        <v>0</v>
      </c>
      <c r="I296" s="1065">
        <f t="shared" si="116"/>
        <v>0</v>
      </c>
      <c r="J296" s="1065">
        <f t="shared" si="116"/>
        <v>0</v>
      </c>
      <c r="K296" s="1065">
        <f t="shared" si="116"/>
        <v>0</v>
      </c>
      <c r="L296" s="1065">
        <f t="shared" si="117"/>
        <v>0</v>
      </c>
      <c r="M296" s="1065">
        <f t="shared" si="117"/>
        <v>0</v>
      </c>
      <c r="N296" s="1065">
        <f t="shared" si="118"/>
        <v>0</v>
      </c>
      <c r="O296" s="1065">
        <f t="shared" si="118"/>
        <v>0</v>
      </c>
      <c r="P296" s="1000"/>
      <c r="Q296" s="88"/>
    </row>
    <row r="297" spans="2:51" ht="13.15" customHeight="1" x14ac:dyDescent="0.2">
      <c r="B297" s="86"/>
      <c r="C297" s="1000"/>
      <c r="D297" s="1000"/>
      <c r="E297" s="1076">
        <v>3</v>
      </c>
      <c r="F297" s="1076" t="s">
        <v>125</v>
      </c>
      <c r="G297" s="1000"/>
      <c r="H297" s="1050">
        <v>0</v>
      </c>
      <c r="I297" s="1065">
        <f t="shared" si="116"/>
        <v>0</v>
      </c>
      <c r="J297" s="1065">
        <f t="shared" si="116"/>
        <v>0</v>
      </c>
      <c r="K297" s="1065">
        <f t="shared" si="116"/>
        <v>0</v>
      </c>
      <c r="L297" s="1065">
        <f t="shared" si="117"/>
        <v>0</v>
      </c>
      <c r="M297" s="1065">
        <f t="shared" si="117"/>
        <v>0</v>
      </c>
      <c r="N297" s="1065">
        <f t="shared" si="118"/>
        <v>0</v>
      </c>
      <c r="O297" s="1065">
        <f t="shared" si="118"/>
        <v>0</v>
      </c>
      <c r="P297" s="1000"/>
      <c r="Q297" s="88"/>
    </row>
    <row r="298" spans="2:51" ht="13.15" customHeight="1" x14ac:dyDescent="0.2">
      <c r="B298" s="86"/>
      <c r="C298" s="1000"/>
      <c r="D298" s="1085" t="s">
        <v>653</v>
      </c>
      <c r="E298" s="1076"/>
      <c r="F298" s="1076"/>
      <c r="G298" s="1000"/>
      <c r="H298" s="1094">
        <v>41.12</v>
      </c>
      <c r="I298" s="1117">
        <f>tab!$C$111</f>
        <v>41.48</v>
      </c>
      <c r="J298" s="1117">
        <f t="shared" si="116"/>
        <v>41.48</v>
      </c>
      <c r="K298" s="1117">
        <f t="shared" si="116"/>
        <v>41.48</v>
      </c>
      <c r="L298" s="1117">
        <f t="shared" si="117"/>
        <v>41.48</v>
      </c>
      <c r="M298" s="1117">
        <f t="shared" si="117"/>
        <v>41.48</v>
      </c>
      <c r="N298" s="1117">
        <f t="shared" si="118"/>
        <v>41.48</v>
      </c>
      <c r="O298" s="1117">
        <f t="shared" si="118"/>
        <v>41.48</v>
      </c>
      <c r="P298" s="1000"/>
      <c r="Q298" s="88"/>
    </row>
    <row r="299" spans="2:51" ht="13.15" customHeight="1" x14ac:dyDescent="0.2">
      <c r="B299" s="86"/>
      <c r="C299" s="1000"/>
      <c r="D299" s="1000"/>
      <c r="E299" s="1076"/>
      <c r="F299" s="1076"/>
      <c r="G299" s="1000"/>
      <c r="H299" s="1076"/>
      <c r="I299" s="1076"/>
      <c r="J299" s="1076"/>
      <c r="K299" s="1076"/>
      <c r="L299" s="1076"/>
      <c r="M299" s="1076"/>
      <c r="N299" s="1076"/>
      <c r="O299" s="1076"/>
      <c r="P299" s="1000"/>
      <c r="Q299" s="88"/>
    </row>
    <row r="300" spans="2:51" ht="13.15" customHeight="1" x14ac:dyDescent="0.2">
      <c r="B300" s="86"/>
      <c r="C300" s="1053"/>
      <c r="D300" s="1053"/>
      <c r="E300" s="1054"/>
      <c r="F300" s="1054"/>
      <c r="G300" s="1053"/>
      <c r="H300" s="1118" t="e">
        <f t="shared" ref="H300:N300" si="119">SUM(H51:H298)-(H57+H65+H73+H81+H89+H97+H106+H114+H122+H130+H138+H146+H154+H162+H170+H186+H194+H202+H210+H218+H226+H234+H242+H250+H258+H266+H274+H282+H290+H298)</f>
        <v>#REF!</v>
      </c>
      <c r="I300" s="1119">
        <f t="shared" si="119"/>
        <v>0</v>
      </c>
      <c r="J300" s="1119">
        <f t="shared" si="119"/>
        <v>0</v>
      </c>
      <c r="K300" s="1119">
        <f t="shared" si="119"/>
        <v>0</v>
      </c>
      <c r="L300" s="1119">
        <f t="shared" si="119"/>
        <v>0</v>
      </c>
      <c r="M300" s="1119">
        <f t="shared" si="119"/>
        <v>0</v>
      </c>
      <c r="N300" s="1119">
        <f t="shared" si="119"/>
        <v>0</v>
      </c>
      <c r="O300" s="1119">
        <f t="shared" ref="O300" si="120">SUM(O51:O298)-(O57+O65+O73+O81+O89+O97+O106+O114+O122+O130+O138+O146+O154+O162+O170+O186+O194+O202+O210+O218+O226+O234+O242+O250+O258+O266+O274+O282+O290+O298)</f>
        <v>0</v>
      </c>
      <c r="P300" s="1053"/>
      <c r="Q300" s="35"/>
    </row>
    <row r="301" spans="2:51" ht="13.15" customHeight="1" x14ac:dyDescent="0.2">
      <c r="B301" s="86"/>
      <c r="C301" s="1000"/>
      <c r="D301" s="1000"/>
      <c r="E301" s="1076"/>
      <c r="F301" s="1076"/>
      <c r="G301" s="1000"/>
      <c r="H301" s="1076"/>
      <c r="I301" s="1076"/>
      <c r="J301" s="1076"/>
      <c r="K301" s="1076"/>
      <c r="L301" s="1076"/>
      <c r="M301" s="1076"/>
      <c r="N301" s="1076"/>
      <c r="O301" s="1076"/>
      <c r="P301" s="1000"/>
      <c r="Q301" s="88"/>
    </row>
    <row r="302" spans="2:51" ht="13.15" customHeight="1" x14ac:dyDescent="0.2">
      <c r="B302" s="86"/>
      <c r="C302" s="87"/>
      <c r="D302" s="87"/>
      <c r="E302" s="80"/>
      <c r="F302" s="80"/>
      <c r="G302" s="87"/>
      <c r="H302" s="80"/>
      <c r="I302" s="80"/>
      <c r="J302" s="80"/>
      <c r="K302" s="80"/>
      <c r="L302" s="80"/>
      <c r="M302" s="80"/>
      <c r="N302" s="80"/>
      <c r="O302" s="80"/>
      <c r="P302" s="87"/>
      <c r="Q302" s="88"/>
    </row>
    <row r="303" spans="2:51" ht="13.15" customHeight="1" x14ac:dyDescent="0.2">
      <c r="B303" s="96"/>
      <c r="C303" s="220"/>
      <c r="D303" s="220"/>
      <c r="E303" s="221"/>
      <c r="F303" s="221"/>
      <c r="G303" s="220"/>
      <c r="H303" s="221"/>
      <c r="I303" s="221"/>
      <c r="J303" s="221"/>
      <c r="K303" s="221"/>
      <c r="L303" s="221"/>
      <c r="M303" s="221"/>
      <c r="N303" s="221"/>
      <c r="O303" s="221"/>
      <c r="P303" s="220"/>
      <c r="Q303" s="95"/>
    </row>
    <row r="304" spans="2:51" s="476" customFormat="1" ht="13.15" customHeight="1" x14ac:dyDescent="0.2">
      <c r="B304" s="669"/>
      <c r="C304" s="670"/>
      <c r="D304" s="670"/>
      <c r="E304" s="671"/>
      <c r="F304" s="671"/>
      <c r="G304" s="670"/>
      <c r="H304" s="671"/>
      <c r="I304" s="671"/>
      <c r="J304" s="671"/>
      <c r="K304" s="671"/>
      <c r="L304" s="671"/>
      <c r="M304" s="671"/>
      <c r="N304" s="671"/>
      <c r="O304" s="967"/>
      <c r="P304" s="670"/>
      <c r="Q304" s="669"/>
    </row>
    <row r="305" spans="1:18" s="476" customFormat="1" ht="13.15" customHeight="1" x14ac:dyDescent="0.2">
      <c r="C305" s="672"/>
      <c r="D305" s="672"/>
      <c r="E305" s="673"/>
      <c r="F305" s="673"/>
      <c r="G305" s="672"/>
      <c r="H305" s="673"/>
      <c r="I305" s="673"/>
      <c r="J305" s="673"/>
      <c r="K305" s="673"/>
      <c r="L305" s="673"/>
      <c r="M305" s="673"/>
      <c r="N305" s="673"/>
      <c r="O305" s="673"/>
      <c r="P305" s="672"/>
    </row>
    <row r="306" spans="1:18" s="476" customFormat="1" ht="13.15" customHeight="1" x14ac:dyDescent="0.2">
      <c r="C306" s="672"/>
      <c r="D306" s="672"/>
      <c r="E306" s="673"/>
      <c r="F306" s="673"/>
      <c r="G306" s="672"/>
      <c r="H306" s="674"/>
      <c r="I306" s="674"/>
      <c r="J306" s="674"/>
      <c r="K306" s="674"/>
      <c r="L306" s="674"/>
      <c r="M306" s="674"/>
      <c r="N306" s="674"/>
      <c r="O306" s="674"/>
      <c r="P306" s="672"/>
    </row>
    <row r="307" spans="1:18" s="476" customFormat="1" ht="13.15" customHeight="1" x14ac:dyDescent="0.2">
      <c r="C307" s="672"/>
      <c r="D307" s="672"/>
      <c r="E307" s="673"/>
      <c r="F307" s="673"/>
      <c r="G307" s="672"/>
      <c r="H307" s="673"/>
      <c r="I307" s="673"/>
      <c r="J307" s="673"/>
      <c r="K307" s="673"/>
      <c r="L307" s="673"/>
      <c r="M307" s="673"/>
      <c r="N307" s="673"/>
      <c r="O307" s="673"/>
      <c r="P307" s="672"/>
    </row>
    <row r="308" spans="1:18" s="476" customFormat="1" ht="13.15" customHeight="1" x14ac:dyDescent="0.2">
      <c r="A308" s="663"/>
      <c r="B308" s="663"/>
      <c r="E308" s="614"/>
      <c r="F308" s="614"/>
      <c r="H308" s="614"/>
      <c r="I308" s="614"/>
      <c r="J308" s="614"/>
      <c r="K308" s="614"/>
      <c r="L308" s="614"/>
      <c r="M308" s="614"/>
      <c r="N308" s="614"/>
      <c r="O308" s="614"/>
      <c r="R308" s="663"/>
    </row>
    <row r="309" spans="1:18" s="476" customFormat="1" ht="13.15" customHeight="1" x14ac:dyDescent="0.2">
      <c r="D309" s="675"/>
      <c r="E309" s="676"/>
      <c r="F309" s="676"/>
      <c r="H309" s="614"/>
      <c r="I309" s="614"/>
      <c r="J309" s="614"/>
      <c r="K309" s="614"/>
      <c r="L309" s="614"/>
      <c r="M309" s="614"/>
      <c r="N309" s="614"/>
      <c r="O309" s="614"/>
    </row>
    <row r="310" spans="1:18" s="476" customFormat="1" ht="13.15" customHeight="1" x14ac:dyDescent="0.2">
      <c r="D310" s="625"/>
      <c r="E310" s="677"/>
      <c r="F310" s="677"/>
      <c r="H310" s="678"/>
      <c r="I310" s="614"/>
      <c r="J310" s="614"/>
      <c r="K310" s="614"/>
      <c r="L310" s="614"/>
      <c r="M310" s="614"/>
      <c r="N310" s="614"/>
      <c r="O310" s="614"/>
    </row>
    <row r="311" spans="1:18" s="476" customFormat="1" ht="13.15" customHeight="1" x14ac:dyDescent="0.2">
      <c r="D311" s="625"/>
      <c r="E311" s="679"/>
      <c r="F311" s="679"/>
      <c r="H311" s="680"/>
      <c r="I311" s="614"/>
      <c r="J311" s="614"/>
      <c r="K311" s="614"/>
      <c r="L311" s="614"/>
      <c r="M311" s="614"/>
      <c r="N311" s="614"/>
      <c r="O311" s="614"/>
    </row>
    <row r="312" spans="1:18" s="476" customFormat="1" ht="13.15" customHeight="1" x14ac:dyDescent="0.2">
      <c r="D312" s="625"/>
      <c r="E312" s="677"/>
      <c r="F312" s="677"/>
      <c r="H312" s="667"/>
      <c r="I312" s="614"/>
      <c r="J312" s="614"/>
      <c r="K312" s="614"/>
      <c r="L312" s="614"/>
      <c r="M312" s="614"/>
      <c r="N312" s="614"/>
      <c r="O312" s="614"/>
    </row>
    <row r="313" spans="1:18" s="476" customFormat="1" ht="13.15" customHeight="1" x14ac:dyDescent="0.2">
      <c r="E313" s="614"/>
      <c r="F313" s="614"/>
      <c r="H313" s="681"/>
      <c r="I313" s="681"/>
      <c r="J313" s="681"/>
      <c r="K313" s="681"/>
      <c r="L313" s="681"/>
      <c r="M313" s="681"/>
      <c r="N313" s="681"/>
      <c r="O313" s="681"/>
    </row>
    <row r="314" spans="1:18" s="476" customFormat="1" ht="13.15" customHeight="1" x14ac:dyDescent="0.2">
      <c r="E314" s="614"/>
      <c r="F314" s="614"/>
      <c r="H314" s="681"/>
      <c r="I314" s="681"/>
      <c r="J314" s="681"/>
      <c r="K314" s="681"/>
      <c r="L314" s="681"/>
      <c r="M314" s="681"/>
      <c r="N314" s="681"/>
      <c r="O314" s="681"/>
    </row>
    <row r="315" spans="1:18" s="476" customFormat="1" ht="13.15" customHeight="1" x14ac:dyDescent="0.2">
      <c r="E315" s="614"/>
      <c r="F315" s="614"/>
      <c r="H315" s="681"/>
      <c r="I315" s="681"/>
      <c r="J315" s="681"/>
      <c r="K315" s="681"/>
      <c r="L315" s="681"/>
      <c r="M315" s="681"/>
      <c r="N315" s="681"/>
      <c r="O315" s="681"/>
    </row>
    <row r="316" spans="1:18" s="476" customFormat="1" ht="13.15" customHeight="1" x14ac:dyDescent="0.2">
      <c r="E316" s="614"/>
      <c r="F316" s="614"/>
      <c r="H316" s="681"/>
      <c r="I316" s="681"/>
      <c r="J316" s="681"/>
      <c r="K316" s="681"/>
      <c r="L316" s="681"/>
      <c r="M316" s="681"/>
      <c r="N316" s="681"/>
      <c r="O316" s="681"/>
    </row>
    <row r="317" spans="1:18" s="476" customFormat="1" ht="13.15" customHeight="1" x14ac:dyDescent="0.2">
      <c r="E317" s="614"/>
      <c r="F317" s="614"/>
      <c r="H317" s="681"/>
      <c r="I317" s="681"/>
      <c r="J317" s="681"/>
      <c r="K317" s="681"/>
      <c r="L317" s="681"/>
      <c r="M317" s="681"/>
      <c r="N317" s="681"/>
      <c r="O317" s="681"/>
    </row>
    <row r="318" spans="1:18" s="476" customFormat="1" ht="13.15" customHeight="1" x14ac:dyDescent="0.2">
      <c r="E318" s="614"/>
      <c r="F318" s="614"/>
      <c r="H318" s="681"/>
      <c r="I318" s="681"/>
      <c r="J318" s="681"/>
      <c r="K318" s="681"/>
      <c r="L318" s="681"/>
      <c r="M318" s="681"/>
      <c r="N318" s="681"/>
      <c r="O318" s="681"/>
    </row>
    <row r="319" spans="1:18" s="476" customFormat="1" ht="13.15" customHeight="1" x14ac:dyDescent="0.2">
      <c r="E319" s="614"/>
      <c r="F319" s="614"/>
      <c r="H319" s="667"/>
      <c r="I319" s="614"/>
      <c r="J319" s="614"/>
      <c r="K319" s="614"/>
      <c r="L319" s="614"/>
      <c r="M319" s="614"/>
      <c r="N319" s="614"/>
      <c r="O319" s="614"/>
    </row>
    <row r="320" spans="1:18" s="476" customFormat="1" ht="13.15" customHeight="1" x14ac:dyDescent="0.2">
      <c r="E320" s="614"/>
      <c r="F320" s="614"/>
      <c r="H320" s="681"/>
      <c r="I320" s="681"/>
      <c r="J320" s="681"/>
      <c r="K320" s="681"/>
      <c r="L320" s="681"/>
      <c r="M320" s="681"/>
      <c r="N320" s="681"/>
      <c r="O320" s="681"/>
    </row>
    <row r="321" spans="5:15" s="476" customFormat="1" ht="13.15" customHeight="1" x14ac:dyDescent="0.2">
      <c r="E321" s="614"/>
      <c r="F321" s="614"/>
      <c r="H321" s="681"/>
      <c r="I321" s="681"/>
      <c r="J321" s="681"/>
      <c r="K321" s="681"/>
      <c r="L321" s="681"/>
      <c r="M321" s="681"/>
      <c r="N321" s="681"/>
      <c r="O321" s="681"/>
    </row>
    <row r="322" spans="5:15" s="476" customFormat="1" ht="13.15" customHeight="1" x14ac:dyDescent="0.2">
      <c r="E322" s="614"/>
      <c r="F322" s="614"/>
      <c r="H322" s="681"/>
      <c r="I322" s="681"/>
      <c r="J322" s="681"/>
      <c r="K322" s="681"/>
      <c r="L322" s="681"/>
      <c r="M322" s="681"/>
      <c r="N322" s="681"/>
      <c r="O322" s="681"/>
    </row>
    <row r="323" spans="5:15" s="476" customFormat="1" ht="13.15" customHeight="1" x14ac:dyDescent="0.2">
      <c r="E323" s="614"/>
      <c r="F323" s="614"/>
      <c r="H323" s="681"/>
      <c r="I323" s="681"/>
      <c r="J323" s="681"/>
      <c r="K323" s="681"/>
      <c r="L323" s="681"/>
      <c r="M323" s="681"/>
      <c r="N323" s="681"/>
      <c r="O323" s="681"/>
    </row>
    <row r="324" spans="5:15" s="476" customFormat="1" ht="13.15" customHeight="1" x14ac:dyDescent="0.2">
      <c r="E324" s="614"/>
      <c r="F324" s="614"/>
      <c r="H324" s="681"/>
      <c r="I324" s="681"/>
      <c r="J324" s="681"/>
      <c r="K324" s="681"/>
      <c r="L324" s="681"/>
      <c r="M324" s="681"/>
      <c r="N324" s="681"/>
      <c r="O324" s="681"/>
    </row>
    <row r="325" spans="5:15" s="476" customFormat="1" ht="13.15" customHeight="1" x14ac:dyDescent="0.2">
      <c r="E325" s="614"/>
      <c r="F325" s="614"/>
      <c r="H325" s="681"/>
      <c r="I325" s="681"/>
      <c r="J325" s="681"/>
      <c r="K325" s="681"/>
      <c r="L325" s="681"/>
      <c r="M325" s="681"/>
      <c r="N325" s="681"/>
      <c r="O325" s="681"/>
    </row>
    <row r="326" spans="5:15" s="476" customFormat="1" ht="13.15" customHeight="1" x14ac:dyDescent="0.2">
      <c r="E326" s="614"/>
      <c r="F326" s="614"/>
      <c r="H326" s="667"/>
      <c r="I326" s="614"/>
      <c r="J326" s="614"/>
      <c r="K326" s="614"/>
      <c r="L326" s="614"/>
      <c r="M326" s="614"/>
      <c r="N326" s="614"/>
      <c r="O326" s="614"/>
    </row>
    <row r="327" spans="5:15" s="476" customFormat="1" ht="13.15" customHeight="1" x14ac:dyDescent="0.2">
      <c r="E327" s="614"/>
      <c r="F327" s="614"/>
      <c r="H327" s="681"/>
      <c r="I327" s="681"/>
      <c r="J327" s="681"/>
      <c r="K327" s="681"/>
      <c r="L327" s="681"/>
      <c r="M327" s="681"/>
      <c r="N327" s="681"/>
      <c r="O327" s="681"/>
    </row>
    <row r="328" spans="5:15" s="476" customFormat="1" ht="13.15" customHeight="1" x14ac:dyDescent="0.2">
      <c r="E328" s="614"/>
      <c r="F328" s="614"/>
      <c r="H328" s="681"/>
      <c r="I328" s="681"/>
      <c r="J328" s="681"/>
      <c r="K328" s="681"/>
      <c r="L328" s="681"/>
      <c r="M328" s="681"/>
      <c r="N328" s="681"/>
      <c r="O328" s="681"/>
    </row>
    <row r="329" spans="5:15" s="476" customFormat="1" ht="13.15" customHeight="1" x14ac:dyDescent="0.2">
      <c r="E329" s="614"/>
      <c r="F329" s="614"/>
      <c r="H329" s="681"/>
      <c r="I329" s="681"/>
      <c r="J329" s="681"/>
      <c r="K329" s="681"/>
      <c r="L329" s="681"/>
      <c r="M329" s="681"/>
      <c r="N329" s="681"/>
      <c r="O329" s="681"/>
    </row>
    <row r="330" spans="5:15" s="476" customFormat="1" ht="13.15" customHeight="1" x14ac:dyDescent="0.2">
      <c r="E330" s="614"/>
      <c r="F330" s="614"/>
      <c r="H330" s="681"/>
      <c r="I330" s="681"/>
      <c r="J330" s="681"/>
      <c r="K330" s="681"/>
      <c r="L330" s="681"/>
      <c r="M330" s="681"/>
      <c r="N330" s="681"/>
      <c r="O330" s="681"/>
    </row>
    <row r="331" spans="5:15" s="476" customFormat="1" ht="13.15" customHeight="1" x14ac:dyDescent="0.2">
      <c r="E331" s="614"/>
      <c r="F331" s="614"/>
      <c r="H331" s="681"/>
      <c r="I331" s="681"/>
      <c r="J331" s="681"/>
      <c r="K331" s="681"/>
      <c r="L331" s="681"/>
      <c r="M331" s="681"/>
      <c r="N331" s="681"/>
      <c r="O331" s="681"/>
    </row>
    <row r="332" spans="5:15" s="476" customFormat="1" ht="13.15" customHeight="1" x14ac:dyDescent="0.2">
      <c r="E332" s="614"/>
      <c r="F332" s="614"/>
      <c r="H332" s="681"/>
      <c r="I332" s="681"/>
      <c r="J332" s="681"/>
      <c r="K332" s="681"/>
      <c r="L332" s="681"/>
      <c r="M332" s="681"/>
      <c r="N332" s="681"/>
      <c r="O332" s="681"/>
    </row>
    <row r="333" spans="5:15" s="476" customFormat="1" ht="13.15" customHeight="1" x14ac:dyDescent="0.2">
      <c r="E333" s="614"/>
      <c r="F333" s="614"/>
      <c r="H333" s="667"/>
      <c r="I333" s="614"/>
      <c r="J333" s="614"/>
      <c r="K333" s="614"/>
      <c r="L333" s="614"/>
      <c r="M333" s="614"/>
      <c r="N333" s="614"/>
      <c r="O333" s="614"/>
    </row>
    <row r="334" spans="5:15" s="476" customFormat="1" ht="13.15" customHeight="1" x14ac:dyDescent="0.2">
      <c r="E334" s="614"/>
      <c r="F334" s="614"/>
      <c r="H334" s="681"/>
      <c r="I334" s="681"/>
      <c r="J334" s="681"/>
      <c r="K334" s="681"/>
      <c r="L334" s="681"/>
      <c r="M334" s="681"/>
      <c r="N334" s="681"/>
      <c r="O334" s="681"/>
    </row>
    <row r="335" spans="5:15" s="476" customFormat="1" ht="13.15" customHeight="1" x14ac:dyDescent="0.2">
      <c r="E335" s="614"/>
      <c r="F335" s="614"/>
      <c r="H335" s="681"/>
      <c r="I335" s="681"/>
      <c r="J335" s="681"/>
      <c r="K335" s="681"/>
      <c r="L335" s="681"/>
      <c r="M335" s="681"/>
      <c r="N335" s="681"/>
      <c r="O335" s="681"/>
    </row>
    <row r="336" spans="5:15" s="476" customFormat="1" ht="13.15" customHeight="1" x14ac:dyDescent="0.2">
      <c r="E336" s="614"/>
      <c r="F336" s="614"/>
      <c r="H336" s="681"/>
      <c r="I336" s="681"/>
      <c r="J336" s="681"/>
      <c r="K336" s="681"/>
      <c r="L336" s="681"/>
      <c r="M336" s="681"/>
      <c r="N336" s="681"/>
      <c r="O336" s="681"/>
    </row>
    <row r="337" spans="5:15" s="476" customFormat="1" ht="13.15" customHeight="1" x14ac:dyDescent="0.2">
      <c r="E337" s="614"/>
      <c r="F337" s="614"/>
      <c r="H337" s="681"/>
      <c r="I337" s="681"/>
      <c r="J337" s="681"/>
      <c r="K337" s="681"/>
      <c r="L337" s="681"/>
      <c r="M337" s="681"/>
      <c r="N337" s="681"/>
      <c r="O337" s="681"/>
    </row>
    <row r="338" spans="5:15" s="476" customFormat="1" ht="13.15" customHeight="1" x14ac:dyDescent="0.2">
      <c r="E338" s="614"/>
      <c r="F338" s="614"/>
      <c r="H338" s="681"/>
      <c r="I338" s="681"/>
      <c r="J338" s="681"/>
      <c r="K338" s="681"/>
      <c r="L338" s="681"/>
      <c r="M338" s="681"/>
      <c r="N338" s="681"/>
      <c r="O338" s="681"/>
    </row>
    <row r="339" spans="5:15" s="476" customFormat="1" ht="13.15" customHeight="1" x14ac:dyDescent="0.2">
      <c r="E339" s="614"/>
      <c r="F339" s="614"/>
      <c r="H339" s="681"/>
      <c r="I339" s="681"/>
      <c r="J339" s="681"/>
      <c r="K339" s="681"/>
      <c r="L339" s="681"/>
      <c r="M339" s="681"/>
      <c r="N339" s="681"/>
      <c r="O339" s="681"/>
    </row>
    <row r="340" spans="5:15" s="476" customFormat="1" ht="13.15" customHeight="1" x14ac:dyDescent="0.2">
      <c r="E340" s="614"/>
      <c r="F340" s="614"/>
      <c r="H340" s="667"/>
      <c r="I340" s="614"/>
      <c r="J340" s="614"/>
      <c r="K340" s="614"/>
      <c r="L340" s="614"/>
      <c r="M340" s="614"/>
      <c r="N340" s="614"/>
      <c r="O340" s="614"/>
    </row>
    <row r="341" spans="5:15" s="476" customFormat="1" ht="13.15" customHeight="1" x14ac:dyDescent="0.2">
      <c r="E341" s="614"/>
      <c r="F341" s="614"/>
      <c r="H341" s="681"/>
      <c r="I341" s="681"/>
      <c r="J341" s="681"/>
      <c r="K341" s="681"/>
      <c r="L341" s="681"/>
      <c r="M341" s="681"/>
      <c r="N341" s="681"/>
      <c r="O341" s="681"/>
    </row>
    <row r="342" spans="5:15" s="476" customFormat="1" ht="13.15" customHeight="1" x14ac:dyDescent="0.2">
      <c r="E342" s="614"/>
      <c r="F342" s="614"/>
      <c r="H342" s="681"/>
      <c r="I342" s="681"/>
      <c r="J342" s="681"/>
      <c r="K342" s="681"/>
      <c r="L342" s="681"/>
      <c r="M342" s="681"/>
      <c r="N342" s="681"/>
      <c r="O342" s="681"/>
    </row>
    <row r="343" spans="5:15" s="476" customFormat="1" ht="13.15" customHeight="1" x14ac:dyDescent="0.2">
      <c r="E343" s="614"/>
      <c r="F343" s="614"/>
      <c r="H343" s="681"/>
      <c r="I343" s="681"/>
      <c r="J343" s="681"/>
      <c r="K343" s="681"/>
      <c r="L343" s="681"/>
      <c r="M343" s="681"/>
      <c r="N343" s="681"/>
      <c r="O343" s="681"/>
    </row>
    <row r="344" spans="5:15" s="476" customFormat="1" ht="13.15" customHeight="1" x14ac:dyDescent="0.2">
      <c r="E344" s="614"/>
      <c r="F344" s="614"/>
      <c r="H344" s="681"/>
      <c r="I344" s="681"/>
      <c r="J344" s="681"/>
      <c r="K344" s="681"/>
      <c r="L344" s="681"/>
      <c r="M344" s="681"/>
      <c r="N344" s="681"/>
      <c r="O344" s="681"/>
    </row>
    <row r="345" spans="5:15" s="476" customFormat="1" ht="13.15" customHeight="1" x14ac:dyDescent="0.2">
      <c r="E345" s="614"/>
      <c r="F345" s="614"/>
      <c r="H345" s="681"/>
      <c r="I345" s="681"/>
      <c r="J345" s="681"/>
      <c r="K345" s="681"/>
      <c r="L345" s="681"/>
      <c r="M345" s="681"/>
      <c r="N345" s="681"/>
      <c r="O345" s="681"/>
    </row>
    <row r="346" spans="5:15" s="476" customFormat="1" ht="13.15" customHeight="1" x14ac:dyDescent="0.2">
      <c r="E346" s="614"/>
      <c r="F346" s="614"/>
      <c r="H346" s="681"/>
      <c r="I346" s="681"/>
      <c r="J346" s="681"/>
      <c r="K346" s="681"/>
      <c r="L346" s="681"/>
      <c r="M346" s="681"/>
      <c r="N346" s="681"/>
      <c r="O346" s="681"/>
    </row>
    <row r="347" spans="5:15" s="476" customFormat="1" ht="13.15" customHeight="1" x14ac:dyDescent="0.2">
      <c r="E347" s="614"/>
      <c r="F347" s="614"/>
      <c r="H347" s="667"/>
      <c r="I347" s="614"/>
      <c r="J347" s="614"/>
      <c r="K347" s="614"/>
      <c r="L347" s="614"/>
      <c r="M347" s="614"/>
      <c r="N347" s="614"/>
      <c r="O347" s="614"/>
    </row>
    <row r="348" spans="5:15" s="476" customFormat="1" ht="13.15" customHeight="1" x14ac:dyDescent="0.2">
      <c r="E348" s="614"/>
      <c r="F348" s="614"/>
      <c r="H348" s="681"/>
      <c r="I348" s="681"/>
      <c r="J348" s="681"/>
      <c r="K348" s="681"/>
      <c r="L348" s="681"/>
      <c r="M348" s="681"/>
      <c r="N348" s="681"/>
      <c r="O348" s="681"/>
    </row>
    <row r="349" spans="5:15" s="476" customFormat="1" ht="13.15" customHeight="1" x14ac:dyDescent="0.2">
      <c r="E349" s="614"/>
      <c r="F349" s="614"/>
      <c r="H349" s="681"/>
      <c r="I349" s="681"/>
      <c r="J349" s="681"/>
      <c r="K349" s="681"/>
      <c r="L349" s="681"/>
      <c r="M349" s="681"/>
      <c r="N349" s="681"/>
      <c r="O349" s="681"/>
    </row>
    <row r="350" spans="5:15" s="476" customFormat="1" ht="13.15" customHeight="1" x14ac:dyDescent="0.2">
      <c r="E350" s="614"/>
      <c r="F350" s="614"/>
      <c r="H350" s="681"/>
      <c r="I350" s="681"/>
      <c r="J350" s="681"/>
      <c r="K350" s="681"/>
      <c r="L350" s="681"/>
      <c r="M350" s="681"/>
      <c r="N350" s="681"/>
      <c r="O350" s="681"/>
    </row>
    <row r="351" spans="5:15" s="476" customFormat="1" ht="13.15" customHeight="1" x14ac:dyDescent="0.2">
      <c r="E351" s="614"/>
      <c r="F351" s="614"/>
      <c r="H351" s="681"/>
      <c r="I351" s="681"/>
      <c r="J351" s="681"/>
      <c r="K351" s="681"/>
      <c r="L351" s="681"/>
      <c r="M351" s="681"/>
      <c r="N351" s="681"/>
      <c r="O351" s="681"/>
    </row>
    <row r="352" spans="5:15" s="476" customFormat="1" ht="13.15" customHeight="1" x14ac:dyDescent="0.2">
      <c r="E352" s="614"/>
      <c r="F352" s="614"/>
      <c r="H352" s="681"/>
      <c r="I352" s="681"/>
      <c r="J352" s="681"/>
      <c r="K352" s="681"/>
      <c r="L352" s="681"/>
      <c r="M352" s="681"/>
      <c r="N352" s="681"/>
      <c r="O352" s="681"/>
    </row>
    <row r="353" spans="5:15" s="476" customFormat="1" ht="13.15" customHeight="1" x14ac:dyDescent="0.2">
      <c r="E353" s="614"/>
      <c r="F353" s="614"/>
      <c r="H353" s="681"/>
      <c r="I353" s="681"/>
      <c r="J353" s="681"/>
      <c r="K353" s="681"/>
      <c r="L353" s="681"/>
      <c r="M353" s="681"/>
      <c r="N353" s="681"/>
      <c r="O353" s="681"/>
    </row>
    <row r="354" spans="5:15" s="476" customFormat="1" ht="13.15" customHeight="1" x14ac:dyDescent="0.2">
      <c r="E354" s="614"/>
      <c r="F354" s="614"/>
      <c r="H354" s="667"/>
      <c r="I354" s="614"/>
      <c r="J354" s="614"/>
      <c r="K354" s="614"/>
      <c r="L354" s="614"/>
      <c r="M354" s="614"/>
      <c r="N354" s="614"/>
      <c r="O354" s="614"/>
    </row>
    <row r="355" spans="5:15" s="476" customFormat="1" ht="13.15" customHeight="1" x14ac:dyDescent="0.2">
      <c r="E355" s="614"/>
      <c r="F355" s="614"/>
      <c r="H355" s="681"/>
      <c r="I355" s="681"/>
      <c r="J355" s="681"/>
      <c r="K355" s="681"/>
      <c r="L355" s="681"/>
      <c r="M355" s="681"/>
      <c r="N355" s="681"/>
      <c r="O355" s="681"/>
    </row>
    <row r="356" spans="5:15" s="476" customFormat="1" ht="13.15" customHeight="1" x14ac:dyDescent="0.2">
      <c r="E356" s="614"/>
      <c r="F356" s="614"/>
      <c r="H356" s="681"/>
      <c r="I356" s="681"/>
      <c r="J356" s="681"/>
      <c r="K356" s="681"/>
      <c r="L356" s="681"/>
      <c r="M356" s="681"/>
      <c r="N356" s="681"/>
      <c r="O356" s="681"/>
    </row>
    <row r="357" spans="5:15" s="476" customFormat="1" ht="13.15" customHeight="1" x14ac:dyDescent="0.2">
      <c r="E357" s="614"/>
      <c r="F357" s="614"/>
      <c r="H357" s="681"/>
      <c r="I357" s="681"/>
      <c r="J357" s="681"/>
      <c r="K357" s="681"/>
      <c r="L357" s="681"/>
      <c r="M357" s="681"/>
      <c r="N357" s="681"/>
      <c r="O357" s="681"/>
    </row>
    <row r="358" spans="5:15" s="476" customFormat="1" ht="13.15" customHeight="1" x14ac:dyDescent="0.2">
      <c r="E358" s="614"/>
      <c r="F358" s="614"/>
      <c r="H358" s="681"/>
      <c r="I358" s="681"/>
      <c r="J358" s="681"/>
      <c r="K358" s="681"/>
      <c r="L358" s="681"/>
      <c r="M358" s="681"/>
      <c r="N358" s="681"/>
      <c r="O358" s="681"/>
    </row>
    <row r="359" spans="5:15" s="476" customFormat="1" ht="13.15" customHeight="1" x14ac:dyDescent="0.2">
      <c r="E359" s="614"/>
      <c r="F359" s="614"/>
      <c r="H359" s="681"/>
      <c r="I359" s="681"/>
      <c r="J359" s="681"/>
      <c r="K359" s="681"/>
      <c r="L359" s="681"/>
      <c r="M359" s="681"/>
      <c r="N359" s="681"/>
      <c r="O359" s="681"/>
    </row>
    <row r="360" spans="5:15" s="476" customFormat="1" ht="13.15" customHeight="1" x14ac:dyDescent="0.2">
      <c r="E360" s="614"/>
      <c r="F360" s="614"/>
      <c r="H360" s="681"/>
      <c r="I360" s="681"/>
      <c r="J360" s="681"/>
      <c r="K360" s="681"/>
      <c r="L360" s="681"/>
      <c r="M360" s="681"/>
      <c r="N360" s="681"/>
      <c r="O360" s="681"/>
    </row>
    <row r="361" spans="5:15" s="476" customFormat="1" ht="13.15" customHeight="1" x14ac:dyDescent="0.2">
      <c r="E361" s="614"/>
      <c r="F361" s="614"/>
      <c r="H361" s="667"/>
      <c r="I361" s="614"/>
      <c r="J361" s="614"/>
      <c r="K361" s="614"/>
      <c r="L361" s="614"/>
      <c r="M361" s="614"/>
      <c r="N361" s="614"/>
      <c r="O361" s="614"/>
    </row>
    <row r="362" spans="5:15" s="476" customFormat="1" ht="13.15" customHeight="1" x14ac:dyDescent="0.2">
      <c r="E362" s="614"/>
      <c r="F362" s="614"/>
      <c r="H362" s="681"/>
      <c r="I362" s="681"/>
      <c r="J362" s="681"/>
      <c r="K362" s="681"/>
      <c r="L362" s="681"/>
      <c r="M362" s="681"/>
      <c r="N362" s="681"/>
      <c r="O362" s="681"/>
    </row>
    <row r="363" spans="5:15" s="476" customFormat="1" ht="13.15" customHeight="1" x14ac:dyDescent="0.2">
      <c r="E363" s="614"/>
      <c r="F363" s="614"/>
      <c r="H363" s="681"/>
      <c r="I363" s="681"/>
      <c r="J363" s="681"/>
      <c r="K363" s="681"/>
      <c r="L363" s="681"/>
      <c r="M363" s="681"/>
      <c r="N363" s="681"/>
      <c r="O363" s="681"/>
    </row>
    <row r="364" spans="5:15" s="476" customFormat="1" ht="13.15" customHeight="1" x14ac:dyDescent="0.2">
      <c r="E364" s="614"/>
      <c r="F364" s="614"/>
      <c r="H364" s="681"/>
      <c r="I364" s="681"/>
      <c r="J364" s="681"/>
      <c r="K364" s="681"/>
      <c r="L364" s="681"/>
      <c r="M364" s="681"/>
      <c r="N364" s="681"/>
      <c r="O364" s="681"/>
    </row>
    <row r="365" spans="5:15" s="476" customFormat="1" ht="13.15" customHeight="1" x14ac:dyDescent="0.2">
      <c r="E365" s="614"/>
      <c r="F365" s="614"/>
      <c r="H365" s="681"/>
      <c r="I365" s="681"/>
      <c r="J365" s="681"/>
      <c r="K365" s="681"/>
      <c r="L365" s="681"/>
      <c r="M365" s="681"/>
      <c r="N365" s="681"/>
      <c r="O365" s="681"/>
    </row>
    <row r="366" spans="5:15" s="476" customFormat="1" ht="13.15" customHeight="1" x14ac:dyDescent="0.2">
      <c r="E366" s="614"/>
      <c r="F366" s="614"/>
      <c r="H366" s="681"/>
      <c r="I366" s="681"/>
      <c r="J366" s="681"/>
      <c r="K366" s="681"/>
      <c r="L366" s="681"/>
      <c r="M366" s="681"/>
      <c r="N366" s="681"/>
      <c r="O366" s="681"/>
    </row>
    <row r="367" spans="5:15" s="476" customFormat="1" ht="13.15" customHeight="1" x14ac:dyDescent="0.2">
      <c r="E367" s="614"/>
      <c r="F367" s="614"/>
      <c r="H367" s="681"/>
      <c r="I367" s="681"/>
      <c r="J367" s="681"/>
      <c r="K367" s="681"/>
      <c r="L367" s="681"/>
      <c r="M367" s="681"/>
      <c r="N367" s="681"/>
      <c r="O367" s="681"/>
    </row>
    <row r="368" spans="5:15" s="476" customFormat="1" ht="13.15" customHeight="1" x14ac:dyDescent="0.2">
      <c r="E368" s="614"/>
      <c r="F368" s="614"/>
      <c r="H368" s="667"/>
      <c r="I368" s="614"/>
      <c r="J368" s="614"/>
      <c r="K368" s="614"/>
      <c r="L368" s="614"/>
      <c r="M368" s="614"/>
      <c r="N368" s="614"/>
      <c r="O368" s="614"/>
    </row>
    <row r="369" spans="5:15" s="476" customFormat="1" ht="13.15" customHeight="1" x14ac:dyDescent="0.2">
      <c r="E369" s="614"/>
      <c r="F369" s="614"/>
      <c r="H369" s="681"/>
      <c r="I369" s="681"/>
      <c r="J369" s="681"/>
      <c r="K369" s="681"/>
      <c r="L369" s="681"/>
      <c r="M369" s="681"/>
      <c r="N369" s="681"/>
      <c r="O369" s="681"/>
    </row>
    <row r="370" spans="5:15" s="476" customFormat="1" ht="13.15" customHeight="1" x14ac:dyDescent="0.2">
      <c r="E370" s="614"/>
      <c r="F370" s="614"/>
      <c r="H370" s="681"/>
      <c r="I370" s="681"/>
      <c r="J370" s="681"/>
      <c r="K370" s="681"/>
      <c r="L370" s="681"/>
      <c r="M370" s="681"/>
      <c r="N370" s="681"/>
      <c r="O370" s="681"/>
    </row>
    <row r="371" spans="5:15" s="476" customFormat="1" ht="13.15" customHeight="1" x14ac:dyDescent="0.2">
      <c r="E371" s="614"/>
      <c r="F371" s="614"/>
      <c r="H371" s="681"/>
      <c r="I371" s="681"/>
      <c r="J371" s="681"/>
      <c r="K371" s="681"/>
      <c r="L371" s="681"/>
      <c r="M371" s="681"/>
      <c r="N371" s="681"/>
      <c r="O371" s="681"/>
    </row>
    <row r="372" spans="5:15" s="476" customFormat="1" ht="13.15" customHeight="1" x14ac:dyDescent="0.2">
      <c r="E372" s="614"/>
      <c r="F372" s="614"/>
      <c r="H372" s="681"/>
      <c r="I372" s="681"/>
      <c r="J372" s="681"/>
      <c r="K372" s="681"/>
      <c r="L372" s="681"/>
      <c r="M372" s="681"/>
      <c r="N372" s="681"/>
      <c r="O372" s="681"/>
    </row>
    <row r="373" spans="5:15" s="476" customFormat="1" ht="13.15" customHeight="1" x14ac:dyDescent="0.2">
      <c r="E373" s="614"/>
      <c r="F373" s="614"/>
      <c r="H373" s="681"/>
      <c r="I373" s="681"/>
      <c r="J373" s="681"/>
      <c r="K373" s="681"/>
      <c r="L373" s="681"/>
      <c r="M373" s="681"/>
      <c r="N373" s="681"/>
      <c r="O373" s="681"/>
    </row>
    <row r="374" spans="5:15" s="476" customFormat="1" ht="13.15" customHeight="1" x14ac:dyDescent="0.2">
      <c r="E374" s="614"/>
      <c r="F374" s="614"/>
      <c r="H374" s="681"/>
      <c r="I374" s="681"/>
      <c r="J374" s="681"/>
      <c r="K374" s="681"/>
      <c r="L374" s="681"/>
      <c r="M374" s="681"/>
      <c r="N374" s="681"/>
      <c r="O374" s="681"/>
    </row>
    <row r="375" spans="5:15" s="476" customFormat="1" ht="13.15" customHeight="1" x14ac:dyDescent="0.2">
      <c r="E375" s="614"/>
      <c r="F375" s="614"/>
      <c r="H375" s="667"/>
      <c r="I375" s="614"/>
      <c r="J375" s="614"/>
      <c r="K375" s="614"/>
      <c r="L375" s="614"/>
      <c r="M375" s="614"/>
      <c r="N375" s="614"/>
      <c r="O375" s="614"/>
    </row>
    <row r="376" spans="5:15" s="476" customFormat="1" ht="13.15" customHeight="1" x14ac:dyDescent="0.2">
      <c r="E376" s="614"/>
      <c r="F376" s="614"/>
      <c r="H376" s="681"/>
      <c r="I376" s="681"/>
      <c r="J376" s="681"/>
      <c r="K376" s="681"/>
      <c r="L376" s="681"/>
      <c r="M376" s="681"/>
      <c r="N376" s="681"/>
      <c r="O376" s="681"/>
    </row>
    <row r="377" spans="5:15" s="476" customFormat="1" ht="13.15" customHeight="1" x14ac:dyDescent="0.2">
      <c r="E377" s="614"/>
      <c r="F377" s="614"/>
      <c r="H377" s="681"/>
      <c r="I377" s="681"/>
      <c r="J377" s="681"/>
      <c r="K377" s="681"/>
      <c r="L377" s="681"/>
      <c r="M377" s="681"/>
      <c r="N377" s="681"/>
      <c r="O377" s="681"/>
    </row>
    <row r="378" spans="5:15" s="476" customFormat="1" ht="13.15" customHeight="1" x14ac:dyDescent="0.2">
      <c r="E378" s="614"/>
      <c r="F378" s="614"/>
      <c r="H378" s="681"/>
      <c r="I378" s="681"/>
      <c r="J378" s="681"/>
      <c r="K378" s="681"/>
      <c r="L378" s="681"/>
      <c r="M378" s="681"/>
      <c r="N378" s="681"/>
      <c r="O378" s="681"/>
    </row>
    <row r="379" spans="5:15" s="476" customFormat="1" ht="13.15" customHeight="1" x14ac:dyDescent="0.2">
      <c r="E379" s="614"/>
      <c r="F379" s="614"/>
      <c r="H379" s="681"/>
      <c r="I379" s="681"/>
      <c r="J379" s="681"/>
      <c r="K379" s="681"/>
      <c r="L379" s="681"/>
      <c r="M379" s="681"/>
      <c r="N379" s="681"/>
      <c r="O379" s="681"/>
    </row>
    <row r="380" spans="5:15" s="476" customFormat="1" ht="13.15" customHeight="1" x14ac:dyDescent="0.2">
      <c r="E380" s="614"/>
      <c r="F380" s="614"/>
      <c r="H380" s="681"/>
      <c r="I380" s="681"/>
      <c r="J380" s="681"/>
      <c r="K380" s="681"/>
      <c r="L380" s="681"/>
      <c r="M380" s="681"/>
      <c r="N380" s="681"/>
      <c r="O380" s="681"/>
    </row>
    <row r="381" spans="5:15" s="476" customFormat="1" ht="13.15" customHeight="1" x14ac:dyDescent="0.2">
      <c r="E381" s="614"/>
      <c r="F381" s="614"/>
      <c r="H381" s="681"/>
      <c r="I381" s="681"/>
      <c r="J381" s="681"/>
      <c r="K381" s="681"/>
      <c r="L381" s="681"/>
      <c r="M381" s="681"/>
      <c r="N381" s="681"/>
      <c r="O381" s="681"/>
    </row>
    <row r="382" spans="5:15" s="476" customFormat="1" ht="13.15" customHeight="1" x14ac:dyDescent="0.2">
      <c r="E382" s="614"/>
      <c r="F382" s="614"/>
      <c r="H382" s="667"/>
      <c r="I382" s="614"/>
      <c r="J382" s="614"/>
      <c r="K382" s="614"/>
      <c r="L382" s="614"/>
      <c r="M382" s="614"/>
      <c r="N382" s="614"/>
      <c r="O382" s="614"/>
    </row>
    <row r="383" spans="5:15" s="476" customFormat="1" ht="13.15" customHeight="1" x14ac:dyDescent="0.2">
      <c r="E383" s="614"/>
      <c r="F383" s="614"/>
      <c r="H383" s="681"/>
      <c r="I383" s="681"/>
      <c r="J383" s="681"/>
      <c r="K383" s="681"/>
      <c r="L383" s="681"/>
      <c r="M383" s="681"/>
      <c r="N383" s="681"/>
      <c r="O383" s="681"/>
    </row>
    <row r="384" spans="5:15" s="476" customFormat="1" ht="13.15" customHeight="1" x14ac:dyDescent="0.2">
      <c r="E384" s="614"/>
      <c r="F384" s="614"/>
      <c r="H384" s="681"/>
      <c r="I384" s="681"/>
      <c r="J384" s="681"/>
      <c r="K384" s="681"/>
      <c r="L384" s="681"/>
      <c r="M384" s="681"/>
      <c r="N384" s="681"/>
      <c r="O384" s="681"/>
    </row>
    <row r="385" spans="5:15" s="476" customFormat="1" ht="13.15" customHeight="1" x14ac:dyDescent="0.2">
      <c r="E385" s="614"/>
      <c r="F385" s="614"/>
      <c r="H385" s="681"/>
      <c r="I385" s="681"/>
      <c r="J385" s="681"/>
      <c r="K385" s="681"/>
      <c r="L385" s="681"/>
      <c r="M385" s="681"/>
      <c r="N385" s="681"/>
      <c r="O385" s="681"/>
    </row>
    <row r="386" spans="5:15" s="476" customFormat="1" ht="13.15" customHeight="1" x14ac:dyDescent="0.2">
      <c r="E386" s="614"/>
      <c r="F386" s="614"/>
      <c r="H386" s="681"/>
      <c r="I386" s="681"/>
      <c r="J386" s="681"/>
      <c r="K386" s="681"/>
      <c r="L386" s="681"/>
      <c r="M386" s="681"/>
      <c r="N386" s="681"/>
      <c r="O386" s="681"/>
    </row>
    <row r="387" spans="5:15" s="476" customFormat="1" ht="13.15" customHeight="1" x14ac:dyDescent="0.2">
      <c r="E387" s="614"/>
      <c r="F387" s="614"/>
      <c r="H387" s="681"/>
      <c r="I387" s="681"/>
      <c r="J387" s="681"/>
      <c r="K387" s="681"/>
      <c r="L387" s="681"/>
      <c r="M387" s="681"/>
      <c r="N387" s="681"/>
      <c r="O387" s="681"/>
    </row>
    <row r="388" spans="5:15" s="476" customFormat="1" ht="13.15" customHeight="1" x14ac:dyDescent="0.2">
      <c r="E388" s="614"/>
      <c r="F388" s="614"/>
      <c r="H388" s="681"/>
      <c r="I388" s="681"/>
      <c r="J388" s="681"/>
      <c r="K388" s="681"/>
      <c r="L388" s="681"/>
      <c r="M388" s="681"/>
      <c r="N388" s="681"/>
      <c r="O388" s="681"/>
    </row>
    <row r="389" spans="5:15" s="476" customFormat="1" ht="13.15" customHeight="1" x14ac:dyDescent="0.2">
      <c r="E389" s="614"/>
      <c r="F389" s="614"/>
      <c r="H389" s="667"/>
      <c r="I389" s="614"/>
      <c r="J389" s="614"/>
      <c r="K389" s="614"/>
      <c r="L389" s="614"/>
      <c r="M389" s="614"/>
      <c r="N389" s="614"/>
      <c r="O389" s="614"/>
    </row>
    <row r="390" spans="5:15" s="476" customFormat="1" ht="13.15" customHeight="1" x14ac:dyDescent="0.2">
      <c r="E390" s="614"/>
      <c r="F390" s="614"/>
      <c r="H390" s="681"/>
      <c r="I390" s="681"/>
      <c r="J390" s="681"/>
      <c r="K390" s="681"/>
      <c r="L390" s="681"/>
      <c r="M390" s="681"/>
      <c r="N390" s="681"/>
      <c r="O390" s="681"/>
    </row>
    <row r="391" spans="5:15" s="476" customFormat="1" ht="13.15" customHeight="1" x14ac:dyDescent="0.2">
      <c r="E391" s="614"/>
      <c r="F391" s="614"/>
      <c r="H391" s="681"/>
      <c r="I391" s="681"/>
      <c r="J391" s="681"/>
      <c r="K391" s="681"/>
      <c r="L391" s="681"/>
      <c r="M391" s="681"/>
      <c r="N391" s="681"/>
      <c r="O391" s="681"/>
    </row>
    <row r="392" spans="5:15" s="476" customFormat="1" ht="13.15" customHeight="1" x14ac:dyDescent="0.2">
      <c r="E392" s="614"/>
      <c r="F392" s="614"/>
      <c r="H392" s="681"/>
      <c r="I392" s="681"/>
      <c r="J392" s="681"/>
      <c r="K392" s="681"/>
      <c r="L392" s="681"/>
      <c r="M392" s="681"/>
      <c r="N392" s="681"/>
      <c r="O392" s="681"/>
    </row>
    <row r="393" spans="5:15" s="476" customFormat="1" ht="13.15" customHeight="1" x14ac:dyDescent="0.2">
      <c r="E393" s="614"/>
      <c r="F393" s="614"/>
      <c r="H393" s="681"/>
      <c r="I393" s="681"/>
      <c r="J393" s="681"/>
      <c r="K393" s="681"/>
      <c r="L393" s="681"/>
      <c r="M393" s="681"/>
      <c r="N393" s="681"/>
      <c r="O393" s="681"/>
    </row>
    <row r="394" spans="5:15" s="476" customFormat="1" ht="13.15" customHeight="1" x14ac:dyDescent="0.2">
      <c r="E394" s="614"/>
      <c r="F394" s="614"/>
      <c r="H394" s="681"/>
      <c r="I394" s="681"/>
      <c r="J394" s="681"/>
      <c r="K394" s="681"/>
      <c r="L394" s="681"/>
      <c r="M394" s="681"/>
      <c r="N394" s="681"/>
      <c r="O394" s="681"/>
    </row>
    <row r="395" spans="5:15" s="476" customFormat="1" ht="13.15" customHeight="1" x14ac:dyDescent="0.2">
      <c r="E395" s="614"/>
      <c r="F395" s="614"/>
      <c r="H395" s="681"/>
      <c r="I395" s="681"/>
      <c r="J395" s="681"/>
      <c r="K395" s="681"/>
      <c r="L395" s="681"/>
      <c r="M395" s="681"/>
      <c r="N395" s="681"/>
      <c r="O395" s="681"/>
    </row>
    <row r="396" spans="5:15" s="476" customFormat="1" ht="13.15" customHeight="1" x14ac:dyDescent="0.2">
      <c r="E396" s="614"/>
      <c r="F396" s="614"/>
      <c r="H396" s="667"/>
      <c r="I396" s="614"/>
      <c r="J396" s="614"/>
      <c r="K396" s="614"/>
      <c r="L396" s="614"/>
      <c r="M396" s="614"/>
      <c r="N396" s="614"/>
      <c r="O396" s="614"/>
    </row>
    <row r="397" spans="5:15" s="476" customFormat="1" ht="13.15" customHeight="1" x14ac:dyDescent="0.2">
      <c r="E397" s="614"/>
      <c r="F397" s="614"/>
      <c r="H397" s="681"/>
      <c r="I397" s="681"/>
      <c r="J397" s="681"/>
      <c r="K397" s="681"/>
      <c r="L397" s="681"/>
      <c r="M397" s="681"/>
      <c r="N397" s="681"/>
      <c r="O397" s="681"/>
    </row>
    <row r="398" spans="5:15" s="476" customFormat="1" ht="13.15" customHeight="1" x14ac:dyDescent="0.2">
      <c r="E398" s="614"/>
      <c r="F398" s="614"/>
      <c r="H398" s="681"/>
      <c r="I398" s="681"/>
      <c r="J398" s="681"/>
      <c r="K398" s="681"/>
      <c r="L398" s="681"/>
      <c r="M398" s="681"/>
      <c r="N398" s="681"/>
      <c r="O398" s="681"/>
    </row>
    <row r="399" spans="5:15" s="476" customFormat="1" ht="13.15" customHeight="1" x14ac:dyDescent="0.2">
      <c r="E399" s="614"/>
      <c r="F399" s="614"/>
      <c r="H399" s="681"/>
      <c r="I399" s="681"/>
      <c r="J399" s="681"/>
      <c r="K399" s="681"/>
      <c r="L399" s="681"/>
      <c r="M399" s="681"/>
      <c r="N399" s="681"/>
      <c r="O399" s="681"/>
    </row>
    <row r="400" spans="5:15" s="476" customFormat="1" ht="13.15" customHeight="1" x14ac:dyDescent="0.2">
      <c r="E400" s="614"/>
      <c r="F400" s="614"/>
      <c r="H400" s="681"/>
      <c r="I400" s="681"/>
      <c r="J400" s="681"/>
      <c r="K400" s="681"/>
      <c r="L400" s="681"/>
      <c r="M400" s="681"/>
      <c r="N400" s="681"/>
      <c r="O400" s="681"/>
    </row>
    <row r="401" spans="5:15" s="476" customFormat="1" ht="13.15" customHeight="1" x14ac:dyDescent="0.2">
      <c r="E401" s="614"/>
      <c r="F401" s="614"/>
      <c r="H401" s="681"/>
      <c r="I401" s="681"/>
      <c r="J401" s="681"/>
      <c r="K401" s="681"/>
      <c r="L401" s="681"/>
      <c r="M401" s="681"/>
      <c r="N401" s="681"/>
      <c r="O401" s="681"/>
    </row>
    <row r="402" spans="5:15" s="476" customFormat="1" ht="13.15" customHeight="1" x14ac:dyDescent="0.2">
      <c r="E402" s="614"/>
      <c r="F402" s="614"/>
      <c r="H402" s="681"/>
      <c r="I402" s="681"/>
      <c r="J402" s="681"/>
      <c r="K402" s="681"/>
      <c r="L402" s="681"/>
      <c r="M402" s="681"/>
      <c r="N402" s="681"/>
      <c r="O402" s="681"/>
    </row>
    <row r="403" spans="5:15" s="476" customFormat="1" ht="13.15" customHeight="1" x14ac:dyDescent="0.2">
      <c r="E403" s="614"/>
      <c r="F403" s="614"/>
      <c r="H403" s="667"/>
      <c r="I403" s="614"/>
      <c r="J403" s="614"/>
      <c r="K403" s="614"/>
      <c r="L403" s="614"/>
      <c r="M403" s="614"/>
      <c r="N403" s="614"/>
      <c r="O403" s="614"/>
    </row>
    <row r="404" spans="5:15" s="476" customFormat="1" ht="13.15" customHeight="1" x14ac:dyDescent="0.2">
      <c r="E404" s="614"/>
      <c r="F404" s="614"/>
      <c r="H404" s="681"/>
      <c r="I404" s="681"/>
      <c r="J404" s="681"/>
      <c r="K404" s="681"/>
      <c r="L404" s="681"/>
      <c r="M404" s="681"/>
      <c r="N404" s="681"/>
      <c r="O404" s="681"/>
    </row>
    <row r="405" spans="5:15" s="476" customFormat="1" ht="13.15" customHeight="1" x14ac:dyDescent="0.2">
      <c r="E405" s="614"/>
      <c r="F405" s="614"/>
      <c r="H405" s="681"/>
      <c r="I405" s="681"/>
      <c r="J405" s="681"/>
      <c r="K405" s="681"/>
      <c r="L405" s="681"/>
      <c r="M405" s="681"/>
      <c r="N405" s="681"/>
      <c r="O405" s="681"/>
    </row>
    <row r="406" spans="5:15" s="476" customFormat="1" ht="13.15" customHeight="1" x14ac:dyDescent="0.2">
      <c r="E406" s="614"/>
      <c r="F406" s="614"/>
      <c r="H406" s="681"/>
      <c r="I406" s="681"/>
      <c r="J406" s="681"/>
      <c r="K406" s="681"/>
      <c r="L406" s="681"/>
      <c r="M406" s="681"/>
      <c r="N406" s="681"/>
      <c r="O406" s="681"/>
    </row>
    <row r="407" spans="5:15" s="476" customFormat="1" ht="13.15" customHeight="1" x14ac:dyDescent="0.2">
      <c r="E407" s="614"/>
      <c r="F407" s="614"/>
      <c r="H407" s="681"/>
      <c r="I407" s="681"/>
      <c r="J407" s="681"/>
      <c r="K407" s="681"/>
      <c r="L407" s="681"/>
      <c r="M407" s="681"/>
      <c r="N407" s="681"/>
      <c r="O407" s="681"/>
    </row>
    <row r="408" spans="5:15" s="476" customFormat="1" ht="13.15" customHeight="1" x14ac:dyDescent="0.2">
      <c r="E408" s="614"/>
      <c r="F408" s="614"/>
      <c r="H408" s="681"/>
      <c r="I408" s="681"/>
      <c r="J408" s="681"/>
      <c r="K408" s="681"/>
      <c r="L408" s="681"/>
      <c r="M408" s="681"/>
      <c r="N408" s="681"/>
      <c r="O408" s="681"/>
    </row>
    <row r="409" spans="5:15" s="476" customFormat="1" ht="13.15" customHeight="1" x14ac:dyDescent="0.2">
      <c r="E409" s="614"/>
      <c r="F409" s="614"/>
      <c r="H409" s="681"/>
      <c r="I409" s="681"/>
      <c r="J409" s="681"/>
      <c r="K409" s="681"/>
      <c r="L409" s="681"/>
      <c r="M409" s="681"/>
      <c r="N409" s="681"/>
      <c r="O409" s="681"/>
    </row>
    <row r="410" spans="5:15" s="476" customFormat="1" ht="13.15" customHeight="1" x14ac:dyDescent="0.2">
      <c r="E410" s="614"/>
      <c r="F410" s="614"/>
      <c r="H410" s="667"/>
      <c r="I410" s="614"/>
      <c r="J410" s="614"/>
      <c r="K410" s="614"/>
      <c r="L410" s="614"/>
      <c r="M410" s="614"/>
      <c r="N410" s="614"/>
      <c r="O410" s="614"/>
    </row>
    <row r="411" spans="5:15" s="476" customFormat="1" ht="13.15" customHeight="1" x14ac:dyDescent="0.2">
      <c r="E411" s="614"/>
      <c r="F411" s="614"/>
      <c r="H411" s="681"/>
      <c r="I411" s="681"/>
      <c r="J411" s="681"/>
      <c r="K411" s="681"/>
      <c r="L411" s="681"/>
      <c r="M411" s="681"/>
      <c r="N411" s="681"/>
      <c r="O411" s="681"/>
    </row>
    <row r="412" spans="5:15" s="476" customFormat="1" ht="13.15" customHeight="1" x14ac:dyDescent="0.2">
      <c r="E412" s="614"/>
      <c r="F412" s="614"/>
      <c r="H412" s="681"/>
      <c r="I412" s="681"/>
      <c r="J412" s="681"/>
      <c r="K412" s="681"/>
      <c r="L412" s="681"/>
      <c r="M412" s="681"/>
      <c r="N412" s="681"/>
      <c r="O412" s="681"/>
    </row>
    <row r="413" spans="5:15" s="476" customFormat="1" ht="13.15" customHeight="1" x14ac:dyDescent="0.2">
      <c r="E413" s="614"/>
      <c r="F413" s="614"/>
      <c r="H413" s="681"/>
      <c r="I413" s="681"/>
      <c r="J413" s="681"/>
      <c r="K413" s="681"/>
      <c r="L413" s="681"/>
      <c r="M413" s="681"/>
      <c r="N413" s="681"/>
      <c r="O413" s="681"/>
    </row>
    <row r="414" spans="5:15" s="476" customFormat="1" ht="13.15" customHeight="1" x14ac:dyDescent="0.2">
      <c r="E414" s="614"/>
      <c r="F414" s="614"/>
      <c r="H414" s="681"/>
      <c r="I414" s="681"/>
      <c r="J414" s="681"/>
      <c r="K414" s="681"/>
      <c r="L414" s="681"/>
      <c r="M414" s="681"/>
      <c r="N414" s="681"/>
      <c r="O414" s="681"/>
    </row>
    <row r="415" spans="5:15" s="476" customFormat="1" ht="13.15" customHeight="1" x14ac:dyDescent="0.2">
      <c r="E415" s="614"/>
      <c r="F415" s="614"/>
      <c r="H415" s="681"/>
      <c r="I415" s="681"/>
      <c r="J415" s="681"/>
      <c r="K415" s="681"/>
      <c r="L415" s="681"/>
      <c r="M415" s="681"/>
      <c r="N415" s="681"/>
      <c r="O415" s="681"/>
    </row>
    <row r="416" spans="5:15" s="476" customFormat="1" ht="13.15" customHeight="1" x14ac:dyDescent="0.2">
      <c r="E416" s="614"/>
      <c r="F416" s="614"/>
      <c r="H416" s="681"/>
      <c r="I416" s="681"/>
      <c r="J416" s="681"/>
      <c r="K416" s="681"/>
      <c r="L416" s="681"/>
      <c r="M416" s="681"/>
      <c r="N416" s="681"/>
      <c r="O416" s="681"/>
    </row>
    <row r="417" spans="5:16" s="476" customFormat="1" ht="13.15" customHeight="1" x14ac:dyDescent="0.2">
      <c r="E417" s="614"/>
      <c r="F417" s="614"/>
      <c r="H417" s="614"/>
      <c r="I417" s="614"/>
      <c r="J417" s="614"/>
      <c r="K417" s="614"/>
      <c r="L417" s="614"/>
      <c r="M417" s="614"/>
      <c r="N417" s="614"/>
      <c r="O417" s="614"/>
    </row>
    <row r="418" spans="5:16" s="476" customFormat="1" ht="13.15" customHeight="1" x14ac:dyDescent="0.2">
      <c r="E418" s="614"/>
      <c r="F418" s="614"/>
      <c r="H418" s="681"/>
      <c r="I418" s="681"/>
      <c r="J418" s="681"/>
      <c r="K418" s="681"/>
      <c r="L418" s="681"/>
      <c r="M418" s="681"/>
      <c r="N418" s="681"/>
      <c r="O418" s="681"/>
    </row>
    <row r="419" spans="5:16" s="476" customFormat="1" ht="13.15" customHeight="1" x14ac:dyDescent="0.2">
      <c r="E419" s="614"/>
      <c r="F419" s="614"/>
      <c r="H419" s="681"/>
      <c r="I419" s="681"/>
      <c r="J419" s="681"/>
      <c r="K419" s="681"/>
      <c r="L419" s="681"/>
      <c r="M419" s="681"/>
      <c r="N419" s="681"/>
      <c r="O419" s="681"/>
    </row>
    <row r="420" spans="5:16" s="476" customFormat="1" ht="13.15" customHeight="1" x14ac:dyDescent="0.2">
      <c r="E420" s="614"/>
      <c r="F420" s="614"/>
      <c r="H420" s="681"/>
      <c r="I420" s="681"/>
      <c r="J420" s="681"/>
      <c r="K420" s="681"/>
      <c r="L420" s="681"/>
      <c r="M420" s="681"/>
      <c r="N420" s="681"/>
      <c r="O420" s="681"/>
    </row>
    <row r="421" spans="5:16" s="476" customFormat="1" ht="13.15" customHeight="1" x14ac:dyDescent="0.2">
      <c r="E421" s="614"/>
      <c r="F421" s="614"/>
      <c r="H421" s="681"/>
      <c r="I421" s="681"/>
      <c r="J421" s="681"/>
      <c r="K421" s="681"/>
      <c r="L421" s="681"/>
      <c r="M421" s="681"/>
      <c r="N421" s="681"/>
      <c r="O421" s="681"/>
    </row>
    <row r="422" spans="5:16" s="476" customFormat="1" ht="13.15" customHeight="1" x14ac:dyDescent="0.2">
      <c r="E422" s="614"/>
      <c r="F422" s="614"/>
      <c r="H422" s="681"/>
      <c r="I422" s="681"/>
      <c r="J422" s="681"/>
      <c r="K422" s="681"/>
      <c r="L422" s="681"/>
      <c r="M422" s="681"/>
      <c r="N422" s="681"/>
      <c r="O422" s="681"/>
    </row>
    <row r="423" spans="5:16" s="476" customFormat="1" ht="13.15" customHeight="1" x14ac:dyDescent="0.2">
      <c r="E423" s="614"/>
      <c r="F423" s="614"/>
      <c r="H423" s="681"/>
      <c r="I423" s="681"/>
      <c r="J423" s="681"/>
      <c r="K423" s="681"/>
      <c r="L423" s="681"/>
      <c r="M423" s="681"/>
      <c r="N423" s="681"/>
      <c r="O423" s="681"/>
    </row>
    <row r="424" spans="5:16" s="476" customFormat="1" ht="13.15" customHeight="1" x14ac:dyDescent="0.2">
      <c r="E424" s="614"/>
      <c r="F424" s="614"/>
      <c r="H424" s="667"/>
      <c r="I424" s="614"/>
      <c r="J424" s="614"/>
      <c r="K424" s="614"/>
      <c r="L424" s="614"/>
      <c r="M424" s="614"/>
      <c r="N424" s="614"/>
      <c r="O424" s="614"/>
    </row>
    <row r="425" spans="5:16" s="476" customFormat="1" ht="13.15" customHeight="1" x14ac:dyDescent="0.2">
      <c r="E425" s="614"/>
      <c r="F425" s="614"/>
      <c r="H425" s="667"/>
      <c r="I425" s="614"/>
      <c r="J425" s="614"/>
      <c r="K425" s="614"/>
      <c r="L425" s="614"/>
      <c r="M425" s="614"/>
      <c r="N425" s="614"/>
      <c r="O425" s="614"/>
    </row>
    <row r="426" spans="5:16" s="476" customFormat="1" ht="13.15" customHeight="1" x14ac:dyDescent="0.2">
      <c r="E426" s="614"/>
      <c r="F426" s="614"/>
      <c r="H426" s="667"/>
      <c r="I426" s="614"/>
      <c r="J426" s="614"/>
      <c r="K426" s="614"/>
      <c r="L426" s="614"/>
      <c r="M426" s="614"/>
      <c r="N426" s="614"/>
      <c r="O426" s="614"/>
    </row>
    <row r="427" spans="5:16" s="476" customFormat="1" ht="13.15" customHeight="1" x14ac:dyDescent="0.2">
      <c r="E427" s="614"/>
      <c r="F427" s="614"/>
      <c r="H427" s="667"/>
      <c r="I427" s="614"/>
      <c r="J427" s="614"/>
      <c r="K427" s="614"/>
      <c r="L427" s="614"/>
      <c r="M427" s="614"/>
      <c r="N427" s="614"/>
      <c r="O427" s="614"/>
    </row>
    <row r="428" spans="5:16" s="476" customFormat="1" ht="13.15" customHeight="1" x14ac:dyDescent="0.2">
      <c r="E428" s="614"/>
      <c r="F428" s="614"/>
      <c r="H428" s="667"/>
      <c r="I428" s="614"/>
      <c r="J428" s="614"/>
      <c r="K428" s="614"/>
      <c r="L428" s="614"/>
      <c r="M428" s="614"/>
      <c r="N428" s="614"/>
      <c r="O428" s="614"/>
    </row>
    <row r="429" spans="5:16" s="476" customFormat="1" ht="13.15" customHeight="1" x14ac:dyDescent="0.2">
      <c r="E429" s="614"/>
      <c r="F429" s="614"/>
      <c r="H429" s="668"/>
      <c r="I429" s="668"/>
      <c r="J429" s="668"/>
      <c r="K429" s="668"/>
      <c r="L429" s="668"/>
      <c r="M429" s="668"/>
      <c r="N429" s="668"/>
      <c r="O429" s="668"/>
      <c r="P429" s="682"/>
    </row>
    <row r="430" spans="5:16" s="476" customFormat="1" ht="13.15" customHeight="1" x14ac:dyDescent="0.2">
      <c r="E430" s="614"/>
      <c r="F430" s="614"/>
      <c r="H430" s="667"/>
      <c r="I430" s="614"/>
      <c r="J430" s="614"/>
      <c r="K430" s="614"/>
      <c r="L430" s="614"/>
      <c r="M430" s="614"/>
      <c r="N430" s="614"/>
      <c r="O430" s="614"/>
    </row>
    <row r="431" spans="5:16" s="476" customFormat="1" ht="13.15" customHeight="1" x14ac:dyDescent="0.2">
      <c r="E431" s="614"/>
      <c r="F431" s="614"/>
      <c r="H431" s="667"/>
      <c r="I431" s="614"/>
      <c r="J431" s="614"/>
      <c r="K431" s="614"/>
      <c r="L431" s="614"/>
      <c r="M431" s="614"/>
      <c r="N431" s="614"/>
      <c r="O431" s="614"/>
    </row>
    <row r="432" spans="5:16" s="476" customFormat="1" ht="13.15" customHeight="1" x14ac:dyDescent="0.2">
      <c r="E432" s="614"/>
      <c r="F432" s="614"/>
      <c r="H432" s="681"/>
      <c r="I432" s="681"/>
      <c r="J432" s="681"/>
      <c r="K432" s="681"/>
      <c r="L432" s="681"/>
      <c r="M432" s="681"/>
      <c r="N432" s="681"/>
      <c r="O432" s="681"/>
    </row>
    <row r="433" spans="5:15" s="476" customFormat="1" ht="13.15" customHeight="1" x14ac:dyDescent="0.2">
      <c r="E433" s="614"/>
      <c r="F433" s="614"/>
      <c r="H433" s="681"/>
      <c r="I433" s="681"/>
      <c r="J433" s="681"/>
      <c r="K433" s="681"/>
      <c r="L433" s="681"/>
      <c r="M433" s="681"/>
      <c r="N433" s="681"/>
      <c r="O433" s="681"/>
    </row>
    <row r="434" spans="5:15" s="476" customFormat="1" ht="13.15" customHeight="1" x14ac:dyDescent="0.2">
      <c r="E434" s="614"/>
      <c r="F434" s="614"/>
      <c r="H434" s="681"/>
      <c r="I434" s="681"/>
      <c r="J434" s="681"/>
      <c r="K434" s="681"/>
      <c r="L434" s="681"/>
      <c r="M434" s="681"/>
      <c r="N434" s="681"/>
      <c r="O434" s="681"/>
    </row>
    <row r="435" spans="5:15" s="476" customFormat="1" ht="13.15" customHeight="1" x14ac:dyDescent="0.2">
      <c r="E435" s="614"/>
      <c r="F435" s="614"/>
      <c r="H435" s="681"/>
      <c r="I435" s="681"/>
      <c r="J435" s="681"/>
      <c r="K435" s="681"/>
      <c r="L435" s="681"/>
      <c r="M435" s="681"/>
      <c r="N435" s="681"/>
      <c r="O435" s="681"/>
    </row>
    <row r="436" spans="5:15" s="476" customFormat="1" ht="13.15" customHeight="1" x14ac:dyDescent="0.2">
      <c r="E436" s="614"/>
      <c r="F436" s="614"/>
      <c r="H436" s="681"/>
      <c r="I436" s="681"/>
      <c r="J436" s="681"/>
      <c r="K436" s="681"/>
      <c r="L436" s="681"/>
      <c r="M436" s="681"/>
      <c r="N436" s="681"/>
      <c r="O436" s="681"/>
    </row>
    <row r="437" spans="5:15" s="476" customFormat="1" ht="13.15" customHeight="1" x14ac:dyDescent="0.2">
      <c r="E437" s="614"/>
      <c r="F437" s="614"/>
      <c r="H437" s="681"/>
      <c r="I437" s="681"/>
      <c r="J437" s="681"/>
      <c r="K437" s="681"/>
      <c r="L437" s="681"/>
      <c r="M437" s="681"/>
      <c r="N437" s="681"/>
      <c r="O437" s="681"/>
    </row>
    <row r="438" spans="5:15" s="476" customFormat="1" ht="13.15" customHeight="1" x14ac:dyDescent="0.2">
      <c r="E438" s="614"/>
      <c r="F438" s="614"/>
      <c r="H438" s="667"/>
      <c r="I438" s="614"/>
      <c r="J438" s="614"/>
      <c r="K438" s="614"/>
      <c r="L438" s="614"/>
      <c r="M438" s="614"/>
      <c r="N438" s="614"/>
      <c r="O438" s="614"/>
    </row>
    <row r="439" spans="5:15" s="476" customFormat="1" ht="13.15" customHeight="1" x14ac:dyDescent="0.2">
      <c r="E439" s="614"/>
      <c r="F439" s="614"/>
      <c r="H439" s="681"/>
      <c r="I439" s="681"/>
      <c r="J439" s="681"/>
      <c r="K439" s="681"/>
      <c r="L439" s="681"/>
      <c r="M439" s="681"/>
      <c r="N439" s="681"/>
      <c r="O439" s="681"/>
    </row>
    <row r="440" spans="5:15" s="476" customFormat="1" ht="13.15" customHeight="1" x14ac:dyDescent="0.2">
      <c r="E440" s="614"/>
      <c r="F440" s="614"/>
      <c r="H440" s="681"/>
      <c r="I440" s="681"/>
      <c r="J440" s="681"/>
      <c r="K440" s="681"/>
      <c r="L440" s="681"/>
      <c r="M440" s="681"/>
      <c r="N440" s="681"/>
      <c r="O440" s="681"/>
    </row>
    <row r="441" spans="5:15" s="476" customFormat="1" ht="13.15" customHeight="1" x14ac:dyDescent="0.2">
      <c r="E441" s="614"/>
      <c r="F441" s="614"/>
      <c r="H441" s="681"/>
      <c r="I441" s="681"/>
      <c r="J441" s="681"/>
      <c r="K441" s="681"/>
      <c r="L441" s="681"/>
      <c r="M441" s="681"/>
      <c r="N441" s="681"/>
      <c r="O441" s="681"/>
    </row>
    <row r="442" spans="5:15" s="476" customFormat="1" ht="13.15" customHeight="1" x14ac:dyDescent="0.2">
      <c r="E442" s="614"/>
      <c r="F442" s="614"/>
      <c r="H442" s="681"/>
      <c r="I442" s="681"/>
      <c r="J442" s="681"/>
      <c r="K442" s="681"/>
      <c r="L442" s="681"/>
      <c r="M442" s="681"/>
      <c r="N442" s="681"/>
      <c r="O442" s="681"/>
    </row>
    <row r="443" spans="5:15" s="476" customFormat="1" ht="13.15" customHeight="1" x14ac:dyDescent="0.2">
      <c r="E443" s="614"/>
      <c r="F443" s="614"/>
      <c r="H443" s="681"/>
      <c r="I443" s="681"/>
      <c r="J443" s="681"/>
      <c r="K443" s="681"/>
      <c r="L443" s="681"/>
      <c r="M443" s="681"/>
      <c r="N443" s="681"/>
      <c r="O443" s="681"/>
    </row>
    <row r="444" spans="5:15" s="476" customFormat="1" ht="13.15" customHeight="1" x14ac:dyDescent="0.2">
      <c r="E444" s="614"/>
      <c r="F444" s="614"/>
      <c r="H444" s="681"/>
      <c r="I444" s="681"/>
      <c r="J444" s="681"/>
      <c r="K444" s="681"/>
      <c r="L444" s="681"/>
      <c r="M444" s="681"/>
      <c r="N444" s="681"/>
      <c r="O444" s="681"/>
    </row>
    <row r="445" spans="5:15" s="476" customFormat="1" ht="13.15" customHeight="1" x14ac:dyDescent="0.2">
      <c r="E445" s="614"/>
      <c r="F445" s="614"/>
      <c r="H445" s="667"/>
      <c r="I445" s="614"/>
      <c r="J445" s="614"/>
      <c r="K445" s="614"/>
      <c r="L445" s="614"/>
      <c r="M445" s="614"/>
      <c r="N445" s="614"/>
      <c r="O445" s="614"/>
    </row>
    <row r="446" spans="5:15" s="476" customFormat="1" ht="13.15" customHeight="1" x14ac:dyDescent="0.2">
      <c r="E446" s="614"/>
      <c r="F446" s="614"/>
      <c r="H446" s="681"/>
      <c r="I446" s="681"/>
      <c r="J446" s="681"/>
      <c r="K446" s="681"/>
      <c r="L446" s="681"/>
      <c r="M446" s="681"/>
      <c r="N446" s="681"/>
      <c r="O446" s="681"/>
    </row>
    <row r="447" spans="5:15" s="476" customFormat="1" ht="13.15" customHeight="1" x14ac:dyDescent="0.2">
      <c r="E447" s="614"/>
      <c r="F447" s="614"/>
      <c r="H447" s="681"/>
      <c r="I447" s="681"/>
      <c r="J447" s="681"/>
      <c r="K447" s="681"/>
      <c r="L447" s="681"/>
      <c r="M447" s="681"/>
      <c r="N447" s="681"/>
      <c r="O447" s="681"/>
    </row>
    <row r="448" spans="5:15" s="476" customFormat="1" ht="13.15" customHeight="1" x14ac:dyDescent="0.2">
      <c r="E448" s="614"/>
      <c r="F448" s="614"/>
      <c r="H448" s="681"/>
      <c r="I448" s="681"/>
      <c r="J448" s="681"/>
      <c r="K448" s="681"/>
      <c r="L448" s="681"/>
      <c r="M448" s="681"/>
      <c r="N448" s="681"/>
      <c r="O448" s="681"/>
    </row>
    <row r="449" spans="5:15" s="476" customFormat="1" ht="13.15" customHeight="1" x14ac:dyDescent="0.2">
      <c r="E449" s="614"/>
      <c r="F449" s="614"/>
      <c r="H449" s="681"/>
      <c r="I449" s="681"/>
      <c r="J449" s="681"/>
      <c r="K449" s="681"/>
      <c r="L449" s="681"/>
      <c r="M449" s="681"/>
      <c r="N449" s="681"/>
      <c r="O449" s="681"/>
    </row>
    <row r="450" spans="5:15" s="476" customFormat="1" ht="13.15" customHeight="1" x14ac:dyDescent="0.2">
      <c r="E450" s="614"/>
      <c r="F450" s="614"/>
      <c r="H450" s="681"/>
      <c r="I450" s="681"/>
      <c r="J450" s="681"/>
      <c r="K450" s="681"/>
      <c r="L450" s="681"/>
      <c r="M450" s="681"/>
      <c r="N450" s="681"/>
      <c r="O450" s="681"/>
    </row>
    <row r="451" spans="5:15" s="476" customFormat="1" ht="13.15" customHeight="1" x14ac:dyDescent="0.2">
      <c r="E451" s="614"/>
      <c r="F451" s="614"/>
      <c r="H451" s="681"/>
      <c r="I451" s="681"/>
      <c r="J451" s="681"/>
      <c r="K451" s="681"/>
      <c r="L451" s="681"/>
      <c r="M451" s="681"/>
      <c r="N451" s="681"/>
      <c r="O451" s="681"/>
    </row>
    <row r="452" spans="5:15" s="476" customFormat="1" ht="13.15" customHeight="1" x14ac:dyDescent="0.2">
      <c r="E452" s="614"/>
      <c r="F452" s="614"/>
      <c r="H452" s="667"/>
      <c r="I452" s="614"/>
      <c r="J452" s="614"/>
      <c r="K452" s="614"/>
      <c r="L452" s="614"/>
      <c r="M452" s="614"/>
      <c r="N452" s="614"/>
      <c r="O452" s="614"/>
    </row>
    <row r="453" spans="5:15" s="476" customFormat="1" ht="13.15" customHeight="1" x14ac:dyDescent="0.2">
      <c r="E453" s="614"/>
      <c r="F453" s="614"/>
      <c r="H453" s="681"/>
      <c r="I453" s="681"/>
      <c r="J453" s="681"/>
      <c r="K453" s="681"/>
      <c r="L453" s="681"/>
      <c r="M453" s="681"/>
      <c r="N453" s="681"/>
      <c r="O453" s="681"/>
    </row>
    <row r="454" spans="5:15" s="476" customFormat="1" ht="13.15" customHeight="1" x14ac:dyDescent="0.2">
      <c r="E454" s="614"/>
      <c r="F454" s="614"/>
      <c r="H454" s="681"/>
      <c r="I454" s="681"/>
      <c r="J454" s="681"/>
      <c r="K454" s="681"/>
      <c r="L454" s="681"/>
      <c r="M454" s="681"/>
      <c r="N454" s="681"/>
      <c r="O454" s="681"/>
    </row>
    <row r="455" spans="5:15" s="476" customFormat="1" ht="13.15" customHeight="1" x14ac:dyDescent="0.2">
      <c r="E455" s="614"/>
      <c r="F455" s="614"/>
      <c r="H455" s="681"/>
      <c r="I455" s="681"/>
      <c r="J455" s="681"/>
      <c r="K455" s="681"/>
      <c r="L455" s="681"/>
      <c r="M455" s="681"/>
      <c r="N455" s="681"/>
      <c r="O455" s="681"/>
    </row>
    <row r="456" spans="5:15" s="476" customFormat="1" ht="13.15" customHeight="1" x14ac:dyDescent="0.2">
      <c r="E456" s="614"/>
      <c r="F456" s="614"/>
      <c r="H456" s="681"/>
      <c r="I456" s="681"/>
      <c r="J456" s="681"/>
      <c r="K456" s="681"/>
      <c r="L456" s="681"/>
      <c r="M456" s="681"/>
      <c r="N456" s="681"/>
      <c r="O456" s="681"/>
    </row>
    <row r="457" spans="5:15" s="476" customFormat="1" ht="13.15" customHeight="1" x14ac:dyDescent="0.2">
      <c r="E457" s="614"/>
      <c r="F457" s="614"/>
      <c r="H457" s="681"/>
      <c r="I457" s="681"/>
      <c r="J457" s="681"/>
      <c r="K457" s="681"/>
      <c r="L457" s="681"/>
      <c r="M457" s="681"/>
      <c r="N457" s="681"/>
      <c r="O457" s="681"/>
    </row>
    <row r="458" spans="5:15" s="476" customFormat="1" ht="13.15" customHeight="1" x14ac:dyDescent="0.2">
      <c r="E458" s="614"/>
      <c r="F458" s="614"/>
      <c r="H458" s="681"/>
      <c r="I458" s="681"/>
      <c r="J458" s="681"/>
      <c r="K458" s="681"/>
      <c r="L458" s="681"/>
      <c r="M458" s="681"/>
      <c r="N458" s="681"/>
      <c r="O458" s="681"/>
    </row>
    <row r="459" spans="5:15" s="476" customFormat="1" ht="13.15" customHeight="1" x14ac:dyDescent="0.2">
      <c r="E459" s="614"/>
      <c r="F459" s="614"/>
      <c r="H459" s="667"/>
      <c r="I459" s="614"/>
      <c r="J459" s="614"/>
      <c r="K459" s="614"/>
      <c r="L459" s="614"/>
      <c r="M459" s="614"/>
      <c r="N459" s="614"/>
      <c r="O459" s="614"/>
    </row>
    <row r="460" spans="5:15" s="476" customFormat="1" ht="13.15" customHeight="1" x14ac:dyDescent="0.2">
      <c r="E460" s="614"/>
      <c r="F460" s="614"/>
      <c r="H460" s="681"/>
      <c r="I460" s="681"/>
      <c r="J460" s="681"/>
      <c r="K460" s="681"/>
      <c r="L460" s="681"/>
      <c r="M460" s="681"/>
      <c r="N460" s="681"/>
      <c r="O460" s="681"/>
    </row>
    <row r="461" spans="5:15" s="476" customFormat="1" ht="13.15" customHeight="1" x14ac:dyDescent="0.2">
      <c r="E461" s="614"/>
      <c r="F461" s="614"/>
      <c r="H461" s="681"/>
      <c r="I461" s="681"/>
      <c r="J461" s="681"/>
      <c r="K461" s="681"/>
      <c r="L461" s="681"/>
      <c r="M461" s="681"/>
      <c r="N461" s="681"/>
      <c r="O461" s="681"/>
    </row>
    <row r="462" spans="5:15" s="476" customFormat="1" ht="13.15" customHeight="1" x14ac:dyDescent="0.2">
      <c r="E462" s="614"/>
      <c r="F462" s="614"/>
      <c r="H462" s="681"/>
      <c r="I462" s="681"/>
      <c r="J462" s="681"/>
      <c r="K462" s="681"/>
      <c r="L462" s="681"/>
      <c r="M462" s="681"/>
      <c r="N462" s="681"/>
      <c r="O462" s="681"/>
    </row>
    <row r="463" spans="5:15" s="476" customFormat="1" ht="13.15" customHeight="1" x14ac:dyDescent="0.2">
      <c r="E463" s="614"/>
      <c r="F463" s="614"/>
      <c r="H463" s="681"/>
      <c r="I463" s="681"/>
      <c r="J463" s="681"/>
      <c r="K463" s="681"/>
      <c r="L463" s="681"/>
      <c r="M463" s="681"/>
      <c r="N463" s="681"/>
      <c r="O463" s="681"/>
    </row>
    <row r="464" spans="5:15" s="476" customFormat="1" ht="13.15" customHeight="1" x14ac:dyDescent="0.2">
      <c r="E464" s="614"/>
      <c r="F464" s="614"/>
      <c r="H464" s="681"/>
      <c r="I464" s="681"/>
      <c r="J464" s="681"/>
      <c r="K464" s="681"/>
      <c r="L464" s="681"/>
      <c r="M464" s="681"/>
      <c r="N464" s="681"/>
      <c r="O464" s="681"/>
    </row>
    <row r="465" spans="5:15" s="476" customFormat="1" ht="13.15" customHeight="1" x14ac:dyDescent="0.2">
      <c r="E465" s="614"/>
      <c r="F465" s="614"/>
      <c r="H465" s="681"/>
      <c r="I465" s="681"/>
      <c r="J465" s="681"/>
      <c r="K465" s="681"/>
      <c r="L465" s="681"/>
      <c r="M465" s="681"/>
      <c r="N465" s="681"/>
      <c r="O465" s="681"/>
    </row>
    <row r="466" spans="5:15" s="476" customFormat="1" ht="13.15" customHeight="1" x14ac:dyDescent="0.2">
      <c r="E466" s="614"/>
      <c r="F466" s="614"/>
      <c r="H466" s="667"/>
      <c r="I466" s="614"/>
      <c r="J466" s="614"/>
      <c r="K466" s="614"/>
      <c r="L466" s="614"/>
      <c r="M466" s="614"/>
      <c r="N466" s="614"/>
      <c r="O466" s="614"/>
    </row>
    <row r="467" spans="5:15" s="476" customFormat="1" ht="13.15" customHeight="1" x14ac:dyDescent="0.2">
      <c r="E467" s="614"/>
      <c r="F467" s="614"/>
      <c r="H467" s="681"/>
      <c r="I467" s="681"/>
      <c r="J467" s="681"/>
      <c r="K467" s="681"/>
      <c r="L467" s="681"/>
      <c r="M467" s="681"/>
      <c r="N467" s="681"/>
      <c r="O467" s="681"/>
    </row>
    <row r="468" spans="5:15" s="476" customFormat="1" ht="13.15" customHeight="1" x14ac:dyDescent="0.2">
      <c r="E468" s="614"/>
      <c r="F468" s="614"/>
      <c r="H468" s="681"/>
      <c r="I468" s="681"/>
      <c r="J468" s="681"/>
      <c r="K468" s="681"/>
      <c r="L468" s="681"/>
      <c r="M468" s="681"/>
      <c r="N468" s="681"/>
      <c r="O468" s="681"/>
    </row>
    <row r="469" spans="5:15" s="476" customFormat="1" ht="13.15" customHeight="1" x14ac:dyDescent="0.2">
      <c r="E469" s="614"/>
      <c r="F469" s="614"/>
      <c r="H469" s="681"/>
      <c r="I469" s="681"/>
      <c r="J469" s="681"/>
      <c r="K469" s="681"/>
      <c r="L469" s="681"/>
      <c r="M469" s="681"/>
      <c r="N469" s="681"/>
      <c r="O469" s="681"/>
    </row>
    <row r="470" spans="5:15" s="476" customFormat="1" ht="13.15" customHeight="1" x14ac:dyDescent="0.2">
      <c r="E470" s="614"/>
      <c r="F470" s="614"/>
      <c r="H470" s="681"/>
      <c r="I470" s="681"/>
      <c r="J470" s="681"/>
      <c r="K470" s="681"/>
      <c r="L470" s="681"/>
      <c r="M470" s="681"/>
      <c r="N470" s="681"/>
      <c r="O470" s="681"/>
    </row>
    <row r="471" spans="5:15" s="476" customFormat="1" ht="13.15" customHeight="1" x14ac:dyDescent="0.2">
      <c r="E471" s="614"/>
      <c r="F471" s="614"/>
      <c r="H471" s="681"/>
      <c r="I471" s="681"/>
      <c r="J471" s="681"/>
      <c r="K471" s="681"/>
      <c r="L471" s="681"/>
      <c r="M471" s="681"/>
      <c r="N471" s="681"/>
      <c r="O471" s="681"/>
    </row>
    <row r="472" spans="5:15" s="476" customFormat="1" ht="13.15" customHeight="1" x14ac:dyDescent="0.2">
      <c r="E472" s="614"/>
      <c r="F472" s="614"/>
      <c r="H472" s="681"/>
      <c r="I472" s="681"/>
      <c r="J472" s="681"/>
      <c r="K472" s="681"/>
      <c r="L472" s="681"/>
      <c r="M472" s="681"/>
      <c r="N472" s="681"/>
      <c r="O472" s="681"/>
    </row>
    <row r="473" spans="5:15" s="476" customFormat="1" ht="13.15" customHeight="1" x14ac:dyDescent="0.2">
      <c r="E473" s="614"/>
      <c r="F473" s="614"/>
      <c r="H473" s="667"/>
      <c r="I473" s="614"/>
      <c r="J473" s="614"/>
      <c r="K473" s="614"/>
      <c r="L473" s="614"/>
      <c r="M473" s="614"/>
      <c r="N473" s="614"/>
      <c r="O473" s="614"/>
    </row>
    <row r="474" spans="5:15" s="476" customFormat="1" ht="13.15" customHeight="1" x14ac:dyDescent="0.2">
      <c r="E474" s="614"/>
      <c r="F474" s="614"/>
      <c r="H474" s="681"/>
      <c r="I474" s="681"/>
      <c r="J474" s="681"/>
      <c r="K474" s="681"/>
      <c r="L474" s="681"/>
      <c r="M474" s="681"/>
      <c r="N474" s="681"/>
      <c r="O474" s="681"/>
    </row>
    <row r="475" spans="5:15" s="476" customFormat="1" ht="13.15" customHeight="1" x14ac:dyDescent="0.2">
      <c r="E475" s="614"/>
      <c r="F475" s="614"/>
      <c r="H475" s="681"/>
      <c r="I475" s="681"/>
      <c r="J475" s="681"/>
      <c r="K475" s="681"/>
      <c r="L475" s="681"/>
      <c r="M475" s="681"/>
      <c r="N475" s="681"/>
      <c r="O475" s="681"/>
    </row>
    <row r="476" spans="5:15" s="476" customFormat="1" ht="13.15" customHeight="1" x14ac:dyDescent="0.2">
      <c r="E476" s="614"/>
      <c r="F476" s="614"/>
      <c r="H476" s="681"/>
      <c r="I476" s="681"/>
      <c r="J476" s="681"/>
      <c r="K476" s="681"/>
      <c r="L476" s="681"/>
      <c r="M476" s="681"/>
      <c r="N476" s="681"/>
      <c r="O476" s="681"/>
    </row>
    <row r="477" spans="5:15" s="476" customFormat="1" ht="13.15" customHeight="1" x14ac:dyDescent="0.2">
      <c r="E477" s="614"/>
      <c r="F477" s="614"/>
      <c r="H477" s="681"/>
      <c r="I477" s="681"/>
      <c r="J477" s="681"/>
      <c r="K477" s="681"/>
      <c r="L477" s="681"/>
      <c r="M477" s="681"/>
      <c r="N477" s="681"/>
      <c r="O477" s="681"/>
    </row>
    <row r="478" spans="5:15" s="476" customFormat="1" ht="13.15" customHeight="1" x14ac:dyDescent="0.2">
      <c r="E478" s="614"/>
      <c r="F478" s="614"/>
      <c r="H478" s="681"/>
      <c r="I478" s="681"/>
      <c r="J478" s="681"/>
      <c r="K478" s="681"/>
      <c r="L478" s="681"/>
      <c r="M478" s="681"/>
      <c r="N478" s="681"/>
      <c r="O478" s="681"/>
    </row>
    <row r="479" spans="5:15" s="476" customFormat="1" ht="13.15" customHeight="1" x14ac:dyDescent="0.2">
      <c r="E479" s="614"/>
      <c r="F479" s="614"/>
      <c r="H479" s="681"/>
      <c r="I479" s="681"/>
      <c r="J479" s="681"/>
      <c r="K479" s="681"/>
      <c r="L479" s="681"/>
      <c r="M479" s="681"/>
      <c r="N479" s="681"/>
      <c r="O479" s="681"/>
    </row>
    <row r="480" spans="5:15" s="476" customFormat="1" ht="13.15" customHeight="1" x14ac:dyDescent="0.2">
      <c r="E480" s="614"/>
      <c r="F480" s="614"/>
      <c r="H480" s="667"/>
      <c r="I480" s="614"/>
      <c r="J480" s="614"/>
      <c r="K480" s="614"/>
      <c r="L480" s="614"/>
      <c r="M480" s="614"/>
      <c r="N480" s="614"/>
      <c r="O480" s="614"/>
    </row>
    <row r="481" spans="5:15" s="476" customFormat="1" ht="13.15" customHeight="1" x14ac:dyDescent="0.2">
      <c r="E481" s="614"/>
      <c r="F481" s="614"/>
      <c r="H481" s="681"/>
      <c r="I481" s="681"/>
      <c r="J481" s="681"/>
      <c r="K481" s="681"/>
      <c r="L481" s="681"/>
      <c r="M481" s="681"/>
      <c r="N481" s="681"/>
      <c r="O481" s="681"/>
    </row>
    <row r="482" spans="5:15" s="476" customFormat="1" ht="13.15" customHeight="1" x14ac:dyDescent="0.2">
      <c r="E482" s="614"/>
      <c r="F482" s="614"/>
      <c r="H482" s="681"/>
      <c r="I482" s="681"/>
      <c r="J482" s="681"/>
      <c r="K482" s="681"/>
      <c r="L482" s="681"/>
      <c r="M482" s="681"/>
      <c r="N482" s="681"/>
      <c r="O482" s="681"/>
    </row>
    <row r="483" spans="5:15" s="476" customFormat="1" ht="13.15" customHeight="1" x14ac:dyDescent="0.2">
      <c r="E483" s="614"/>
      <c r="F483" s="614"/>
      <c r="H483" s="681"/>
      <c r="I483" s="681"/>
      <c r="J483" s="681"/>
      <c r="K483" s="681"/>
      <c r="L483" s="681"/>
      <c r="M483" s="681"/>
      <c r="N483" s="681"/>
      <c r="O483" s="681"/>
    </row>
    <row r="484" spans="5:15" s="476" customFormat="1" ht="13.15" customHeight="1" x14ac:dyDescent="0.2">
      <c r="E484" s="614"/>
      <c r="F484" s="614"/>
      <c r="H484" s="681"/>
      <c r="I484" s="681"/>
      <c r="J484" s="681"/>
      <c r="K484" s="681"/>
      <c r="L484" s="681"/>
      <c r="M484" s="681"/>
      <c r="N484" s="681"/>
      <c r="O484" s="681"/>
    </row>
    <row r="485" spans="5:15" s="476" customFormat="1" ht="13.15" customHeight="1" x14ac:dyDescent="0.2">
      <c r="E485" s="614"/>
      <c r="F485" s="614"/>
      <c r="H485" s="681"/>
      <c r="I485" s="681"/>
      <c r="J485" s="681"/>
      <c r="K485" s="681"/>
      <c r="L485" s="681"/>
      <c r="M485" s="681"/>
      <c r="N485" s="681"/>
      <c r="O485" s="681"/>
    </row>
    <row r="486" spans="5:15" s="476" customFormat="1" ht="13.15" customHeight="1" x14ac:dyDescent="0.2">
      <c r="E486" s="614"/>
      <c r="F486" s="614"/>
      <c r="H486" s="681"/>
      <c r="I486" s="681"/>
      <c r="J486" s="681"/>
      <c r="K486" s="681"/>
      <c r="L486" s="681"/>
      <c r="M486" s="681"/>
      <c r="N486" s="681"/>
      <c r="O486" s="681"/>
    </row>
    <row r="487" spans="5:15" s="476" customFormat="1" ht="13.15" customHeight="1" x14ac:dyDescent="0.2">
      <c r="E487" s="614"/>
      <c r="F487" s="614"/>
      <c r="H487" s="667"/>
      <c r="I487" s="614"/>
      <c r="J487" s="614"/>
      <c r="K487" s="614"/>
      <c r="L487" s="614"/>
      <c r="M487" s="614"/>
      <c r="N487" s="614"/>
      <c r="O487" s="614"/>
    </row>
    <row r="488" spans="5:15" s="476" customFormat="1" ht="13.15" customHeight="1" x14ac:dyDescent="0.2">
      <c r="E488" s="614"/>
      <c r="F488" s="614"/>
      <c r="H488" s="681"/>
      <c r="I488" s="681"/>
      <c r="J488" s="681"/>
      <c r="K488" s="681"/>
      <c r="L488" s="681"/>
      <c r="M488" s="681"/>
      <c r="N488" s="681"/>
      <c r="O488" s="681"/>
    </row>
    <row r="489" spans="5:15" s="476" customFormat="1" ht="13.15" customHeight="1" x14ac:dyDescent="0.2">
      <c r="E489" s="614"/>
      <c r="F489" s="614"/>
      <c r="H489" s="681"/>
      <c r="I489" s="681"/>
      <c r="J489" s="681"/>
      <c r="K489" s="681"/>
      <c r="L489" s="681"/>
      <c r="M489" s="681"/>
      <c r="N489" s="681"/>
      <c r="O489" s="681"/>
    </row>
    <row r="490" spans="5:15" s="476" customFormat="1" ht="13.15" customHeight="1" x14ac:dyDescent="0.2">
      <c r="E490" s="614"/>
      <c r="F490" s="614"/>
      <c r="H490" s="681"/>
      <c r="I490" s="681"/>
      <c r="J490" s="681"/>
      <c r="K490" s="681"/>
      <c r="L490" s="681"/>
      <c r="M490" s="681"/>
      <c r="N490" s="681"/>
      <c r="O490" s="681"/>
    </row>
    <row r="491" spans="5:15" s="476" customFormat="1" ht="13.15" customHeight="1" x14ac:dyDescent="0.2">
      <c r="E491" s="614"/>
      <c r="F491" s="614"/>
      <c r="H491" s="681"/>
      <c r="I491" s="681"/>
      <c r="J491" s="681"/>
      <c r="K491" s="681"/>
      <c r="L491" s="681"/>
      <c r="M491" s="681"/>
      <c r="N491" s="681"/>
      <c r="O491" s="681"/>
    </row>
    <row r="492" spans="5:15" s="476" customFormat="1" ht="13.15" customHeight="1" x14ac:dyDescent="0.2">
      <c r="E492" s="614"/>
      <c r="F492" s="614"/>
      <c r="H492" s="681"/>
      <c r="I492" s="681"/>
      <c r="J492" s="681"/>
      <c r="K492" s="681"/>
      <c r="L492" s="681"/>
      <c r="M492" s="681"/>
      <c r="N492" s="681"/>
      <c r="O492" s="681"/>
    </row>
    <row r="493" spans="5:15" s="476" customFormat="1" ht="13.15" customHeight="1" x14ac:dyDescent="0.2">
      <c r="E493" s="614"/>
      <c r="F493" s="614"/>
      <c r="H493" s="681"/>
      <c r="I493" s="681"/>
      <c r="J493" s="681"/>
      <c r="K493" s="681"/>
      <c r="L493" s="681"/>
      <c r="M493" s="681"/>
      <c r="N493" s="681"/>
      <c r="O493" s="681"/>
    </row>
    <row r="494" spans="5:15" s="476" customFormat="1" ht="13.15" customHeight="1" x14ac:dyDescent="0.2">
      <c r="E494" s="614"/>
      <c r="F494" s="614"/>
      <c r="H494" s="667"/>
      <c r="I494" s="614"/>
      <c r="J494" s="614"/>
      <c r="K494" s="614"/>
      <c r="L494" s="614"/>
      <c r="M494" s="614"/>
      <c r="N494" s="614"/>
      <c r="O494" s="614"/>
    </row>
    <row r="495" spans="5:15" s="476" customFormat="1" ht="13.15" customHeight="1" x14ac:dyDescent="0.2">
      <c r="E495" s="614"/>
      <c r="F495" s="614"/>
      <c r="H495" s="681"/>
      <c r="I495" s="681"/>
      <c r="J495" s="681"/>
      <c r="K495" s="681"/>
      <c r="L495" s="681"/>
      <c r="M495" s="681"/>
      <c r="N495" s="681"/>
      <c r="O495" s="681"/>
    </row>
    <row r="496" spans="5:15" s="476" customFormat="1" ht="13.15" customHeight="1" x14ac:dyDescent="0.2">
      <c r="E496" s="614"/>
      <c r="F496" s="614"/>
      <c r="H496" s="681"/>
      <c r="I496" s="681"/>
      <c r="J496" s="681"/>
      <c r="K496" s="681"/>
      <c r="L496" s="681"/>
      <c r="M496" s="681"/>
      <c r="N496" s="681"/>
      <c r="O496" s="681"/>
    </row>
    <row r="497" spans="1:34" s="476" customFormat="1" ht="13.15" customHeight="1" x14ac:dyDescent="0.2">
      <c r="E497" s="614"/>
      <c r="F497" s="614"/>
      <c r="H497" s="681"/>
      <c r="I497" s="681"/>
      <c r="J497" s="681"/>
      <c r="K497" s="681"/>
      <c r="L497" s="681"/>
      <c r="M497" s="681"/>
      <c r="N497" s="681"/>
      <c r="O497" s="681"/>
    </row>
    <row r="498" spans="1:34" s="476" customFormat="1" ht="13.15" customHeight="1" x14ac:dyDescent="0.2">
      <c r="E498" s="614"/>
      <c r="F498" s="614"/>
      <c r="H498" s="681"/>
      <c r="I498" s="681"/>
      <c r="J498" s="681"/>
      <c r="K498" s="681"/>
      <c r="L498" s="681"/>
      <c r="M498" s="681"/>
      <c r="N498" s="681"/>
      <c r="O498" s="681"/>
    </row>
    <row r="499" spans="1:34" s="476" customFormat="1" ht="13.15" customHeight="1" x14ac:dyDescent="0.2">
      <c r="E499" s="614"/>
      <c r="F499" s="614"/>
      <c r="H499" s="681"/>
      <c r="I499" s="681"/>
      <c r="J499" s="681"/>
      <c r="K499" s="681"/>
      <c r="L499" s="681"/>
      <c r="M499" s="681"/>
      <c r="N499" s="681"/>
      <c r="O499" s="681"/>
    </row>
    <row r="500" spans="1:34" s="476" customFormat="1" ht="13.15" customHeight="1" x14ac:dyDescent="0.2">
      <c r="E500" s="614"/>
      <c r="F500" s="614"/>
      <c r="H500" s="681"/>
      <c r="I500" s="681"/>
      <c r="J500" s="681"/>
      <c r="K500" s="681"/>
      <c r="L500" s="681"/>
      <c r="M500" s="681"/>
      <c r="N500" s="681"/>
      <c r="O500" s="681"/>
    </row>
    <row r="501" spans="1:34" s="663" customFormat="1" ht="13.15" customHeight="1" x14ac:dyDescent="0.2">
      <c r="A501" s="476"/>
      <c r="B501" s="476"/>
      <c r="C501" s="476"/>
      <c r="D501" s="476"/>
      <c r="E501" s="614"/>
      <c r="F501" s="614"/>
      <c r="G501" s="476"/>
      <c r="H501" s="667"/>
      <c r="I501" s="614"/>
      <c r="J501" s="614"/>
      <c r="K501" s="614"/>
      <c r="L501" s="614"/>
      <c r="M501" s="614"/>
      <c r="N501" s="614"/>
      <c r="O501" s="614"/>
      <c r="P501" s="476"/>
      <c r="Q501" s="476"/>
      <c r="R501" s="476"/>
      <c r="S501" s="476"/>
      <c r="T501" s="476"/>
      <c r="U501" s="476"/>
      <c r="V501" s="476"/>
      <c r="W501" s="476"/>
      <c r="X501" s="476"/>
      <c r="Y501" s="476"/>
      <c r="Z501" s="476"/>
      <c r="AA501" s="476"/>
      <c r="AB501" s="476"/>
      <c r="AC501" s="476"/>
      <c r="AD501" s="476"/>
      <c r="AE501" s="476"/>
      <c r="AF501" s="476"/>
      <c r="AG501" s="476"/>
      <c r="AH501" s="476"/>
    </row>
    <row r="502" spans="1:34" s="476" customFormat="1" ht="13.15" customHeight="1" x14ac:dyDescent="0.2">
      <c r="E502" s="614"/>
      <c r="F502" s="614"/>
      <c r="H502" s="681"/>
      <c r="I502" s="681"/>
      <c r="J502" s="681"/>
      <c r="K502" s="681"/>
      <c r="L502" s="681"/>
      <c r="M502" s="681"/>
      <c r="N502" s="681"/>
      <c r="O502" s="681"/>
    </row>
    <row r="503" spans="1:34" s="476" customFormat="1" ht="13.15" customHeight="1" x14ac:dyDescent="0.2">
      <c r="E503" s="614"/>
      <c r="F503" s="614"/>
      <c r="H503" s="681"/>
      <c r="I503" s="681"/>
      <c r="J503" s="681"/>
      <c r="K503" s="681"/>
      <c r="L503" s="681"/>
      <c r="M503" s="681"/>
      <c r="N503" s="681"/>
      <c r="O503" s="681"/>
    </row>
    <row r="504" spans="1:34" s="476" customFormat="1" ht="13.15" customHeight="1" x14ac:dyDescent="0.2">
      <c r="E504" s="614"/>
      <c r="F504" s="614"/>
      <c r="H504" s="681"/>
      <c r="I504" s="681"/>
      <c r="J504" s="681"/>
      <c r="K504" s="681"/>
      <c r="L504" s="681"/>
      <c r="M504" s="681"/>
      <c r="N504" s="681"/>
      <c r="O504" s="681"/>
    </row>
    <row r="505" spans="1:34" s="476" customFormat="1" ht="13.15" customHeight="1" x14ac:dyDescent="0.2">
      <c r="E505" s="614"/>
      <c r="F505" s="614"/>
      <c r="H505" s="681"/>
      <c r="I505" s="681"/>
      <c r="J505" s="681"/>
      <c r="K505" s="681"/>
      <c r="L505" s="681"/>
      <c r="M505" s="681"/>
      <c r="N505" s="681"/>
      <c r="O505" s="681"/>
    </row>
    <row r="506" spans="1:34" s="476" customFormat="1" ht="13.15" customHeight="1" x14ac:dyDescent="0.2">
      <c r="E506" s="614"/>
      <c r="F506" s="614"/>
      <c r="H506" s="681"/>
      <c r="I506" s="681"/>
      <c r="J506" s="681"/>
      <c r="K506" s="681"/>
      <c r="L506" s="681"/>
      <c r="M506" s="681"/>
      <c r="N506" s="681"/>
      <c r="O506" s="681"/>
    </row>
    <row r="507" spans="1:34" s="476" customFormat="1" ht="13.15" customHeight="1" x14ac:dyDescent="0.2">
      <c r="E507" s="614"/>
      <c r="F507" s="614"/>
      <c r="H507" s="681"/>
      <c r="I507" s="681"/>
      <c r="J507" s="681"/>
      <c r="K507" s="681"/>
      <c r="L507" s="681"/>
      <c r="M507" s="681"/>
      <c r="N507" s="681"/>
      <c r="O507" s="681"/>
    </row>
    <row r="508" spans="1:34" s="476" customFormat="1" ht="13.15" customHeight="1" x14ac:dyDescent="0.2">
      <c r="E508" s="614"/>
      <c r="F508" s="614"/>
      <c r="H508" s="667"/>
      <c r="I508" s="614"/>
      <c r="J508" s="614"/>
      <c r="K508" s="614"/>
      <c r="L508" s="614"/>
      <c r="M508" s="614"/>
      <c r="N508" s="614"/>
      <c r="O508" s="614"/>
    </row>
    <row r="509" spans="1:34" s="476" customFormat="1" ht="13.15" customHeight="1" x14ac:dyDescent="0.2">
      <c r="E509" s="614"/>
      <c r="F509" s="614"/>
      <c r="H509" s="681"/>
      <c r="I509" s="681"/>
      <c r="J509" s="681"/>
      <c r="K509" s="681"/>
      <c r="L509" s="681"/>
      <c r="M509" s="681"/>
      <c r="N509" s="681"/>
      <c r="O509" s="681"/>
    </row>
    <row r="510" spans="1:34" s="476" customFormat="1" ht="13.15" customHeight="1" x14ac:dyDescent="0.2">
      <c r="E510" s="614"/>
      <c r="F510" s="614"/>
      <c r="H510" s="681"/>
      <c r="I510" s="681"/>
      <c r="J510" s="681"/>
      <c r="K510" s="681"/>
      <c r="L510" s="681"/>
      <c r="M510" s="681"/>
      <c r="N510" s="681"/>
      <c r="O510" s="681"/>
    </row>
    <row r="511" spans="1:34" s="476" customFormat="1" ht="13.15" customHeight="1" x14ac:dyDescent="0.2">
      <c r="E511" s="614"/>
      <c r="F511" s="614"/>
      <c r="H511" s="681"/>
      <c r="I511" s="681"/>
      <c r="J511" s="681"/>
      <c r="K511" s="681"/>
      <c r="L511" s="681"/>
      <c r="M511" s="681"/>
      <c r="N511" s="681"/>
      <c r="O511" s="681"/>
    </row>
    <row r="512" spans="1:34" s="476" customFormat="1" ht="13.15" customHeight="1" x14ac:dyDescent="0.2">
      <c r="E512" s="614"/>
      <c r="F512" s="614"/>
      <c r="H512" s="681"/>
      <c r="I512" s="681"/>
      <c r="J512" s="681"/>
      <c r="K512" s="681"/>
      <c r="L512" s="681"/>
      <c r="M512" s="681"/>
      <c r="N512" s="681"/>
      <c r="O512" s="681"/>
    </row>
    <row r="513" spans="1:18" s="476" customFormat="1" ht="13.15" customHeight="1" x14ac:dyDescent="0.2">
      <c r="E513" s="614"/>
      <c r="F513" s="614"/>
      <c r="H513" s="681"/>
      <c r="I513" s="681"/>
      <c r="J513" s="681"/>
      <c r="K513" s="681"/>
      <c r="L513" s="681"/>
      <c r="M513" s="681"/>
      <c r="N513" s="681"/>
      <c r="O513" s="681"/>
    </row>
    <row r="514" spans="1:18" s="476" customFormat="1" ht="13.15" customHeight="1" x14ac:dyDescent="0.2">
      <c r="E514" s="614"/>
      <c r="F514" s="614"/>
      <c r="H514" s="681"/>
      <c r="I514" s="681"/>
      <c r="J514" s="681"/>
      <c r="K514" s="681"/>
      <c r="L514" s="681"/>
      <c r="M514" s="681"/>
      <c r="N514" s="681"/>
      <c r="O514" s="681"/>
    </row>
    <row r="515" spans="1:18" s="476" customFormat="1" ht="13.15" customHeight="1" x14ac:dyDescent="0.2">
      <c r="E515" s="614"/>
      <c r="F515" s="614"/>
      <c r="H515" s="667"/>
      <c r="I515" s="614"/>
      <c r="J515" s="614"/>
      <c r="K515" s="614"/>
      <c r="L515" s="614"/>
      <c r="M515" s="614"/>
      <c r="N515" s="614"/>
      <c r="O515" s="614"/>
    </row>
    <row r="516" spans="1:18" s="476" customFormat="1" ht="13.15" customHeight="1" x14ac:dyDescent="0.2">
      <c r="E516" s="614"/>
      <c r="F516" s="614"/>
      <c r="H516" s="681"/>
      <c r="I516" s="681"/>
      <c r="J516" s="681"/>
      <c r="K516" s="681"/>
      <c r="L516" s="681"/>
      <c r="M516" s="681"/>
      <c r="N516" s="681"/>
      <c r="O516" s="681"/>
    </row>
    <row r="517" spans="1:18" s="476" customFormat="1" ht="13.15" customHeight="1" x14ac:dyDescent="0.2">
      <c r="E517" s="614"/>
      <c r="F517" s="614"/>
      <c r="H517" s="681"/>
      <c r="I517" s="681"/>
      <c r="J517" s="681"/>
      <c r="K517" s="681"/>
      <c r="L517" s="681"/>
      <c r="M517" s="681"/>
      <c r="N517" s="681"/>
      <c r="O517" s="681"/>
    </row>
    <row r="518" spans="1:18" s="476" customFormat="1" ht="13.15" customHeight="1" x14ac:dyDescent="0.2">
      <c r="E518" s="614"/>
      <c r="F518" s="614"/>
      <c r="H518" s="681"/>
      <c r="I518" s="681"/>
      <c r="J518" s="681"/>
      <c r="K518" s="681"/>
      <c r="L518" s="681"/>
      <c r="M518" s="681"/>
      <c r="N518" s="681"/>
      <c r="O518" s="681"/>
    </row>
    <row r="519" spans="1:18" s="476" customFormat="1" ht="13.15" customHeight="1" x14ac:dyDescent="0.2">
      <c r="E519" s="614"/>
      <c r="F519" s="614"/>
      <c r="H519" s="681"/>
      <c r="I519" s="681"/>
      <c r="J519" s="681"/>
      <c r="K519" s="681"/>
      <c r="L519" s="681"/>
      <c r="M519" s="681"/>
      <c r="N519" s="681"/>
      <c r="O519" s="681"/>
    </row>
    <row r="520" spans="1:18" s="476" customFormat="1" ht="13.15" customHeight="1" x14ac:dyDescent="0.2">
      <c r="E520" s="614"/>
      <c r="F520" s="614"/>
      <c r="H520" s="681"/>
      <c r="I520" s="681"/>
      <c r="J520" s="681"/>
      <c r="K520" s="681"/>
      <c r="L520" s="681"/>
      <c r="M520" s="681"/>
      <c r="N520" s="681"/>
      <c r="O520" s="681"/>
    </row>
    <row r="521" spans="1:18" s="476" customFormat="1" ht="13.15" customHeight="1" x14ac:dyDescent="0.2">
      <c r="E521" s="614"/>
      <c r="F521" s="614"/>
      <c r="H521" s="681"/>
      <c r="I521" s="681"/>
      <c r="J521" s="681"/>
      <c r="K521" s="681"/>
      <c r="L521" s="681"/>
      <c r="M521" s="681"/>
      <c r="N521" s="681"/>
      <c r="O521" s="681"/>
    </row>
    <row r="522" spans="1:18" s="476" customFormat="1" ht="13.15" customHeight="1" x14ac:dyDescent="0.2">
      <c r="E522" s="614"/>
      <c r="F522" s="614"/>
      <c r="H522" s="667"/>
      <c r="I522" s="614"/>
      <c r="J522" s="614"/>
      <c r="K522" s="614"/>
      <c r="L522" s="614"/>
      <c r="M522" s="614"/>
      <c r="N522" s="614"/>
      <c r="O522" s="614"/>
    </row>
    <row r="523" spans="1:18" s="476" customFormat="1" ht="13.15" customHeight="1" x14ac:dyDescent="0.2">
      <c r="E523" s="614"/>
      <c r="F523" s="614"/>
      <c r="H523" s="681"/>
      <c r="I523" s="681"/>
      <c r="J523" s="681"/>
      <c r="K523" s="681"/>
      <c r="L523" s="681"/>
      <c r="M523" s="681"/>
      <c r="N523" s="681"/>
      <c r="O523" s="681"/>
    </row>
    <row r="524" spans="1:18" s="476" customFormat="1" ht="13.15" customHeight="1" x14ac:dyDescent="0.2">
      <c r="E524" s="614"/>
      <c r="F524" s="614"/>
      <c r="H524" s="681"/>
      <c r="I524" s="681"/>
      <c r="J524" s="681"/>
      <c r="K524" s="681"/>
      <c r="L524" s="681"/>
      <c r="M524" s="681"/>
      <c r="N524" s="681"/>
      <c r="O524" s="681"/>
    </row>
    <row r="525" spans="1:18" s="476" customFormat="1" ht="13.15" customHeight="1" x14ac:dyDescent="0.2">
      <c r="E525" s="614"/>
      <c r="F525" s="614"/>
      <c r="H525" s="681"/>
      <c r="I525" s="681"/>
      <c r="J525" s="681"/>
      <c r="K525" s="681"/>
      <c r="L525" s="681"/>
      <c r="M525" s="681"/>
      <c r="N525" s="681"/>
      <c r="O525" s="681"/>
    </row>
    <row r="526" spans="1:18" s="476" customFormat="1" ht="13.15" customHeight="1" x14ac:dyDescent="0.2">
      <c r="E526" s="614"/>
      <c r="F526" s="614"/>
      <c r="H526" s="681"/>
      <c r="I526" s="681"/>
      <c r="J526" s="681"/>
      <c r="K526" s="681"/>
      <c r="L526" s="681"/>
      <c r="M526" s="681"/>
      <c r="N526" s="681"/>
      <c r="O526" s="681"/>
    </row>
    <row r="527" spans="1:18" s="476" customFormat="1" ht="13.15" customHeight="1" x14ac:dyDescent="0.2">
      <c r="A527" s="663"/>
      <c r="E527" s="614"/>
      <c r="F527" s="614"/>
      <c r="H527" s="681"/>
      <c r="I527" s="681"/>
      <c r="J527" s="681"/>
      <c r="K527" s="681"/>
      <c r="L527" s="681"/>
      <c r="M527" s="681"/>
      <c r="N527" s="681"/>
      <c r="O527" s="681"/>
      <c r="R527" s="663"/>
    </row>
    <row r="528" spans="1:18" s="476" customFormat="1" ht="13.15" customHeight="1" x14ac:dyDescent="0.2">
      <c r="E528" s="614"/>
      <c r="F528" s="614"/>
      <c r="H528" s="681"/>
      <c r="I528" s="681"/>
      <c r="J528" s="681"/>
      <c r="K528" s="681"/>
      <c r="L528" s="681"/>
      <c r="M528" s="681"/>
      <c r="N528" s="681"/>
      <c r="O528" s="681"/>
    </row>
    <row r="529" spans="2:17" s="476" customFormat="1" ht="13.15" customHeight="1" x14ac:dyDescent="0.2">
      <c r="E529" s="614"/>
      <c r="F529" s="614"/>
      <c r="H529" s="614"/>
      <c r="I529" s="614"/>
      <c r="J529" s="614"/>
      <c r="K529" s="614"/>
      <c r="L529" s="614"/>
      <c r="M529" s="614"/>
      <c r="N529" s="614"/>
      <c r="O529" s="614"/>
    </row>
    <row r="530" spans="2:17" s="476" customFormat="1" ht="13.15" customHeight="1" x14ac:dyDescent="0.2">
      <c r="C530" s="663"/>
      <c r="D530" s="663"/>
      <c r="E530" s="683"/>
      <c r="F530" s="683"/>
      <c r="G530" s="663"/>
      <c r="H530" s="684"/>
      <c r="I530" s="684"/>
      <c r="J530" s="684"/>
      <c r="K530" s="684"/>
      <c r="L530" s="684"/>
      <c r="M530" s="684"/>
      <c r="N530" s="684"/>
      <c r="O530" s="684"/>
      <c r="P530" s="663"/>
      <c r="Q530" s="663"/>
    </row>
    <row r="531" spans="2:17" s="476" customFormat="1" ht="13.15" customHeight="1" x14ac:dyDescent="0.2">
      <c r="E531" s="614"/>
      <c r="F531" s="614"/>
      <c r="H531" s="614"/>
      <c r="I531" s="614"/>
      <c r="J531" s="614"/>
      <c r="K531" s="614"/>
      <c r="L531" s="614"/>
      <c r="M531" s="614"/>
      <c r="N531" s="614"/>
      <c r="O531" s="614"/>
    </row>
    <row r="532" spans="2:17" s="476" customFormat="1" ht="13.15" customHeight="1" x14ac:dyDescent="0.25">
      <c r="E532" s="614"/>
      <c r="F532" s="614"/>
      <c r="H532" s="614"/>
      <c r="I532" s="614"/>
      <c r="J532" s="614"/>
      <c r="K532" s="614"/>
      <c r="L532" s="614"/>
      <c r="M532" s="614"/>
      <c r="N532" s="614"/>
      <c r="O532" s="614"/>
      <c r="P532" s="685"/>
    </row>
    <row r="533" spans="2:17" s="476" customFormat="1" ht="13.15" customHeight="1" x14ac:dyDescent="0.2">
      <c r="E533" s="614"/>
      <c r="F533" s="614"/>
      <c r="H533" s="614"/>
      <c r="I533" s="614"/>
      <c r="J533" s="614"/>
      <c r="K533" s="614"/>
      <c r="L533" s="614"/>
      <c r="M533" s="614"/>
      <c r="N533" s="614"/>
      <c r="O533" s="614"/>
    </row>
    <row r="534" spans="2:17" s="476" customFormat="1" ht="13.15" customHeight="1" x14ac:dyDescent="0.2">
      <c r="E534" s="614"/>
      <c r="F534" s="614"/>
      <c r="H534" s="614"/>
      <c r="I534" s="614"/>
      <c r="J534" s="614"/>
      <c r="K534" s="614"/>
      <c r="L534" s="614"/>
      <c r="M534" s="614"/>
      <c r="N534" s="614"/>
      <c r="O534" s="614"/>
    </row>
    <row r="535" spans="2:17" s="476" customFormat="1" ht="13.15" customHeight="1" x14ac:dyDescent="0.2">
      <c r="E535" s="614"/>
      <c r="F535" s="614"/>
      <c r="H535" s="614"/>
      <c r="I535" s="614"/>
      <c r="J535" s="614"/>
      <c r="K535" s="614"/>
      <c r="L535" s="614"/>
      <c r="M535" s="614"/>
      <c r="N535" s="614"/>
      <c r="O535" s="614"/>
    </row>
    <row r="536" spans="2:17" s="476" customFormat="1" ht="13.15" customHeight="1" x14ac:dyDescent="0.2">
      <c r="E536" s="614"/>
      <c r="F536" s="614"/>
      <c r="H536" s="614"/>
      <c r="I536" s="614"/>
      <c r="J536" s="614"/>
      <c r="K536" s="614"/>
      <c r="L536" s="614"/>
      <c r="M536" s="614"/>
      <c r="N536" s="614"/>
      <c r="O536" s="614"/>
    </row>
    <row r="537" spans="2:17" s="476" customFormat="1" ht="13.15" customHeight="1" x14ac:dyDescent="0.2">
      <c r="E537" s="614"/>
      <c r="F537" s="614"/>
      <c r="H537" s="614"/>
      <c r="I537" s="614"/>
      <c r="J537" s="614"/>
      <c r="K537" s="614"/>
      <c r="L537" s="614"/>
      <c r="M537" s="614"/>
      <c r="N537" s="614"/>
      <c r="O537" s="614"/>
    </row>
    <row r="538" spans="2:17" s="476" customFormat="1" ht="13.15" customHeight="1" x14ac:dyDescent="0.2">
      <c r="B538" s="663"/>
      <c r="C538" s="664"/>
      <c r="D538" s="664"/>
      <c r="E538" s="664"/>
      <c r="F538" s="664"/>
      <c r="G538" s="664"/>
      <c r="H538" s="664"/>
      <c r="I538" s="664"/>
      <c r="J538" s="664"/>
      <c r="K538" s="664"/>
      <c r="L538" s="664"/>
      <c r="M538" s="664"/>
      <c r="N538" s="664"/>
      <c r="O538" s="664"/>
      <c r="P538" s="664"/>
      <c r="Q538" s="664"/>
    </row>
    <row r="539" spans="2:17" s="476" customFormat="1" ht="13.15" customHeight="1" x14ac:dyDescent="0.2">
      <c r="C539" s="664"/>
      <c r="D539" s="664"/>
      <c r="E539" s="664"/>
      <c r="F539" s="664"/>
      <c r="G539" s="664"/>
      <c r="H539" s="664"/>
      <c r="I539" s="664"/>
      <c r="J539" s="664"/>
      <c r="K539" s="664"/>
      <c r="L539" s="664"/>
      <c r="M539" s="664"/>
      <c r="N539" s="664"/>
      <c r="O539" s="664"/>
      <c r="P539" s="664"/>
      <c r="Q539" s="664"/>
    </row>
    <row r="540" spans="2:17" s="476" customFormat="1" ht="13.15" customHeight="1" x14ac:dyDescent="0.2">
      <c r="C540" s="664"/>
      <c r="D540" s="664"/>
      <c r="E540" s="664"/>
      <c r="F540" s="664"/>
      <c r="G540" s="664"/>
      <c r="H540" s="664"/>
      <c r="I540" s="664"/>
      <c r="J540" s="664"/>
      <c r="K540" s="664"/>
      <c r="L540" s="664"/>
      <c r="M540" s="664"/>
      <c r="N540" s="664"/>
      <c r="O540" s="664"/>
      <c r="P540" s="664"/>
      <c r="Q540" s="664"/>
    </row>
    <row r="541" spans="2:17" s="476" customFormat="1" ht="13.15" customHeight="1" x14ac:dyDescent="0.2">
      <c r="C541" s="664"/>
      <c r="D541" s="664"/>
      <c r="E541" s="664"/>
      <c r="F541" s="664"/>
      <c r="G541" s="664"/>
      <c r="H541" s="664"/>
      <c r="I541" s="664"/>
      <c r="J541" s="664"/>
      <c r="K541" s="664"/>
      <c r="L541" s="664"/>
      <c r="M541" s="664"/>
      <c r="N541" s="664"/>
      <c r="O541" s="664"/>
      <c r="P541" s="664"/>
      <c r="Q541" s="664"/>
    </row>
    <row r="542" spans="2:17" s="476" customFormat="1" ht="13.15" customHeight="1" x14ac:dyDescent="0.2">
      <c r="C542" s="664"/>
      <c r="D542" s="664"/>
      <c r="E542" s="664"/>
      <c r="F542" s="664"/>
      <c r="G542" s="664"/>
      <c r="H542" s="664"/>
      <c r="I542" s="664"/>
      <c r="J542" s="664"/>
      <c r="K542" s="664"/>
      <c r="L542" s="664"/>
      <c r="M542" s="664"/>
      <c r="N542" s="664"/>
      <c r="O542" s="664"/>
      <c r="P542" s="664"/>
      <c r="Q542" s="664"/>
    </row>
    <row r="543" spans="2:17" s="476" customFormat="1" ht="13.15" customHeight="1" x14ac:dyDescent="0.2">
      <c r="C543" s="664"/>
      <c r="D543" s="664"/>
      <c r="E543" s="664"/>
      <c r="F543" s="664"/>
      <c r="G543" s="664"/>
      <c r="H543" s="664"/>
      <c r="I543" s="664"/>
      <c r="J543" s="664"/>
      <c r="K543" s="664"/>
      <c r="L543" s="664"/>
      <c r="M543" s="664"/>
      <c r="N543" s="664"/>
      <c r="O543" s="664"/>
      <c r="P543" s="664"/>
      <c r="Q543" s="664"/>
    </row>
    <row r="544" spans="2:17" s="476" customFormat="1" ht="13.15" customHeight="1" x14ac:dyDescent="0.2">
      <c r="C544" s="664"/>
      <c r="D544" s="664"/>
      <c r="E544" s="664"/>
      <c r="F544" s="664"/>
      <c r="G544" s="664"/>
      <c r="H544" s="664"/>
      <c r="I544" s="664"/>
      <c r="J544" s="664"/>
      <c r="K544" s="664"/>
      <c r="L544" s="664"/>
      <c r="M544" s="664"/>
      <c r="N544" s="664"/>
      <c r="O544" s="664"/>
      <c r="P544" s="664"/>
      <c r="Q544" s="664"/>
    </row>
    <row r="545" spans="1:34" s="476" customFormat="1" ht="13.15" customHeight="1" x14ac:dyDescent="0.2">
      <c r="C545" s="664"/>
      <c r="D545" s="664"/>
      <c r="E545" s="664"/>
      <c r="F545" s="664"/>
      <c r="G545" s="664"/>
      <c r="H545" s="664"/>
      <c r="I545" s="664"/>
      <c r="J545" s="664"/>
      <c r="K545" s="664"/>
      <c r="L545" s="664"/>
      <c r="M545" s="664"/>
      <c r="N545" s="664"/>
      <c r="O545" s="664"/>
      <c r="P545" s="664"/>
      <c r="Q545" s="664"/>
    </row>
    <row r="546" spans="1:34" s="476" customFormat="1" ht="13.15" customHeight="1" x14ac:dyDescent="0.2">
      <c r="A546" s="664"/>
      <c r="B546" s="664"/>
      <c r="E546" s="614"/>
      <c r="F546" s="614"/>
      <c r="H546" s="614"/>
      <c r="I546" s="614"/>
      <c r="J546" s="614"/>
      <c r="K546" s="614"/>
      <c r="L546" s="614"/>
      <c r="M546" s="614"/>
      <c r="N546" s="614"/>
      <c r="O546" s="614"/>
      <c r="R546" s="664"/>
    </row>
    <row r="547" spans="1:34" s="476" customFormat="1" ht="13.15" customHeight="1" x14ac:dyDescent="0.2">
      <c r="A547" s="664"/>
      <c r="B547" s="664"/>
      <c r="E547" s="614"/>
      <c r="F547" s="614"/>
      <c r="H547" s="614"/>
      <c r="I547" s="614"/>
      <c r="J547" s="614"/>
      <c r="K547" s="614"/>
      <c r="L547" s="614"/>
      <c r="M547" s="614"/>
      <c r="N547" s="614"/>
      <c r="O547" s="614"/>
      <c r="R547" s="664"/>
    </row>
    <row r="548" spans="1:34" s="476" customFormat="1" ht="13.15" customHeight="1" x14ac:dyDescent="0.2">
      <c r="A548" s="664"/>
      <c r="B548" s="664"/>
      <c r="E548" s="614"/>
      <c r="F548" s="614"/>
      <c r="H548" s="614"/>
      <c r="I548" s="614"/>
      <c r="J548" s="614"/>
      <c r="K548" s="614"/>
      <c r="L548" s="614"/>
      <c r="M548" s="614"/>
      <c r="N548" s="614"/>
      <c r="O548" s="614"/>
      <c r="R548" s="664"/>
    </row>
    <row r="549" spans="1:34" s="476" customFormat="1" ht="13.15" customHeight="1" x14ac:dyDescent="0.2">
      <c r="A549" s="664"/>
      <c r="B549" s="664"/>
      <c r="E549" s="614"/>
      <c r="F549" s="614"/>
      <c r="H549" s="614"/>
      <c r="I549" s="614"/>
      <c r="J549" s="614"/>
      <c r="K549" s="614"/>
      <c r="L549" s="614"/>
      <c r="M549" s="614"/>
      <c r="N549" s="614"/>
      <c r="O549" s="614"/>
      <c r="R549" s="664"/>
    </row>
    <row r="550" spans="1:34" s="476" customFormat="1" ht="13.15" customHeight="1" x14ac:dyDescent="0.2">
      <c r="A550" s="664"/>
      <c r="B550" s="664"/>
      <c r="E550" s="614"/>
      <c r="F550" s="614"/>
      <c r="H550" s="614"/>
      <c r="I550" s="614"/>
      <c r="J550" s="614"/>
      <c r="K550" s="614"/>
      <c r="L550" s="614"/>
      <c r="M550" s="614"/>
      <c r="N550" s="614"/>
      <c r="O550" s="614"/>
      <c r="R550" s="664"/>
    </row>
    <row r="551" spans="1:34" s="476" customFormat="1" ht="13.15" customHeight="1" x14ac:dyDescent="0.2">
      <c r="A551" s="664"/>
      <c r="B551" s="664"/>
      <c r="E551" s="614"/>
      <c r="F551" s="614"/>
      <c r="H551" s="614"/>
      <c r="I551" s="614"/>
      <c r="J551" s="614"/>
      <c r="K551" s="614"/>
      <c r="L551" s="614"/>
      <c r="M551" s="614"/>
      <c r="N551" s="614"/>
      <c r="O551" s="614"/>
      <c r="R551" s="664"/>
    </row>
    <row r="552" spans="1:34" s="476" customFormat="1" ht="13.15" customHeight="1" x14ac:dyDescent="0.2">
      <c r="A552" s="664"/>
      <c r="B552" s="664"/>
      <c r="C552" s="540"/>
      <c r="D552" s="540"/>
      <c r="E552" s="686"/>
      <c r="F552" s="686"/>
      <c r="G552" s="540"/>
      <c r="H552" s="540"/>
      <c r="I552" s="540"/>
      <c r="J552" s="540"/>
      <c r="K552" s="540"/>
      <c r="L552" s="540"/>
      <c r="M552" s="540"/>
      <c r="N552" s="540"/>
      <c r="O552" s="540"/>
      <c r="P552" s="540"/>
      <c r="Q552" s="540"/>
      <c r="R552" s="664"/>
    </row>
    <row r="553" spans="1:34" s="476" customFormat="1" ht="13.15" customHeight="1" x14ac:dyDescent="0.2">
      <c r="A553" s="664"/>
      <c r="B553" s="664"/>
      <c r="E553" s="614"/>
      <c r="F553" s="614"/>
      <c r="H553" s="614"/>
      <c r="I553" s="614"/>
      <c r="J553" s="614"/>
      <c r="K553" s="614"/>
      <c r="L553" s="614"/>
      <c r="M553" s="614"/>
      <c r="N553" s="614"/>
      <c r="O553" s="614"/>
      <c r="R553" s="664"/>
    </row>
    <row r="554" spans="1:34" s="476" customFormat="1" ht="13.15" customHeight="1" x14ac:dyDescent="0.2">
      <c r="E554" s="614"/>
      <c r="F554" s="614"/>
      <c r="H554" s="614"/>
      <c r="I554" s="614"/>
      <c r="J554" s="614"/>
      <c r="K554" s="614"/>
      <c r="L554" s="614"/>
      <c r="M554" s="614"/>
      <c r="N554" s="614"/>
      <c r="O554" s="614"/>
    </row>
    <row r="555" spans="1:34" s="476" customFormat="1" ht="13.15" customHeight="1" x14ac:dyDescent="0.2">
      <c r="E555" s="614"/>
      <c r="F555" s="614"/>
      <c r="H555" s="614"/>
      <c r="I555" s="614"/>
      <c r="J555" s="614"/>
      <c r="K555" s="614"/>
      <c r="L555" s="614"/>
      <c r="M555" s="614"/>
      <c r="N555" s="614"/>
      <c r="O555" s="614"/>
    </row>
    <row r="556" spans="1:34" s="476" customFormat="1" ht="13.15" customHeight="1" x14ac:dyDescent="0.2">
      <c r="E556" s="614"/>
      <c r="F556" s="614"/>
      <c r="H556" s="614"/>
      <c r="I556" s="614"/>
      <c r="J556" s="614"/>
      <c r="K556" s="614"/>
      <c r="L556" s="614"/>
      <c r="M556" s="614"/>
      <c r="N556" s="614"/>
      <c r="O556" s="614"/>
    </row>
    <row r="557" spans="1:34" s="476" customFormat="1" ht="13.15" customHeight="1" x14ac:dyDescent="0.2">
      <c r="C557" s="540"/>
      <c r="D557" s="540"/>
      <c r="E557" s="686"/>
      <c r="F557" s="686"/>
      <c r="G557" s="540"/>
      <c r="H557" s="540"/>
      <c r="I557" s="540"/>
      <c r="J557" s="540"/>
      <c r="K557" s="540"/>
      <c r="L557" s="540"/>
      <c r="M557" s="540"/>
      <c r="N557" s="540"/>
      <c r="O557" s="540"/>
      <c r="P557" s="540"/>
      <c r="Q557" s="540"/>
    </row>
    <row r="558" spans="1:34" s="476" customFormat="1" ht="13.15" customHeight="1" x14ac:dyDescent="0.2">
      <c r="E558" s="614"/>
      <c r="F558" s="614"/>
      <c r="H558" s="614"/>
      <c r="I558" s="614"/>
      <c r="J558" s="614"/>
      <c r="K558" s="614"/>
      <c r="L558" s="614"/>
      <c r="M558" s="614"/>
      <c r="N558" s="614"/>
      <c r="O558" s="614"/>
    </row>
    <row r="559" spans="1:34" s="476" customFormat="1" ht="13.15" customHeight="1" x14ac:dyDescent="0.2">
      <c r="E559" s="614"/>
      <c r="F559" s="614"/>
      <c r="H559" s="614"/>
      <c r="I559" s="614"/>
      <c r="J559" s="614"/>
      <c r="K559" s="614"/>
      <c r="L559" s="614"/>
      <c r="M559" s="614"/>
      <c r="N559" s="614"/>
      <c r="O559" s="614"/>
    </row>
    <row r="560" spans="1:34" s="540" customFormat="1" ht="13.15" customHeight="1" x14ac:dyDescent="0.2">
      <c r="C560" s="476"/>
      <c r="D560" s="476"/>
      <c r="E560" s="614"/>
      <c r="F560" s="614"/>
      <c r="G560" s="476"/>
      <c r="H560" s="614"/>
      <c r="I560" s="614"/>
      <c r="J560" s="614"/>
      <c r="K560" s="614"/>
      <c r="L560" s="614"/>
      <c r="M560" s="614"/>
      <c r="N560" s="614"/>
      <c r="O560" s="614"/>
      <c r="P560" s="476"/>
      <c r="Q560" s="476"/>
      <c r="S560" s="476"/>
      <c r="T560" s="476"/>
      <c r="U560" s="476"/>
      <c r="V560" s="476"/>
      <c r="W560" s="476"/>
      <c r="X560" s="476"/>
      <c r="Y560" s="476"/>
      <c r="Z560" s="476"/>
      <c r="AA560" s="476"/>
      <c r="AB560" s="476"/>
      <c r="AC560" s="476"/>
      <c r="AD560" s="476"/>
      <c r="AE560" s="476"/>
      <c r="AF560" s="476"/>
      <c r="AG560" s="476"/>
      <c r="AH560" s="476"/>
    </row>
    <row r="561" spans="3:34" s="476" customFormat="1" ht="13.15" customHeight="1" x14ac:dyDescent="0.2">
      <c r="E561" s="614"/>
      <c r="F561" s="614"/>
      <c r="H561" s="614"/>
      <c r="I561" s="614"/>
      <c r="J561" s="614"/>
      <c r="K561" s="614"/>
      <c r="L561" s="614"/>
      <c r="M561" s="614"/>
      <c r="N561" s="614"/>
      <c r="O561" s="614"/>
    </row>
    <row r="562" spans="3:34" s="476" customFormat="1" ht="13.15" customHeight="1" x14ac:dyDescent="0.2">
      <c r="C562" s="540"/>
      <c r="D562" s="540"/>
      <c r="E562" s="686"/>
      <c r="F562" s="686"/>
      <c r="G562" s="540"/>
      <c r="H562" s="540"/>
      <c r="I562" s="540"/>
      <c r="J562" s="540"/>
      <c r="K562" s="540"/>
      <c r="L562" s="540"/>
      <c r="M562" s="540"/>
      <c r="N562" s="540"/>
      <c r="O562" s="540"/>
      <c r="P562" s="540"/>
      <c r="Q562" s="540"/>
    </row>
    <row r="563" spans="3:34" s="476" customFormat="1" ht="13.15" customHeight="1" x14ac:dyDescent="0.2">
      <c r="E563" s="614"/>
      <c r="F563" s="614"/>
      <c r="H563" s="614"/>
      <c r="I563" s="614"/>
      <c r="J563" s="614"/>
      <c r="K563" s="614"/>
      <c r="L563" s="614"/>
      <c r="M563" s="614"/>
      <c r="N563" s="614"/>
      <c r="O563" s="614"/>
    </row>
    <row r="564" spans="3:34" s="476" customFormat="1" ht="13.15" customHeight="1" x14ac:dyDescent="0.2">
      <c r="E564" s="614"/>
      <c r="F564" s="614"/>
      <c r="H564" s="614"/>
      <c r="I564" s="614"/>
      <c r="J564" s="614"/>
      <c r="K564" s="614"/>
      <c r="L564" s="614"/>
      <c r="M564" s="614"/>
      <c r="N564" s="614"/>
      <c r="O564" s="614"/>
    </row>
    <row r="565" spans="3:34" s="540" customFormat="1" ht="13.15" customHeight="1" x14ac:dyDescent="0.2">
      <c r="C565" s="476"/>
      <c r="D565" s="476"/>
      <c r="E565" s="614"/>
      <c r="F565" s="614"/>
      <c r="G565" s="476"/>
      <c r="H565" s="614"/>
      <c r="I565" s="614"/>
      <c r="J565" s="614"/>
      <c r="K565" s="614"/>
      <c r="L565" s="614"/>
      <c r="M565" s="614"/>
      <c r="N565" s="614"/>
      <c r="O565" s="614"/>
      <c r="P565" s="476"/>
      <c r="Q565" s="476"/>
      <c r="S565" s="476"/>
      <c r="T565" s="476"/>
      <c r="U565" s="476"/>
      <c r="V565" s="476"/>
      <c r="W565" s="476"/>
      <c r="X565" s="476"/>
      <c r="Y565" s="476"/>
      <c r="Z565" s="476"/>
      <c r="AA565" s="476"/>
      <c r="AB565" s="476"/>
      <c r="AC565" s="476"/>
      <c r="AD565" s="476"/>
      <c r="AE565" s="476"/>
      <c r="AF565" s="476"/>
      <c r="AG565" s="476"/>
      <c r="AH565" s="476"/>
    </row>
    <row r="566" spans="3:34" s="476" customFormat="1" ht="13.15" customHeight="1" x14ac:dyDescent="0.2">
      <c r="E566" s="614"/>
      <c r="F566" s="614"/>
      <c r="H566" s="614"/>
      <c r="I566" s="614"/>
      <c r="J566" s="614"/>
      <c r="K566" s="614"/>
      <c r="L566" s="614"/>
      <c r="M566" s="614"/>
      <c r="N566" s="614"/>
      <c r="O566" s="614"/>
    </row>
    <row r="567" spans="3:34" s="476" customFormat="1" ht="13.15" customHeight="1" x14ac:dyDescent="0.2">
      <c r="C567" s="540"/>
      <c r="D567" s="540"/>
      <c r="E567" s="686"/>
      <c r="F567" s="686"/>
      <c r="G567" s="540"/>
      <c r="H567" s="540"/>
      <c r="I567" s="540"/>
      <c r="J567" s="540"/>
      <c r="K567" s="540"/>
      <c r="L567" s="540"/>
      <c r="M567" s="540"/>
      <c r="N567" s="540"/>
      <c r="O567" s="540"/>
      <c r="P567" s="540"/>
      <c r="Q567" s="540"/>
    </row>
    <row r="568" spans="3:34" s="476" customFormat="1" ht="13.15" customHeight="1" x14ac:dyDescent="0.2">
      <c r="E568" s="614"/>
      <c r="F568" s="614"/>
      <c r="H568" s="614"/>
      <c r="I568" s="614"/>
      <c r="J568" s="614"/>
      <c r="K568" s="614"/>
      <c r="L568" s="614"/>
      <c r="M568" s="614"/>
      <c r="N568" s="614"/>
      <c r="O568" s="614"/>
    </row>
    <row r="569" spans="3:34" s="476" customFormat="1" ht="13.15" customHeight="1" x14ac:dyDescent="0.2">
      <c r="E569" s="614"/>
      <c r="F569" s="614"/>
      <c r="H569" s="614"/>
      <c r="I569" s="614"/>
      <c r="J569" s="614"/>
      <c r="K569" s="614"/>
      <c r="L569" s="614"/>
      <c r="M569" s="614"/>
      <c r="N569" s="614"/>
      <c r="O569" s="614"/>
    </row>
    <row r="570" spans="3:34" s="540" customFormat="1" ht="13.15" customHeight="1" x14ac:dyDescent="0.2">
      <c r="C570" s="476"/>
      <c r="D570" s="476"/>
      <c r="E570" s="614"/>
      <c r="F570" s="614"/>
      <c r="G570" s="476"/>
      <c r="H570" s="614"/>
      <c r="I570" s="614"/>
      <c r="J570" s="614"/>
      <c r="K570" s="614"/>
      <c r="L570" s="614"/>
      <c r="M570" s="614"/>
      <c r="N570" s="614"/>
      <c r="O570" s="614"/>
      <c r="P570" s="476"/>
      <c r="Q570" s="476"/>
      <c r="S570" s="476"/>
      <c r="T570" s="476"/>
      <c r="U570" s="476"/>
      <c r="V570" s="476"/>
      <c r="W570" s="476"/>
      <c r="X570" s="476"/>
      <c r="Y570" s="476"/>
      <c r="Z570" s="476"/>
      <c r="AA570" s="476"/>
      <c r="AB570" s="476"/>
      <c r="AC570" s="476"/>
      <c r="AD570" s="476"/>
      <c r="AE570" s="476"/>
      <c r="AF570" s="476"/>
      <c r="AG570" s="476"/>
      <c r="AH570" s="476"/>
    </row>
    <row r="571" spans="3:34" s="476" customFormat="1" ht="13.15" customHeight="1" x14ac:dyDescent="0.2">
      <c r="E571" s="614"/>
      <c r="F571" s="614"/>
      <c r="H571" s="614"/>
      <c r="I571" s="614"/>
      <c r="J571" s="614"/>
      <c r="K571" s="614"/>
      <c r="L571" s="614"/>
      <c r="M571" s="614"/>
      <c r="N571" s="614"/>
      <c r="O571" s="614"/>
    </row>
    <row r="572" spans="3:34" s="476" customFormat="1" ht="13.15" customHeight="1" x14ac:dyDescent="0.2">
      <c r="C572" s="540"/>
      <c r="D572" s="540"/>
      <c r="E572" s="686"/>
      <c r="F572" s="686"/>
      <c r="G572" s="540"/>
      <c r="H572" s="540"/>
      <c r="I572" s="540"/>
      <c r="J572" s="540"/>
      <c r="K572" s="540"/>
      <c r="L572" s="540"/>
      <c r="M572" s="540"/>
      <c r="N572" s="540"/>
      <c r="O572" s="540"/>
      <c r="P572" s="540"/>
      <c r="Q572" s="540"/>
    </row>
    <row r="573" spans="3:34" s="476" customFormat="1" ht="13.15" customHeight="1" x14ac:dyDescent="0.2">
      <c r="E573" s="614"/>
      <c r="F573" s="614"/>
      <c r="H573" s="614"/>
      <c r="I573" s="614"/>
      <c r="J573" s="614"/>
      <c r="K573" s="614"/>
      <c r="L573" s="614"/>
      <c r="M573" s="614"/>
      <c r="N573" s="614"/>
      <c r="O573" s="614"/>
    </row>
    <row r="574" spans="3:34" s="476" customFormat="1" ht="13.15" customHeight="1" x14ac:dyDescent="0.2">
      <c r="E574" s="614"/>
      <c r="F574" s="614"/>
      <c r="H574" s="614"/>
      <c r="I574" s="614"/>
      <c r="J574" s="614"/>
      <c r="K574" s="614"/>
      <c r="L574" s="614"/>
      <c r="M574" s="614"/>
      <c r="N574" s="614"/>
      <c r="O574" s="614"/>
    </row>
    <row r="575" spans="3:34" s="540" customFormat="1" ht="13.15" customHeight="1" x14ac:dyDescent="0.2">
      <c r="C575" s="476"/>
      <c r="D575" s="476"/>
      <c r="E575" s="614"/>
      <c r="F575" s="614"/>
      <c r="G575" s="476"/>
      <c r="H575" s="614"/>
      <c r="I575" s="614"/>
      <c r="J575" s="614"/>
      <c r="K575" s="614"/>
      <c r="L575" s="614"/>
      <c r="M575" s="614"/>
      <c r="N575" s="614"/>
      <c r="O575" s="614"/>
      <c r="P575" s="476"/>
      <c r="Q575" s="476"/>
      <c r="S575" s="476"/>
      <c r="T575" s="476"/>
      <c r="U575" s="476"/>
      <c r="V575" s="476"/>
      <c r="W575" s="476"/>
      <c r="X575" s="476"/>
      <c r="Y575" s="476"/>
      <c r="Z575" s="476"/>
      <c r="AA575" s="476"/>
      <c r="AB575" s="476"/>
      <c r="AC575" s="476"/>
      <c r="AD575" s="476"/>
      <c r="AE575" s="476"/>
      <c r="AF575" s="476"/>
      <c r="AG575" s="476"/>
      <c r="AH575" s="476"/>
    </row>
    <row r="576" spans="3:34" s="476" customFormat="1" ht="13.15" customHeight="1" x14ac:dyDescent="0.2">
      <c r="E576" s="614"/>
      <c r="F576" s="614"/>
      <c r="H576" s="614"/>
      <c r="I576" s="614"/>
      <c r="J576" s="614"/>
      <c r="K576" s="614"/>
      <c r="L576" s="614"/>
      <c r="M576" s="614"/>
      <c r="N576" s="614"/>
      <c r="O576" s="614"/>
    </row>
    <row r="577" spans="3:34" s="601" customFormat="1" ht="13.15" customHeight="1" x14ac:dyDescent="0.2">
      <c r="E577" s="665"/>
      <c r="F577" s="665"/>
      <c r="H577" s="665"/>
      <c r="I577" s="665"/>
      <c r="J577" s="665"/>
      <c r="K577" s="665"/>
      <c r="L577" s="665"/>
      <c r="M577" s="665"/>
      <c r="N577" s="665"/>
      <c r="O577" s="665"/>
    </row>
    <row r="578" spans="3:34" s="601" customFormat="1" ht="13.15" customHeight="1" x14ac:dyDescent="0.2">
      <c r="E578" s="665"/>
      <c r="F578" s="665"/>
      <c r="H578" s="665"/>
      <c r="I578" s="665"/>
      <c r="J578" s="665"/>
      <c r="K578" s="665"/>
      <c r="L578" s="665"/>
      <c r="M578" s="665"/>
      <c r="N578" s="665"/>
      <c r="O578" s="665"/>
    </row>
    <row r="579" spans="3:34" s="601" customFormat="1" ht="13.15" customHeight="1" x14ac:dyDescent="0.2">
      <c r="E579" s="665"/>
      <c r="F579" s="665"/>
      <c r="H579" s="665"/>
      <c r="I579" s="665"/>
      <c r="J579" s="665"/>
      <c r="K579" s="665"/>
      <c r="L579" s="665"/>
      <c r="M579" s="665"/>
      <c r="N579" s="665"/>
      <c r="O579" s="665"/>
    </row>
    <row r="580" spans="3:34" s="532" customFormat="1" ht="13.15" customHeight="1" x14ac:dyDescent="0.2">
      <c r="C580" s="601"/>
      <c r="D580" s="601"/>
      <c r="E580" s="665"/>
      <c r="F580" s="665"/>
      <c r="G580" s="601"/>
      <c r="H580" s="665"/>
      <c r="I580" s="665"/>
      <c r="J580" s="665"/>
      <c r="K580" s="665"/>
      <c r="L580" s="665"/>
      <c r="M580" s="665"/>
      <c r="N580" s="665"/>
      <c r="O580" s="665"/>
      <c r="P580" s="601"/>
      <c r="Q580" s="601"/>
      <c r="S580" s="601"/>
      <c r="T580" s="601"/>
      <c r="U580" s="601"/>
      <c r="V580" s="601"/>
      <c r="W580" s="601"/>
      <c r="X580" s="601"/>
      <c r="Y580" s="601"/>
      <c r="Z580" s="601"/>
      <c r="AA580" s="601"/>
      <c r="AB580" s="601"/>
      <c r="AC580" s="601"/>
      <c r="AD580" s="601"/>
      <c r="AE580" s="601"/>
      <c r="AF580" s="601"/>
      <c r="AG580" s="601"/>
      <c r="AH580" s="601"/>
    </row>
    <row r="581" spans="3:34" s="601" customFormat="1" ht="13.15" customHeight="1" x14ac:dyDescent="0.2">
      <c r="E581" s="665"/>
      <c r="F581" s="665"/>
      <c r="H581" s="665"/>
      <c r="I581" s="665"/>
      <c r="J581" s="665"/>
      <c r="K581" s="665"/>
      <c r="L581" s="665"/>
      <c r="M581" s="665"/>
      <c r="N581" s="665"/>
      <c r="O581" s="665"/>
    </row>
    <row r="582" spans="3:34" s="601" customFormat="1" ht="13.15" customHeight="1" x14ac:dyDescent="0.2">
      <c r="E582" s="665"/>
      <c r="F582" s="665"/>
      <c r="H582" s="665"/>
      <c r="I582" s="665"/>
      <c r="J582" s="665"/>
      <c r="K582" s="665"/>
      <c r="L582" s="665"/>
      <c r="M582" s="665"/>
      <c r="N582" s="665"/>
      <c r="O582" s="665"/>
    </row>
    <row r="583" spans="3:34" s="601" customFormat="1" ht="13.15" customHeight="1" x14ac:dyDescent="0.2">
      <c r="E583" s="665"/>
      <c r="F583" s="665"/>
      <c r="H583" s="665"/>
      <c r="I583" s="665"/>
      <c r="J583" s="665"/>
      <c r="K583" s="665"/>
      <c r="L583" s="665"/>
      <c r="M583" s="665"/>
      <c r="N583" s="665"/>
      <c r="O583" s="665"/>
    </row>
    <row r="584" spans="3:34" s="601" customFormat="1" ht="13.15" customHeight="1" x14ac:dyDescent="0.2">
      <c r="E584" s="665"/>
      <c r="F584" s="665"/>
      <c r="H584" s="665"/>
      <c r="I584" s="665"/>
      <c r="J584" s="665"/>
      <c r="K584" s="665"/>
      <c r="L584" s="665"/>
      <c r="M584" s="665"/>
      <c r="N584" s="665"/>
      <c r="O584" s="665"/>
    </row>
    <row r="585" spans="3:34" s="601" customFormat="1" ht="13.15" customHeight="1" x14ac:dyDescent="0.2">
      <c r="C585" s="532"/>
      <c r="D585" s="532"/>
      <c r="E585" s="687"/>
      <c r="F585" s="687"/>
      <c r="G585" s="532"/>
      <c r="H585" s="532"/>
      <c r="I585" s="532"/>
      <c r="J585" s="532"/>
      <c r="K585" s="532"/>
      <c r="L585" s="532"/>
      <c r="M585" s="532"/>
      <c r="N585" s="532"/>
      <c r="O585" s="532"/>
      <c r="P585" s="532"/>
      <c r="Q585" s="532"/>
    </row>
    <row r="586" spans="3:34" s="601" customFormat="1" ht="13.15" customHeight="1" x14ac:dyDescent="0.2">
      <c r="E586" s="665"/>
      <c r="F586" s="665"/>
      <c r="H586" s="665"/>
      <c r="I586" s="665"/>
      <c r="J586" s="665"/>
      <c r="K586" s="665"/>
      <c r="L586" s="665"/>
      <c r="M586" s="665"/>
      <c r="N586" s="665"/>
      <c r="O586" s="665"/>
    </row>
    <row r="587" spans="3:34" s="601" customFormat="1" ht="13.15" customHeight="1" x14ac:dyDescent="0.2">
      <c r="E587" s="665"/>
      <c r="F587" s="665"/>
      <c r="H587" s="665"/>
      <c r="I587" s="665"/>
      <c r="J587" s="665"/>
      <c r="K587" s="665"/>
      <c r="L587" s="665"/>
      <c r="M587" s="665"/>
      <c r="N587" s="665"/>
      <c r="O587" s="665"/>
    </row>
    <row r="588" spans="3:34" s="601" customFormat="1" ht="13.15" customHeight="1" x14ac:dyDescent="0.2">
      <c r="E588" s="665"/>
      <c r="F588" s="665"/>
      <c r="H588" s="665"/>
      <c r="I588" s="665"/>
      <c r="J588" s="665"/>
      <c r="K588" s="665"/>
      <c r="L588" s="665"/>
      <c r="M588" s="665"/>
      <c r="N588" s="665"/>
      <c r="O588" s="665"/>
    </row>
    <row r="589" spans="3:34" s="601" customFormat="1" ht="13.15" customHeight="1" x14ac:dyDescent="0.2">
      <c r="E589" s="665"/>
      <c r="F589" s="665"/>
      <c r="H589" s="665"/>
      <c r="I589" s="665"/>
      <c r="J589" s="665"/>
      <c r="K589" s="665"/>
      <c r="L589" s="665"/>
      <c r="M589" s="665"/>
      <c r="N589" s="665"/>
      <c r="O589" s="665"/>
    </row>
    <row r="590" spans="3:34" s="601" customFormat="1" ht="13.15" customHeight="1" x14ac:dyDescent="0.2">
      <c r="E590" s="665"/>
      <c r="F590" s="665"/>
      <c r="H590" s="665"/>
      <c r="I590" s="665"/>
      <c r="J590" s="665"/>
      <c r="K590" s="665"/>
      <c r="L590" s="665"/>
      <c r="M590" s="665"/>
      <c r="N590" s="665"/>
      <c r="O590" s="665"/>
    </row>
    <row r="591" spans="3:34" s="601" customFormat="1" ht="13.15" customHeight="1" x14ac:dyDescent="0.2">
      <c r="C591" s="532"/>
      <c r="D591" s="532"/>
      <c r="E591" s="687"/>
      <c r="F591" s="687"/>
      <c r="G591" s="532"/>
      <c r="H591" s="532"/>
      <c r="I591" s="532"/>
      <c r="J591" s="532"/>
      <c r="K591" s="532"/>
      <c r="L591" s="532"/>
      <c r="M591" s="532"/>
      <c r="N591" s="532"/>
      <c r="O591" s="532"/>
      <c r="P591" s="532"/>
      <c r="Q591" s="532"/>
    </row>
    <row r="592" spans="3:34" s="601" customFormat="1" ht="13.15" customHeight="1" x14ac:dyDescent="0.2">
      <c r="E592" s="665"/>
      <c r="F592" s="665"/>
      <c r="H592" s="665"/>
      <c r="I592" s="665"/>
      <c r="J592" s="665"/>
      <c r="K592" s="665"/>
      <c r="L592" s="665"/>
      <c r="M592" s="665"/>
      <c r="N592" s="665"/>
      <c r="O592" s="665"/>
    </row>
    <row r="593" spans="3:34" s="532" customFormat="1" ht="13.15" customHeight="1" x14ac:dyDescent="0.2">
      <c r="C593" s="601"/>
      <c r="D593" s="601"/>
      <c r="E593" s="665"/>
      <c r="F593" s="665"/>
      <c r="G593" s="601"/>
      <c r="H593" s="665"/>
      <c r="I593" s="665"/>
      <c r="J593" s="665"/>
      <c r="K593" s="665"/>
      <c r="L593" s="665"/>
      <c r="M593" s="665"/>
      <c r="N593" s="665"/>
      <c r="O593" s="665"/>
      <c r="P593" s="601"/>
      <c r="Q593" s="601"/>
      <c r="S593" s="601"/>
      <c r="T593" s="601"/>
      <c r="U593" s="601"/>
      <c r="V593" s="601"/>
      <c r="W593" s="601"/>
      <c r="X593" s="601"/>
      <c r="Y593" s="601"/>
      <c r="Z593" s="601"/>
      <c r="AA593" s="601"/>
      <c r="AB593" s="601"/>
      <c r="AC593" s="601"/>
      <c r="AD593" s="601"/>
      <c r="AE593" s="601"/>
      <c r="AF593" s="601"/>
      <c r="AG593" s="601"/>
      <c r="AH593" s="601"/>
    </row>
    <row r="594" spans="3:34" s="601" customFormat="1" ht="13.15" customHeight="1" x14ac:dyDescent="0.2">
      <c r="E594" s="665"/>
      <c r="F594" s="665"/>
      <c r="H594" s="665"/>
      <c r="I594" s="665"/>
      <c r="J594" s="665"/>
      <c r="K594" s="665"/>
      <c r="L594" s="665"/>
      <c r="M594" s="665"/>
      <c r="N594" s="665"/>
      <c r="O594" s="665"/>
    </row>
    <row r="595" spans="3:34" s="601" customFormat="1" ht="13.15" customHeight="1" x14ac:dyDescent="0.2">
      <c r="E595" s="665"/>
      <c r="F595" s="665"/>
      <c r="H595" s="665"/>
      <c r="I595" s="665"/>
      <c r="J595" s="665"/>
      <c r="K595" s="665"/>
      <c r="L595" s="665"/>
      <c r="M595" s="665"/>
      <c r="N595" s="665"/>
      <c r="O595" s="665"/>
    </row>
    <row r="596" spans="3:34" s="601" customFormat="1" ht="13.15" customHeight="1" x14ac:dyDescent="0.2">
      <c r="E596" s="665"/>
      <c r="F596" s="665"/>
      <c r="H596" s="665"/>
      <c r="I596" s="665"/>
      <c r="J596" s="665"/>
      <c r="K596" s="665"/>
      <c r="L596" s="665"/>
      <c r="M596" s="665"/>
      <c r="N596" s="665"/>
      <c r="O596" s="665"/>
    </row>
    <row r="597" spans="3:34" s="601" customFormat="1" ht="13.15" customHeight="1" x14ac:dyDescent="0.2">
      <c r="C597" s="532"/>
      <c r="D597" s="532"/>
      <c r="E597" s="687"/>
      <c r="F597" s="687"/>
      <c r="G597" s="532"/>
      <c r="H597" s="532"/>
      <c r="I597" s="532"/>
      <c r="J597" s="532"/>
      <c r="K597" s="532"/>
      <c r="L597" s="532"/>
      <c r="M597" s="532"/>
      <c r="N597" s="532"/>
      <c r="O597" s="532"/>
      <c r="P597" s="532"/>
      <c r="Q597" s="532"/>
    </row>
    <row r="598" spans="3:34" s="601" customFormat="1" ht="13.15" customHeight="1" x14ac:dyDescent="0.2">
      <c r="E598" s="665"/>
      <c r="F598" s="665"/>
      <c r="H598" s="665"/>
      <c r="I598" s="665"/>
      <c r="J598" s="665"/>
      <c r="K598" s="665"/>
      <c r="L598" s="665"/>
      <c r="M598" s="665"/>
      <c r="N598" s="665"/>
      <c r="O598" s="665"/>
    </row>
    <row r="599" spans="3:34" s="532" customFormat="1" ht="13.15" customHeight="1" x14ac:dyDescent="0.2">
      <c r="C599" s="601"/>
      <c r="D599" s="601"/>
      <c r="E599" s="665"/>
      <c r="F599" s="665"/>
      <c r="G599" s="601"/>
      <c r="H599" s="665"/>
      <c r="I599" s="665"/>
      <c r="J599" s="665"/>
      <c r="K599" s="665"/>
      <c r="L599" s="665"/>
      <c r="M599" s="665"/>
      <c r="N599" s="665"/>
      <c r="O599" s="665"/>
      <c r="P599" s="601"/>
      <c r="Q599" s="601"/>
      <c r="S599" s="601"/>
      <c r="T599" s="601"/>
      <c r="U599" s="601"/>
      <c r="V599" s="601"/>
      <c r="W599" s="601"/>
      <c r="X599" s="601"/>
      <c r="Y599" s="601"/>
      <c r="Z599" s="601"/>
      <c r="AA599" s="601"/>
      <c r="AB599" s="601"/>
      <c r="AC599" s="601"/>
      <c r="AD599" s="601"/>
      <c r="AE599" s="601"/>
      <c r="AF599" s="601"/>
      <c r="AG599" s="601"/>
      <c r="AH599" s="601"/>
    </row>
    <row r="600" spans="3:34" s="601" customFormat="1" ht="13.15" customHeight="1" x14ac:dyDescent="0.2">
      <c r="E600" s="665"/>
      <c r="F600" s="665"/>
      <c r="H600" s="665"/>
      <c r="I600" s="665"/>
      <c r="J600" s="665"/>
      <c r="K600" s="665"/>
      <c r="L600" s="665"/>
      <c r="M600" s="665"/>
      <c r="N600" s="665"/>
      <c r="O600" s="665"/>
    </row>
    <row r="601" spans="3:34" s="601" customFormat="1" ht="13.15" customHeight="1" x14ac:dyDescent="0.2">
      <c r="E601" s="665"/>
      <c r="F601" s="665"/>
      <c r="H601" s="665"/>
      <c r="I601" s="665"/>
      <c r="J601" s="665"/>
      <c r="K601" s="665"/>
      <c r="L601" s="665"/>
      <c r="M601" s="665"/>
      <c r="N601" s="665"/>
      <c r="O601" s="665"/>
    </row>
    <row r="602" spans="3:34" s="601" customFormat="1" ht="13.15" customHeight="1" x14ac:dyDescent="0.2">
      <c r="E602" s="665"/>
      <c r="F602" s="665"/>
      <c r="H602" s="665"/>
      <c r="I602" s="665"/>
      <c r="J602" s="665"/>
      <c r="K602" s="665"/>
      <c r="L602" s="665"/>
      <c r="M602" s="665"/>
      <c r="N602" s="665"/>
      <c r="O602" s="665"/>
    </row>
    <row r="603" spans="3:34" s="601" customFormat="1" ht="13.15" customHeight="1" x14ac:dyDescent="0.2">
      <c r="C603" s="532"/>
      <c r="D603" s="532"/>
      <c r="E603" s="687"/>
      <c r="F603" s="687"/>
      <c r="G603" s="532"/>
      <c r="H603" s="532"/>
      <c r="I603" s="532"/>
      <c r="J603" s="532"/>
      <c r="K603" s="532"/>
      <c r="L603" s="532"/>
      <c r="M603" s="532"/>
      <c r="N603" s="532"/>
      <c r="O603" s="532"/>
      <c r="P603" s="532"/>
      <c r="Q603" s="532"/>
    </row>
    <row r="604" spans="3:34" s="601" customFormat="1" ht="13.15" customHeight="1" x14ac:dyDescent="0.2">
      <c r="E604" s="665"/>
      <c r="F604" s="665"/>
      <c r="H604" s="665"/>
      <c r="I604" s="665"/>
      <c r="J604" s="665"/>
      <c r="K604" s="665"/>
      <c r="L604" s="665"/>
      <c r="M604" s="665"/>
      <c r="N604" s="665"/>
      <c r="O604" s="665"/>
    </row>
    <row r="605" spans="3:34" s="532" customFormat="1" ht="13.15" customHeight="1" x14ac:dyDescent="0.2">
      <c r="C605" s="601"/>
      <c r="D605" s="601"/>
      <c r="E605" s="665"/>
      <c r="F605" s="665"/>
      <c r="G605" s="601"/>
      <c r="H605" s="665"/>
      <c r="I605" s="665"/>
      <c r="J605" s="665"/>
      <c r="K605" s="665"/>
      <c r="L605" s="665"/>
      <c r="M605" s="665"/>
      <c r="N605" s="665"/>
      <c r="O605" s="665"/>
      <c r="P605" s="601"/>
      <c r="Q605" s="601"/>
      <c r="S605" s="601"/>
      <c r="T605" s="601"/>
      <c r="U605" s="601"/>
      <c r="V605" s="601"/>
      <c r="W605" s="601"/>
      <c r="X605" s="601"/>
      <c r="Y605" s="601"/>
      <c r="Z605" s="601"/>
      <c r="AA605" s="601"/>
      <c r="AB605" s="601"/>
      <c r="AC605" s="601"/>
      <c r="AD605" s="601"/>
      <c r="AE605" s="601"/>
      <c r="AF605" s="601"/>
      <c r="AG605" s="601"/>
      <c r="AH605" s="601"/>
    </row>
    <row r="606" spans="3:34" s="601" customFormat="1" ht="13.15" customHeight="1" x14ac:dyDescent="0.2">
      <c r="E606" s="665"/>
      <c r="F606" s="665"/>
      <c r="H606" s="665"/>
      <c r="I606" s="665"/>
      <c r="J606" s="665"/>
      <c r="K606" s="665"/>
      <c r="L606" s="665"/>
      <c r="M606" s="665"/>
      <c r="N606" s="665"/>
      <c r="O606" s="665"/>
    </row>
    <row r="609" spans="1:43" ht="13.15" customHeight="1" x14ac:dyDescent="0.2">
      <c r="C609" s="215"/>
      <c r="D609" s="215"/>
      <c r="E609" s="216"/>
      <c r="F609" s="216"/>
      <c r="G609" s="215"/>
      <c r="H609" s="215"/>
      <c r="I609" s="215"/>
      <c r="J609" s="215"/>
      <c r="K609" s="215"/>
      <c r="L609" s="215"/>
      <c r="M609" s="215"/>
      <c r="N609" s="215"/>
      <c r="O609" s="215"/>
      <c r="P609" s="215"/>
      <c r="Q609" s="215"/>
    </row>
    <row r="611" spans="1:43" s="215" customFormat="1" ht="13.15" customHeight="1" x14ac:dyDescent="0.2">
      <c r="A611" s="532"/>
      <c r="C611" s="214"/>
      <c r="D611" s="214"/>
      <c r="E611" s="217"/>
      <c r="F611" s="217"/>
      <c r="G611" s="214"/>
      <c r="H611" s="217"/>
      <c r="I611" s="217"/>
      <c r="J611" s="217"/>
      <c r="K611" s="217"/>
      <c r="L611" s="217"/>
      <c r="M611" s="217"/>
      <c r="N611" s="217"/>
      <c r="O611" s="217"/>
      <c r="P611" s="214"/>
      <c r="Q611" s="214"/>
      <c r="R611" s="532"/>
      <c r="S611" s="601"/>
      <c r="T611" s="601"/>
      <c r="U611" s="601"/>
      <c r="V611" s="601"/>
      <c r="W611" s="601"/>
      <c r="X611" s="601"/>
      <c r="Y611" s="601"/>
      <c r="Z611" s="601"/>
      <c r="AA611" s="601"/>
      <c r="AB611" s="601"/>
      <c r="AC611" s="601"/>
      <c r="AD611" s="601"/>
      <c r="AE611" s="601"/>
      <c r="AF611" s="601"/>
      <c r="AG611" s="601"/>
      <c r="AH611" s="601"/>
      <c r="AI611" s="532"/>
      <c r="AJ611" s="532"/>
      <c r="AK611" s="532"/>
      <c r="AL611" s="532"/>
      <c r="AM611" s="532"/>
      <c r="AN611" s="532"/>
      <c r="AO611" s="532"/>
      <c r="AP611" s="532"/>
      <c r="AQ611" s="532"/>
    </row>
    <row r="615" spans="1:43" ht="13.15" customHeight="1" x14ac:dyDescent="0.2">
      <c r="C615" s="215"/>
      <c r="D615" s="215"/>
      <c r="E615" s="216"/>
      <c r="F615" s="216"/>
      <c r="G615" s="215"/>
      <c r="H615" s="215"/>
      <c r="I615" s="215"/>
      <c r="J615" s="215"/>
      <c r="K615" s="215"/>
      <c r="L615" s="215"/>
      <c r="M615" s="215"/>
      <c r="N615" s="215"/>
      <c r="O615" s="215"/>
      <c r="P615" s="215"/>
      <c r="Q615" s="215"/>
    </row>
    <row r="617" spans="1:43" s="215" customFormat="1" ht="13.15" customHeight="1" x14ac:dyDescent="0.2">
      <c r="A617" s="532"/>
      <c r="C617" s="214"/>
      <c r="D617" s="214"/>
      <c r="E617" s="217"/>
      <c r="F617" s="217"/>
      <c r="G617" s="214"/>
      <c r="H617" s="217"/>
      <c r="I617" s="217"/>
      <c r="J617" s="217"/>
      <c r="K617" s="217"/>
      <c r="L617" s="217"/>
      <c r="M617" s="217"/>
      <c r="N617" s="217"/>
      <c r="O617" s="217"/>
      <c r="P617" s="214"/>
      <c r="Q617" s="214"/>
      <c r="R617" s="532"/>
      <c r="S617" s="601"/>
      <c r="T617" s="601"/>
      <c r="U617" s="601"/>
      <c r="V617" s="601"/>
      <c r="W617" s="601"/>
      <c r="X617" s="601"/>
      <c r="Y617" s="601"/>
      <c r="Z617" s="601"/>
      <c r="AA617" s="601"/>
      <c r="AB617" s="601"/>
      <c r="AC617" s="601"/>
      <c r="AD617" s="601"/>
      <c r="AE617" s="601"/>
      <c r="AF617" s="601"/>
      <c r="AG617" s="601"/>
      <c r="AH617" s="601"/>
      <c r="AI617" s="532"/>
      <c r="AJ617" s="532"/>
      <c r="AK617" s="532"/>
      <c r="AL617" s="532"/>
      <c r="AM617" s="532"/>
      <c r="AN617" s="532"/>
      <c r="AO617" s="532"/>
      <c r="AP617" s="532"/>
      <c r="AQ617" s="532"/>
    </row>
    <row r="623" spans="1:43" s="215" customFormat="1" ht="13.15" customHeight="1" x14ac:dyDescent="0.2">
      <c r="A623" s="532"/>
      <c r="C623" s="214"/>
      <c r="D623" s="214"/>
      <c r="E623" s="217"/>
      <c r="F623" s="217"/>
      <c r="G623" s="214"/>
      <c r="H623" s="217"/>
      <c r="I623" s="217"/>
      <c r="J623" s="217"/>
      <c r="K623" s="217"/>
      <c r="L623" s="217"/>
      <c r="M623" s="217"/>
      <c r="N623" s="217"/>
      <c r="O623" s="217"/>
      <c r="P623" s="214"/>
      <c r="Q623" s="214"/>
      <c r="R623" s="532"/>
      <c r="S623" s="601"/>
      <c r="T623" s="601"/>
      <c r="U623" s="601"/>
      <c r="V623" s="601"/>
      <c r="W623" s="601"/>
      <c r="X623" s="601"/>
      <c r="Y623" s="601"/>
      <c r="Z623" s="601"/>
      <c r="AA623" s="601"/>
      <c r="AB623" s="601"/>
      <c r="AC623" s="601"/>
      <c r="AD623" s="601"/>
      <c r="AE623" s="601"/>
      <c r="AF623" s="601"/>
      <c r="AG623" s="601"/>
      <c r="AH623" s="601"/>
      <c r="AI623" s="532"/>
      <c r="AJ623" s="532"/>
      <c r="AK623" s="532"/>
      <c r="AL623" s="532"/>
      <c r="AM623" s="532"/>
      <c r="AN623" s="532"/>
      <c r="AO623" s="532"/>
      <c r="AP623" s="532"/>
      <c r="AQ623" s="532"/>
    </row>
    <row r="628" spans="1:43" ht="13.15" customHeight="1" x14ac:dyDescent="0.2">
      <c r="C628" s="215"/>
      <c r="D628" s="215"/>
      <c r="E628" s="216"/>
      <c r="F628" s="216"/>
      <c r="G628" s="215"/>
      <c r="H628" s="215"/>
      <c r="I628" s="215"/>
      <c r="J628" s="215"/>
      <c r="K628" s="215"/>
      <c r="L628" s="215"/>
      <c r="M628" s="215"/>
      <c r="N628" s="215"/>
      <c r="O628" s="215"/>
      <c r="P628" s="215"/>
      <c r="Q628" s="215"/>
    </row>
    <row r="634" spans="1:43" ht="13.15" customHeight="1" x14ac:dyDescent="0.2">
      <c r="C634" s="215"/>
      <c r="D634" s="215"/>
      <c r="E634" s="216"/>
      <c r="F634" s="216"/>
      <c r="G634" s="215"/>
      <c r="H634" s="215"/>
      <c r="I634" s="215"/>
      <c r="J634" s="215"/>
      <c r="K634" s="215"/>
      <c r="L634" s="215"/>
      <c r="M634" s="215"/>
      <c r="N634" s="215"/>
      <c r="O634" s="215"/>
      <c r="P634" s="215"/>
      <c r="Q634" s="215"/>
    </row>
    <row r="636" spans="1:43" s="215" customFormat="1" ht="13.15" customHeight="1" x14ac:dyDescent="0.2">
      <c r="A636" s="532"/>
      <c r="C636" s="214"/>
      <c r="D636" s="214"/>
      <c r="E636" s="217"/>
      <c r="F636" s="217"/>
      <c r="G636" s="214"/>
      <c r="H636" s="217"/>
      <c r="I636" s="217"/>
      <c r="J636" s="217"/>
      <c r="K636" s="217"/>
      <c r="L636" s="217"/>
      <c r="M636" s="217"/>
      <c r="N636" s="217"/>
      <c r="O636" s="217"/>
      <c r="P636" s="214"/>
      <c r="Q636" s="214"/>
      <c r="R636" s="532"/>
      <c r="S636" s="601"/>
      <c r="T636" s="601"/>
      <c r="U636" s="601"/>
      <c r="V636" s="601"/>
      <c r="W636" s="601"/>
      <c r="X636" s="601"/>
      <c r="Y636" s="601"/>
      <c r="Z636" s="601"/>
      <c r="AA636" s="601"/>
      <c r="AB636" s="601"/>
      <c r="AC636" s="601"/>
      <c r="AD636" s="601"/>
      <c r="AE636" s="601"/>
      <c r="AF636" s="601"/>
      <c r="AG636" s="601"/>
      <c r="AH636" s="601"/>
      <c r="AI636" s="532"/>
      <c r="AJ636" s="532"/>
      <c r="AK636" s="532"/>
      <c r="AL636" s="532"/>
      <c r="AM636" s="532"/>
      <c r="AN636" s="532"/>
      <c r="AO636" s="532"/>
      <c r="AP636" s="532"/>
      <c r="AQ636" s="532"/>
    </row>
    <row r="640" spans="1:43" ht="13.15" customHeight="1" x14ac:dyDescent="0.2">
      <c r="C640" s="215"/>
      <c r="D640" s="215"/>
      <c r="E640" s="216"/>
      <c r="F640" s="216"/>
      <c r="G640" s="215"/>
      <c r="H640" s="215"/>
      <c r="I640" s="215"/>
      <c r="J640" s="215"/>
      <c r="K640" s="215"/>
      <c r="L640" s="215"/>
      <c r="M640" s="215"/>
      <c r="N640" s="215"/>
      <c r="O640" s="215"/>
      <c r="P640" s="215"/>
      <c r="Q640" s="215"/>
    </row>
    <row r="642" spans="1:43" s="215" customFormat="1" ht="13.15" customHeight="1" x14ac:dyDescent="0.2">
      <c r="A642" s="532"/>
      <c r="C642" s="214"/>
      <c r="D642" s="214"/>
      <c r="E642" s="217"/>
      <c r="F642" s="217"/>
      <c r="G642" s="214"/>
      <c r="H642" s="217"/>
      <c r="I642" s="217"/>
      <c r="J642" s="217"/>
      <c r="K642" s="217"/>
      <c r="L642" s="217"/>
      <c r="M642" s="217"/>
      <c r="N642" s="217"/>
      <c r="O642" s="217"/>
      <c r="P642" s="214"/>
      <c r="Q642" s="214"/>
      <c r="R642" s="532"/>
      <c r="S642" s="601"/>
      <c r="T642" s="601"/>
      <c r="U642" s="601"/>
      <c r="V642" s="601"/>
      <c r="W642" s="601"/>
      <c r="X642" s="601"/>
      <c r="Y642" s="601"/>
      <c r="Z642" s="601"/>
      <c r="AA642" s="601"/>
      <c r="AB642" s="601"/>
      <c r="AC642" s="601"/>
      <c r="AD642" s="601"/>
      <c r="AE642" s="601"/>
      <c r="AF642" s="601"/>
      <c r="AG642" s="601"/>
      <c r="AH642" s="601"/>
      <c r="AI642" s="532"/>
      <c r="AJ642" s="532"/>
      <c r="AK642" s="532"/>
      <c r="AL642" s="532"/>
      <c r="AM642" s="532"/>
      <c r="AN642" s="532"/>
      <c r="AO642" s="532"/>
      <c r="AP642" s="532"/>
      <c r="AQ642" s="532"/>
    </row>
    <row r="646" spans="1:43" ht="13.15" customHeight="1" x14ac:dyDescent="0.2">
      <c r="C646" s="215"/>
      <c r="D646" s="215"/>
      <c r="E646" s="216"/>
      <c r="F646" s="216"/>
      <c r="G646" s="215"/>
      <c r="H646" s="215"/>
      <c r="I646" s="215"/>
      <c r="J646" s="215"/>
      <c r="K646" s="215"/>
      <c r="L646" s="215"/>
      <c r="M646" s="215"/>
      <c r="N646" s="215"/>
      <c r="O646" s="215"/>
      <c r="P646" s="215"/>
      <c r="Q646" s="215"/>
    </row>
    <row r="648" spans="1:43" s="215" customFormat="1" ht="13.15" customHeight="1" x14ac:dyDescent="0.2">
      <c r="A648" s="532"/>
      <c r="C648" s="214"/>
      <c r="D648" s="214"/>
      <c r="E648" s="217"/>
      <c r="F648" s="217"/>
      <c r="G648" s="214"/>
      <c r="H648" s="217"/>
      <c r="I648" s="217"/>
      <c r="J648" s="217"/>
      <c r="K648" s="217"/>
      <c r="L648" s="217"/>
      <c r="M648" s="217"/>
      <c r="N648" s="217"/>
      <c r="O648" s="217"/>
      <c r="P648" s="214"/>
      <c r="Q648" s="214"/>
      <c r="R648" s="532"/>
      <c r="S648" s="601"/>
      <c r="T648" s="601"/>
      <c r="U648" s="601"/>
      <c r="V648" s="601"/>
      <c r="W648" s="601"/>
      <c r="X648" s="601"/>
      <c r="Y648" s="601"/>
      <c r="Z648" s="601"/>
      <c r="AA648" s="601"/>
      <c r="AB648" s="601"/>
      <c r="AC648" s="601"/>
      <c r="AD648" s="601"/>
      <c r="AE648" s="601"/>
      <c r="AF648" s="601"/>
      <c r="AG648" s="601"/>
      <c r="AH648" s="601"/>
      <c r="AI648" s="532"/>
      <c r="AJ648" s="532"/>
      <c r="AK648" s="532"/>
      <c r="AL648" s="532"/>
      <c r="AM648" s="532"/>
      <c r="AN648" s="532"/>
      <c r="AO648" s="532"/>
      <c r="AP648" s="532"/>
      <c r="AQ648" s="532"/>
    </row>
    <row r="652" spans="1:43" ht="13.15" customHeight="1" x14ac:dyDescent="0.2">
      <c r="C652" s="215"/>
      <c r="D652" s="215"/>
      <c r="E652" s="216"/>
      <c r="F652" s="216"/>
      <c r="G652" s="215"/>
      <c r="H652" s="215"/>
      <c r="I652" s="215"/>
      <c r="J652" s="215"/>
      <c r="K652" s="215"/>
      <c r="L652" s="215"/>
      <c r="M652" s="215"/>
      <c r="N652" s="215"/>
      <c r="O652" s="215"/>
      <c r="P652" s="215"/>
      <c r="Q652" s="215"/>
    </row>
    <row r="654" spans="1:43" s="215" customFormat="1" ht="13.15" customHeight="1" x14ac:dyDescent="0.2">
      <c r="A654" s="532"/>
      <c r="C654" s="214"/>
      <c r="D654" s="214"/>
      <c r="E654" s="217"/>
      <c r="F654" s="217"/>
      <c r="G654" s="214"/>
      <c r="H654" s="217"/>
      <c r="I654" s="217"/>
      <c r="J654" s="217"/>
      <c r="K654" s="217"/>
      <c r="L654" s="217"/>
      <c r="M654" s="217"/>
      <c r="N654" s="217"/>
      <c r="O654" s="217"/>
      <c r="P654" s="214"/>
      <c r="Q654" s="214"/>
      <c r="R654" s="532"/>
      <c r="S654" s="601"/>
      <c r="T654" s="601"/>
      <c r="U654" s="601"/>
      <c r="V654" s="601"/>
      <c r="W654" s="601"/>
      <c r="X654" s="601"/>
      <c r="Y654" s="601"/>
      <c r="Z654" s="601"/>
      <c r="AA654" s="601"/>
      <c r="AB654" s="601"/>
      <c r="AC654" s="601"/>
      <c r="AD654" s="601"/>
      <c r="AE654" s="601"/>
      <c r="AF654" s="601"/>
      <c r="AG654" s="601"/>
      <c r="AH654" s="601"/>
      <c r="AI654" s="532"/>
      <c r="AJ654" s="532"/>
      <c r="AK654" s="532"/>
      <c r="AL654" s="532"/>
      <c r="AM654" s="532"/>
      <c r="AN654" s="532"/>
      <c r="AO654" s="532"/>
      <c r="AP654" s="532"/>
      <c r="AQ654" s="532"/>
    </row>
    <row r="658" spans="1:43" ht="13.15" customHeight="1" x14ac:dyDescent="0.2">
      <c r="C658" s="215"/>
      <c r="D658" s="215"/>
      <c r="E658" s="216"/>
      <c r="F658" s="216"/>
      <c r="G658" s="215"/>
      <c r="H658" s="215"/>
      <c r="I658" s="215"/>
      <c r="J658" s="215"/>
      <c r="K658" s="215"/>
      <c r="L658" s="215"/>
      <c r="M658" s="215"/>
      <c r="N658" s="215"/>
      <c r="O658" s="215"/>
      <c r="P658" s="215"/>
      <c r="Q658" s="215"/>
    </row>
    <row r="660" spans="1:43" s="215" customFormat="1" ht="13.15" customHeight="1" x14ac:dyDescent="0.2">
      <c r="A660" s="532"/>
      <c r="C660" s="214"/>
      <c r="D660" s="214"/>
      <c r="E660" s="217"/>
      <c r="F660" s="217"/>
      <c r="G660" s="214"/>
      <c r="H660" s="217"/>
      <c r="I660" s="217"/>
      <c r="J660" s="217"/>
      <c r="K660" s="217"/>
      <c r="L660" s="217"/>
      <c r="M660" s="217"/>
      <c r="N660" s="217"/>
      <c r="O660" s="217"/>
      <c r="P660" s="214"/>
      <c r="Q660" s="214"/>
      <c r="R660" s="532"/>
      <c r="S660" s="601"/>
      <c r="T660" s="601"/>
      <c r="U660" s="601"/>
      <c r="V660" s="601"/>
      <c r="W660" s="601"/>
      <c r="X660" s="601"/>
      <c r="Y660" s="601"/>
      <c r="Z660" s="601"/>
      <c r="AA660" s="601"/>
      <c r="AB660" s="601"/>
      <c r="AC660" s="601"/>
      <c r="AD660" s="601"/>
      <c r="AE660" s="601"/>
      <c r="AF660" s="601"/>
      <c r="AG660" s="601"/>
      <c r="AH660" s="601"/>
      <c r="AI660" s="532"/>
      <c r="AJ660" s="532"/>
      <c r="AK660" s="532"/>
      <c r="AL660" s="532"/>
      <c r="AM660" s="532"/>
      <c r="AN660" s="532"/>
      <c r="AO660" s="532"/>
      <c r="AP660" s="532"/>
      <c r="AQ660" s="532"/>
    </row>
    <row r="666" spans="1:43" s="215" customFormat="1" ht="13.15" customHeight="1" x14ac:dyDescent="0.2">
      <c r="A666" s="532"/>
      <c r="C666" s="214"/>
      <c r="D666" s="214"/>
      <c r="E666" s="217"/>
      <c r="F666" s="217"/>
      <c r="G666" s="214"/>
      <c r="H666" s="217"/>
      <c r="I666" s="217"/>
      <c r="J666" s="217"/>
      <c r="K666" s="217"/>
      <c r="L666" s="217"/>
      <c r="M666" s="217"/>
      <c r="N666" s="217"/>
      <c r="O666" s="217"/>
      <c r="P666" s="214"/>
      <c r="Q666" s="214"/>
      <c r="R666" s="532"/>
      <c r="S666" s="601"/>
      <c r="T666" s="601"/>
      <c r="U666" s="601"/>
      <c r="V666" s="601"/>
      <c r="W666" s="601"/>
      <c r="X666" s="601"/>
      <c r="Y666" s="601"/>
      <c r="Z666" s="601"/>
      <c r="AA666" s="601"/>
      <c r="AB666" s="601"/>
      <c r="AC666" s="601"/>
      <c r="AD666" s="601"/>
      <c r="AE666" s="601"/>
      <c r="AF666" s="601"/>
      <c r="AG666" s="601"/>
      <c r="AH666" s="601"/>
      <c r="AI666" s="532"/>
      <c r="AJ666" s="532"/>
      <c r="AK666" s="532"/>
      <c r="AL666" s="532"/>
      <c r="AM666" s="532"/>
      <c r="AN666" s="532"/>
      <c r="AO666" s="532"/>
      <c r="AP666" s="532"/>
      <c r="AQ666" s="532"/>
    </row>
  </sheetData>
  <sheetProtection algorithmName="SHA-512" hashValue="HjoySkCG5v9N82HYm+sxVji/AdBIJEmxX+kpnj2OuUZm78YXwgl7taCpR1J1yg5EBJgyMVSJX/Np4X1u9CEmnw==" saltValue="dcwnljN04DwkXACTlwV2ZQ==" spinCount="100000" sheet="1" objects="1" scenarios="1"/>
  <phoneticPr fontId="0" type="noConversion"/>
  <pageMargins left="0.74803149606299213" right="0.74803149606299213" top="0.98425196850393704" bottom="0.98425196850393704" header="0.51181102362204722" footer="0.51181102362204722"/>
  <pageSetup paperSize="9" scale="41" orientation="portrait" r:id="rId1"/>
  <headerFooter alignWithMargins="0">
    <oddHeader>&amp;L&amp;"Arial,Vet"&amp;9&amp;F&amp;R&amp;"Arial,Vet"&amp;9&amp;A</oddHeader>
    <oddFooter>&amp;L&amp;"Arial,Vet"&amp;9keizer / goedhart&amp;C&amp;"Arial,Vet"&amp;9pagina &amp;P&amp;R&amp;"Arial,Vet"&amp;9&amp;D</oddFooter>
  </headerFooter>
  <rowBreaks count="7" manualBreakCount="7">
    <brk id="44" min="1" max="16" man="1"/>
    <brk id="173" min="1" max="15" man="1"/>
    <brk id="303" min="1" max="15" man="1"/>
    <brk id="426" min="1" max="15" man="1"/>
    <brk id="540" min="1" max="12" man="1"/>
    <brk id="547" min="1" max="13" man="1"/>
    <brk id="625" min="1" max="1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294"/>
  <sheetViews>
    <sheetView zoomScale="80" zoomScaleNormal="80" workbookViewId="0"/>
  </sheetViews>
  <sheetFormatPr defaultColWidth="9.140625" defaultRowHeight="13.15" customHeight="1" x14ac:dyDescent="0.2"/>
  <cols>
    <col min="1" max="1" width="3.7109375" style="523" customWidth="1"/>
    <col min="2" max="2" width="3.5703125" style="523" customWidth="1"/>
    <col min="3" max="3" width="3.7109375" style="523" customWidth="1"/>
    <col min="4" max="4" width="50.7109375" style="523" customWidth="1"/>
    <col min="5" max="5" width="2.7109375" style="523" customWidth="1"/>
    <col min="6" max="11" width="14.85546875" style="523" customWidth="1"/>
    <col min="12" max="13" width="3.28515625" style="523" customWidth="1"/>
    <col min="14" max="33" width="9.140625" style="523"/>
    <col min="34" max="16384" width="9.140625" style="196"/>
  </cols>
  <sheetData>
    <row r="1" spans="1:33" s="523" customFormat="1" ht="13.15" customHeight="1" x14ac:dyDescent="0.2"/>
    <row r="2" spans="1:33" ht="13.15" customHeight="1" x14ac:dyDescent="0.2">
      <c r="B2" s="23"/>
      <c r="C2" s="24"/>
      <c r="D2" s="24"/>
      <c r="E2" s="24"/>
      <c r="F2" s="202"/>
      <c r="G2" s="202"/>
      <c r="H2" s="202"/>
      <c r="I2" s="443"/>
      <c r="J2" s="443"/>
      <c r="K2" s="24"/>
      <c r="L2" s="444"/>
      <c r="M2" s="85"/>
    </row>
    <row r="3" spans="1:33" ht="13.15" customHeight="1" x14ac:dyDescent="0.2">
      <c r="B3" s="26"/>
      <c r="C3" s="27"/>
      <c r="D3" s="28"/>
      <c r="E3" s="27"/>
      <c r="F3" s="29"/>
      <c r="G3" s="29"/>
      <c r="H3" s="29"/>
      <c r="I3" s="29"/>
      <c r="J3" s="29"/>
      <c r="K3" s="27"/>
      <c r="L3" s="27"/>
      <c r="M3" s="88"/>
    </row>
    <row r="4" spans="1:33" s="198" customFormat="1" ht="18" customHeight="1" x14ac:dyDescent="0.3">
      <c r="A4" s="655"/>
      <c r="B4" s="203"/>
      <c r="C4" s="204" t="s">
        <v>994</v>
      </c>
      <c r="D4" s="204"/>
      <c r="E4" s="204"/>
      <c r="F4" s="205"/>
      <c r="G4" s="205"/>
      <c r="H4" s="205"/>
      <c r="I4" s="205"/>
      <c r="J4" s="205"/>
      <c r="K4" s="204"/>
      <c r="L4" s="204"/>
      <c r="M4" s="333"/>
      <c r="N4" s="655"/>
      <c r="O4" s="655"/>
      <c r="P4" s="655"/>
      <c r="Q4" s="655"/>
      <c r="R4" s="655"/>
      <c r="S4" s="655"/>
      <c r="T4" s="655"/>
      <c r="U4" s="655"/>
      <c r="V4" s="655"/>
      <c r="W4" s="655"/>
      <c r="X4" s="655"/>
      <c r="Y4" s="655"/>
      <c r="Z4" s="655"/>
      <c r="AA4" s="655"/>
      <c r="AB4" s="655"/>
      <c r="AC4" s="655"/>
      <c r="AD4" s="655"/>
      <c r="AE4" s="655"/>
      <c r="AF4" s="655"/>
      <c r="AG4" s="655"/>
    </row>
    <row r="5" spans="1:33" s="743" customFormat="1" ht="16.899999999999999" customHeight="1" x14ac:dyDescent="0.25">
      <c r="A5" s="761"/>
      <c r="B5" s="258"/>
      <c r="C5" s="259" t="str">
        <f>'geg LO'!G8</f>
        <v>SWV PO Passend Onderwijs</v>
      </c>
      <c r="D5" s="111"/>
      <c r="E5" s="259"/>
      <c r="F5" s="742"/>
      <c r="G5" s="976"/>
      <c r="H5" s="984"/>
      <c r="I5" s="742"/>
      <c r="J5" s="742"/>
      <c r="K5" s="259"/>
      <c r="L5" s="259"/>
      <c r="M5" s="269"/>
      <c r="N5" s="761"/>
      <c r="O5" s="761"/>
      <c r="P5" s="761"/>
      <c r="Q5" s="761"/>
      <c r="R5" s="761"/>
      <c r="S5" s="761"/>
      <c r="T5" s="761"/>
      <c r="U5" s="761"/>
      <c r="V5" s="761"/>
      <c r="W5" s="761"/>
      <c r="X5" s="761"/>
      <c r="Y5" s="761"/>
      <c r="Z5" s="761"/>
      <c r="AA5" s="761"/>
      <c r="AB5" s="761"/>
      <c r="AC5" s="761"/>
      <c r="AD5" s="761"/>
      <c r="AE5" s="761"/>
      <c r="AF5" s="761"/>
      <c r="AG5" s="761"/>
    </row>
    <row r="6" spans="1:33" ht="13.15" customHeight="1" x14ac:dyDescent="0.25">
      <c r="B6" s="26"/>
      <c r="C6" s="977" t="s">
        <v>1013</v>
      </c>
      <c r="D6" s="28"/>
      <c r="E6" s="27"/>
      <c r="F6" s="29"/>
      <c r="G6" s="29"/>
      <c r="H6" s="29"/>
      <c r="I6" s="29"/>
      <c r="J6" s="29"/>
      <c r="K6" s="27"/>
      <c r="L6" s="27"/>
      <c r="M6" s="88"/>
    </row>
    <row r="7" spans="1:33" s="214" customFormat="1" ht="13.15" customHeight="1" x14ac:dyDescent="0.2">
      <c r="A7" s="601"/>
      <c r="B7" s="86"/>
      <c r="C7" s="87"/>
      <c r="D7" s="67"/>
      <c r="E7" s="87"/>
      <c r="F7" s="80"/>
      <c r="G7" s="80"/>
      <c r="H7" s="80"/>
      <c r="I7" s="80"/>
      <c r="J7" s="80"/>
      <c r="K7" s="87"/>
      <c r="L7" s="87"/>
      <c r="M7" s="517"/>
      <c r="N7" s="601"/>
      <c r="O7" s="601"/>
      <c r="P7" s="601"/>
      <c r="Q7" s="601"/>
      <c r="R7" s="601"/>
      <c r="S7" s="601"/>
      <c r="T7" s="601"/>
      <c r="U7" s="601"/>
      <c r="V7" s="601"/>
      <c r="W7" s="601"/>
      <c r="X7" s="601"/>
      <c r="Y7" s="601"/>
      <c r="Z7" s="601"/>
      <c r="AA7" s="601"/>
      <c r="AB7" s="601"/>
      <c r="AC7" s="601"/>
      <c r="AD7" s="601"/>
      <c r="AE7" s="601"/>
      <c r="AF7" s="601"/>
      <c r="AG7" s="601"/>
    </row>
    <row r="8" spans="1:33" s="214" customFormat="1" ht="13.15" customHeight="1" x14ac:dyDescent="0.2">
      <c r="A8" s="601"/>
      <c r="B8" s="86"/>
      <c r="C8" s="1000"/>
      <c r="D8" s="1075"/>
      <c r="E8" s="1000"/>
      <c r="F8" s="1076"/>
      <c r="G8" s="1076"/>
      <c r="H8" s="1076"/>
      <c r="I8" s="1076"/>
      <c r="J8" s="1076"/>
      <c r="K8" s="1000"/>
      <c r="L8" s="1000"/>
      <c r="M8" s="88"/>
      <c r="N8" s="601"/>
      <c r="O8" s="601"/>
      <c r="P8" s="601"/>
      <c r="Q8" s="601"/>
      <c r="R8" s="601"/>
      <c r="S8" s="601"/>
      <c r="T8" s="601"/>
      <c r="U8" s="601"/>
      <c r="V8" s="601"/>
      <c r="W8" s="601"/>
      <c r="X8" s="601"/>
      <c r="Y8" s="601"/>
      <c r="Z8" s="601"/>
      <c r="AA8" s="601"/>
      <c r="AB8" s="601"/>
      <c r="AC8" s="601"/>
      <c r="AD8" s="601"/>
      <c r="AE8" s="601"/>
      <c r="AF8" s="601"/>
      <c r="AG8" s="601"/>
    </row>
    <row r="9" spans="1:33" s="214" customFormat="1" ht="13.15" customHeight="1" x14ac:dyDescent="0.2">
      <c r="A9" s="601"/>
      <c r="B9" s="86"/>
      <c r="C9" s="1000"/>
      <c r="D9" s="1049" t="s">
        <v>407</v>
      </c>
      <c r="E9" s="1000"/>
      <c r="F9" s="1076"/>
      <c r="G9" s="1076"/>
      <c r="H9" s="1076"/>
      <c r="I9" s="1076"/>
      <c r="J9" s="1076"/>
      <c r="K9" s="1000"/>
      <c r="L9" s="1000"/>
      <c r="M9" s="88"/>
      <c r="N9" s="601"/>
      <c r="O9" s="601"/>
      <c r="P9" s="601"/>
      <c r="Q9" s="601"/>
      <c r="R9" s="601"/>
      <c r="S9" s="601"/>
      <c r="T9" s="601"/>
      <c r="U9" s="601"/>
      <c r="V9" s="601"/>
      <c r="W9" s="601"/>
      <c r="X9" s="601"/>
      <c r="Y9" s="601"/>
      <c r="Z9" s="601"/>
      <c r="AA9" s="601"/>
      <c r="AB9" s="601"/>
      <c r="AC9" s="601"/>
      <c r="AD9" s="601"/>
      <c r="AE9" s="601"/>
      <c r="AF9" s="601"/>
      <c r="AG9" s="601"/>
    </row>
    <row r="10" spans="1:33" s="214" customFormat="1" ht="13.15" customHeight="1" x14ac:dyDescent="0.2">
      <c r="A10" s="601"/>
      <c r="B10" s="86"/>
      <c r="C10" s="1120"/>
      <c r="D10" s="1000"/>
      <c r="E10" s="1000"/>
      <c r="F10" s="1076"/>
      <c r="G10" s="1076"/>
      <c r="H10" s="1076"/>
      <c r="I10" s="1076"/>
      <c r="J10" s="1076"/>
      <c r="K10" s="1000"/>
      <c r="L10" s="1000"/>
      <c r="M10" s="88"/>
      <c r="N10" s="601"/>
      <c r="O10" s="601"/>
      <c r="P10" s="601"/>
      <c r="Q10" s="601"/>
      <c r="R10" s="601"/>
      <c r="S10" s="601"/>
      <c r="T10" s="601"/>
      <c r="U10" s="601"/>
      <c r="V10" s="601"/>
      <c r="W10" s="601"/>
      <c r="X10" s="601"/>
      <c r="Y10" s="601"/>
      <c r="Z10" s="601"/>
      <c r="AA10" s="601"/>
      <c r="AB10" s="601"/>
      <c r="AC10" s="601"/>
      <c r="AD10" s="601"/>
      <c r="AE10" s="601"/>
      <c r="AF10" s="601"/>
      <c r="AG10" s="601"/>
    </row>
    <row r="11" spans="1:33" s="214" customFormat="1" ht="13.15" customHeight="1" x14ac:dyDescent="0.2">
      <c r="A11" s="601"/>
      <c r="B11" s="86"/>
      <c r="C11" s="1120"/>
      <c r="D11" s="1049" t="s">
        <v>230</v>
      </c>
      <c r="E11" s="1083"/>
      <c r="F11" s="1000"/>
      <c r="G11" s="1000"/>
      <c r="H11" s="1000"/>
      <c r="I11" s="1121"/>
      <c r="J11" s="1121"/>
      <c r="K11" s="1000"/>
      <c r="L11" s="1000"/>
      <c r="M11" s="88"/>
      <c r="N11" s="601"/>
      <c r="O11" s="601"/>
      <c r="P11" s="601"/>
      <c r="Q11" s="601"/>
      <c r="R11" s="601"/>
      <c r="S11" s="601"/>
      <c r="T11" s="601"/>
      <c r="U11" s="601"/>
      <c r="V11" s="601"/>
      <c r="W11" s="601"/>
      <c r="X11" s="601"/>
      <c r="Y11" s="601"/>
      <c r="Z11" s="601"/>
      <c r="AA11" s="601"/>
      <c r="AB11" s="601"/>
      <c r="AC11" s="601"/>
      <c r="AD11" s="601"/>
      <c r="AE11" s="601"/>
      <c r="AF11" s="601"/>
      <c r="AG11" s="601"/>
    </row>
    <row r="12" spans="1:33" s="214" customFormat="1" ht="12.6" customHeight="1" x14ac:dyDescent="0.2">
      <c r="A12" s="601"/>
      <c r="B12" s="86"/>
      <c r="C12" s="1120"/>
      <c r="D12" s="1122" t="s">
        <v>673</v>
      </c>
      <c r="E12" s="1083"/>
      <c r="F12" s="1078" t="s">
        <v>435</v>
      </c>
      <c r="G12" s="1078" t="s">
        <v>904</v>
      </c>
      <c r="H12" s="1078" t="s">
        <v>173</v>
      </c>
      <c r="I12" s="1123"/>
      <c r="J12" s="1123"/>
      <c r="K12" s="1000"/>
      <c r="L12" s="1000"/>
      <c r="M12" s="88"/>
      <c r="N12" s="601"/>
      <c r="O12" s="601"/>
      <c r="P12" s="601"/>
      <c r="Q12" s="601"/>
      <c r="R12" s="601"/>
      <c r="S12" s="601"/>
      <c r="T12" s="601"/>
      <c r="U12" s="601"/>
      <c r="V12" s="601"/>
      <c r="W12" s="601"/>
      <c r="X12" s="601"/>
      <c r="Y12" s="601"/>
      <c r="Z12" s="601"/>
      <c r="AA12" s="601"/>
      <c r="AB12" s="601"/>
      <c r="AC12" s="601"/>
      <c r="AD12" s="601"/>
      <c r="AE12" s="601"/>
      <c r="AF12" s="601"/>
      <c r="AG12" s="601"/>
    </row>
    <row r="13" spans="1:33" s="214" customFormat="1" ht="13.15" customHeight="1" x14ac:dyDescent="0.2">
      <c r="A13" s="601"/>
      <c r="B13" s="86"/>
      <c r="C13" s="1120"/>
      <c r="D13" s="1079" t="s">
        <v>93</v>
      </c>
      <c r="E13" s="1000"/>
      <c r="F13" s="1124">
        <v>0</v>
      </c>
      <c r="G13" s="1125">
        <f t="shared" ref="G13:G18" si="0">VLOOKUP(D13,rugzakpersbas,4,FALSE)</f>
        <v>6241.8492070000002</v>
      </c>
      <c r="H13" s="1125">
        <f>+F13*G13</f>
        <v>0</v>
      </c>
      <c r="I13" s="1126"/>
      <c r="J13" s="1126"/>
      <c r="K13" s="1000"/>
      <c r="L13" s="1000"/>
      <c r="M13" s="88"/>
      <c r="N13" s="601"/>
      <c r="O13" s="601"/>
      <c r="P13" s="601"/>
      <c r="Q13" s="601"/>
      <c r="R13" s="601"/>
      <c r="S13" s="601"/>
      <c r="T13" s="601"/>
      <c r="U13" s="601"/>
      <c r="V13" s="601"/>
      <c r="W13" s="601"/>
      <c r="X13" s="601"/>
      <c r="Y13" s="601"/>
      <c r="Z13" s="601"/>
      <c r="AA13" s="601"/>
      <c r="AB13" s="601"/>
      <c r="AC13" s="601"/>
      <c r="AD13" s="601"/>
      <c r="AE13" s="601"/>
      <c r="AF13" s="601"/>
      <c r="AG13" s="601"/>
    </row>
    <row r="14" spans="1:33" s="214" customFormat="1" ht="13.15" customHeight="1" x14ac:dyDescent="0.2">
      <c r="A14" s="601"/>
      <c r="B14" s="86"/>
      <c r="C14" s="1120"/>
      <c r="D14" s="1079" t="s">
        <v>94</v>
      </c>
      <c r="E14" s="1000"/>
      <c r="F14" s="1124">
        <v>0</v>
      </c>
      <c r="G14" s="1125">
        <f t="shared" si="0"/>
        <v>6241.8492070000002</v>
      </c>
      <c r="H14" s="1125">
        <f t="shared" ref="H14:H18" si="1">+F14*G14</f>
        <v>0</v>
      </c>
      <c r="I14" s="1126"/>
      <c r="J14" s="1126"/>
      <c r="K14" s="1000"/>
      <c r="L14" s="1000"/>
      <c r="M14" s="88"/>
      <c r="N14" s="601"/>
      <c r="O14" s="601"/>
      <c r="P14" s="601"/>
      <c r="Q14" s="601"/>
      <c r="R14" s="601"/>
      <c r="S14" s="601"/>
      <c r="T14" s="601"/>
      <c r="U14" s="601"/>
      <c r="V14" s="601"/>
      <c r="W14" s="601"/>
      <c r="X14" s="601"/>
      <c r="Y14" s="601"/>
      <c r="Z14" s="601"/>
      <c r="AA14" s="601"/>
      <c r="AB14" s="601"/>
      <c r="AC14" s="601"/>
      <c r="AD14" s="601"/>
      <c r="AE14" s="601"/>
      <c r="AF14" s="601"/>
      <c r="AG14" s="601"/>
    </row>
    <row r="15" spans="1:33" s="214" customFormat="1" ht="13.15" customHeight="1" x14ac:dyDescent="0.2">
      <c r="A15" s="601"/>
      <c r="B15" s="86"/>
      <c r="C15" s="1120"/>
      <c r="D15" s="1079" t="s">
        <v>95</v>
      </c>
      <c r="E15" s="1000"/>
      <c r="F15" s="1124">
        <v>0</v>
      </c>
      <c r="G15" s="1125">
        <f t="shared" si="0"/>
        <v>6241.8492070000002</v>
      </c>
      <c r="H15" s="1125">
        <f t="shared" si="1"/>
        <v>0</v>
      </c>
      <c r="I15" s="1126"/>
      <c r="J15" s="1126"/>
      <c r="K15" s="1000"/>
      <c r="L15" s="1000"/>
      <c r="M15" s="88"/>
      <c r="N15" s="601"/>
      <c r="O15" s="601"/>
      <c r="P15" s="601"/>
      <c r="Q15" s="601"/>
      <c r="R15" s="601"/>
      <c r="S15" s="601"/>
      <c r="T15" s="601"/>
      <c r="U15" s="601"/>
      <c r="V15" s="601"/>
      <c r="W15" s="601"/>
      <c r="X15" s="601"/>
      <c r="Y15" s="601"/>
      <c r="Z15" s="601"/>
      <c r="AA15" s="601"/>
      <c r="AB15" s="601"/>
      <c r="AC15" s="601"/>
      <c r="AD15" s="601"/>
      <c r="AE15" s="601"/>
      <c r="AF15" s="601"/>
      <c r="AG15" s="601"/>
    </row>
    <row r="16" spans="1:33" s="214" customFormat="1" ht="13.15" customHeight="1" x14ac:dyDescent="0.2">
      <c r="A16" s="601"/>
      <c r="B16" s="86"/>
      <c r="C16" s="1120" t="s">
        <v>724</v>
      </c>
      <c r="D16" s="1079" t="s">
        <v>694</v>
      </c>
      <c r="E16" s="1000"/>
      <c r="F16" s="1124">
        <v>0</v>
      </c>
      <c r="G16" s="1125">
        <f t="shared" si="0"/>
        <v>6571.2964789999996</v>
      </c>
      <c r="H16" s="1125">
        <f t="shared" si="1"/>
        <v>0</v>
      </c>
      <c r="I16" s="1126"/>
      <c r="J16" s="1126"/>
      <c r="K16" s="1000"/>
      <c r="L16" s="1000"/>
      <c r="M16" s="88"/>
      <c r="N16" s="601"/>
      <c r="O16" s="601"/>
      <c r="P16" s="601"/>
      <c r="Q16" s="601"/>
      <c r="R16" s="601"/>
      <c r="S16" s="601"/>
      <c r="T16" s="601"/>
      <c r="U16" s="601"/>
      <c r="V16" s="601"/>
      <c r="W16" s="601"/>
      <c r="X16" s="601"/>
      <c r="Y16" s="601"/>
      <c r="Z16" s="601"/>
      <c r="AA16" s="601"/>
      <c r="AB16" s="601"/>
      <c r="AC16" s="601"/>
      <c r="AD16" s="601"/>
      <c r="AE16" s="601"/>
      <c r="AF16" s="601"/>
      <c r="AG16" s="601"/>
    </row>
    <row r="17" spans="1:33" s="214" customFormat="1" ht="13.15" customHeight="1" x14ac:dyDescent="0.2">
      <c r="A17" s="601"/>
      <c r="B17" s="86"/>
      <c r="C17" s="1120"/>
      <c r="D17" s="1079" t="s">
        <v>635</v>
      </c>
      <c r="E17" s="1000"/>
      <c r="F17" s="1124">
        <v>0</v>
      </c>
      <c r="G17" s="1125">
        <f t="shared" si="0"/>
        <v>6241.8492070000002</v>
      </c>
      <c r="H17" s="1125">
        <f t="shared" si="1"/>
        <v>0</v>
      </c>
      <c r="I17" s="1126"/>
      <c r="J17" s="1126"/>
      <c r="K17" s="1000"/>
      <c r="L17" s="1000"/>
      <c r="M17" s="88"/>
      <c r="N17" s="601"/>
      <c r="O17" s="601"/>
      <c r="P17" s="601"/>
      <c r="Q17" s="601"/>
      <c r="R17" s="601"/>
      <c r="S17" s="601"/>
      <c r="T17" s="601"/>
      <c r="U17" s="601"/>
      <c r="V17" s="601"/>
      <c r="W17" s="601"/>
      <c r="X17" s="601"/>
      <c r="Y17" s="601"/>
      <c r="Z17" s="601"/>
      <c r="AA17" s="601"/>
      <c r="AB17" s="601"/>
      <c r="AC17" s="601"/>
      <c r="AD17" s="601"/>
      <c r="AE17" s="601"/>
      <c r="AF17" s="601"/>
      <c r="AG17" s="601"/>
    </row>
    <row r="18" spans="1:33" s="214" customFormat="1" ht="13.15" customHeight="1" x14ac:dyDescent="0.2">
      <c r="A18" s="601"/>
      <c r="B18" s="86"/>
      <c r="C18" s="1120"/>
      <c r="D18" s="1079" t="s">
        <v>96</v>
      </c>
      <c r="E18" s="1000"/>
      <c r="F18" s="1124">
        <v>0</v>
      </c>
      <c r="G18" s="1125">
        <f t="shared" si="0"/>
        <v>12819.028673000001</v>
      </c>
      <c r="H18" s="1125">
        <f t="shared" si="1"/>
        <v>0</v>
      </c>
      <c r="I18" s="1126"/>
      <c r="J18" s="1126"/>
      <c r="K18" s="1000"/>
      <c r="L18" s="1000"/>
      <c r="M18" s="88"/>
      <c r="N18" s="601"/>
      <c r="O18" s="601"/>
      <c r="P18" s="601"/>
      <c r="Q18" s="601"/>
      <c r="R18" s="601"/>
      <c r="S18" s="601"/>
      <c r="T18" s="601"/>
      <c r="U18" s="601"/>
      <c r="V18" s="601"/>
      <c r="W18" s="601"/>
      <c r="X18" s="601"/>
      <c r="Y18" s="601"/>
      <c r="Z18" s="601"/>
      <c r="AA18" s="601"/>
      <c r="AB18" s="601"/>
      <c r="AC18" s="601"/>
      <c r="AD18" s="601"/>
      <c r="AE18" s="601"/>
      <c r="AF18" s="601"/>
      <c r="AG18" s="601"/>
    </row>
    <row r="19" spans="1:33" s="214" customFormat="1" ht="13.15" customHeight="1" x14ac:dyDescent="0.2">
      <c r="A19" s="601"/>
      <c r="B19" s="86"/>
      <c r="C19" s="1120"/>
      <c r="D19" s="1075" t="s">
        <v>629</v>
      </c>
      <c r="E19" s="1000"/>
      <c r="F19" s="1127">
        <f>SUM(F13:F18)-F16</f>
        <v>0</v>
      </c>
      <c r="G19" s="1128"/>
      <c r="H19" s="1129">
        <f>SUM(H13:H18)</f>
        <v>0</v>
      </c>
      <c r="I19" s="1130"/>
      <c r="J19" s="1130"/>
      <c r="K19" s="1000"/>
      <c r="L19" s="1000"/>
      <c r="M19" s="88"/>
      <c r="N19" s="601"/>
      <c r="O19" s="601"/>
      <c r="P19" s="601"/>
      <c r="Q19" s="601"/>
      <c r="R19" s="601"/>
      <c r="S19" s="601"/>
      <c r="T19" s="601"/>
      <c r="U19" s="601"/>
      <c r="V19" s="601"/>
      <c r="W19" s="601"/>
      <c r="X19" s="601"/>
      <c r="Y19" s="601"/>
      <c r="Z19" s="601"/>
      <c r="AA19" s="601"/>
      <c r="AB19" s="601"/>
      <c r="AC19" s="601"/>
      <c r="AD19" s="601"/>
      <c r="AE19" s="601"/>
      <c r="AF19" s="601"/>
      <c r="AG19" s="601"/>
    </row>
    <row r="20" spans="1:33" s="214" customFormat="1" ht="13.15" customHeight="1" x14ac:dyDescent="0.2">
      <c r="A20" s="601"/>
      <c r="B20" s="86"/>
      <c r="C20" s="1120"/>
      <c r="D20" s="540" t="s">
        <v>1012</v>
      </c>
      <c r="E20" s="1000"/>
      <c r="F20" s="1076"/>
      <c r="G20" s="1076"/>
      <c r="H20" s="1134">
        <f>H19*(1+F105)</f>
        <v>0</v>
      </c>
      <c r="I20" s="1131"/>
      <c r="J20" s="1131"/>
      <c r="K20" s="1000"/>
      <c r="L20" s="1000"/>
      <c r="M20" s="88"/>
      <c r="N20" s="601"/>
      <c r="O20" s="601"/>
      <c r="P20" s="601"/>
      <c r="Q20" s="601"/>
      <c r="R20" s="601"/>
      <c r="S20" s="601"/>
      <c r="T20" s="601"/>
      <c r="U20" s="601"/>
      <c r="V20" s="601"/>
      <c r="W20" s="601"/>
      <c r="X20" s="601"/>
      <c r="Y20" s="601"/>
      <c r="Z20" s="601"/>
      <c r="AA20" s="601"/>
      <c r="AB20" s="601"/>
      <c r="AC20" s="601"/>
      <c r="AD20" s="601"/>
      <c r="AE20" s="601"/>
      <c r="AF20" s="601"/>
      <c r="AG20" s="601"/>
    </row>
    <row r="21" spans="1:33" s="214" customFormat="1" ht="13.15" customHeight="1" x14ac:dyDescent="0.2">
      <c r="A21" s="601"/>
      <c r="B21" s="86"/>
      <c r="C21" s="1120"/>
      <c r="D21" s="1000"/>
      <c r="E21" s="1000"/>
      <c r="F21" s="1076"/>
      <c r="G21" s="1076"/>
      <c r="H21" s="1076"/>
      <c r="I21" s="1131"/>
      <c r="J21" s="1131"/>
      <c r="K21" s="1000"/>
      <c r="L21" s="1000"/>
      <c r="M21" s="517"/>
      <c r="N21" s="601"/>
      <c r="O21" s="601"/>
      <c r="P21" s="601"/>
      <c r="Q21" s="601"/>
      <c r="R21" s="601"/>
      <c r="S21" s="601"/>
      <c r="T21" s="601"/>
      <c r="U21" s="601"/>
      <c r="V21" s="601"/>
      <c r="W21" s="601"/>
      <c r="X21" s="601"/>
      <c r="Y21" s="601"/>
      <c r="Z21" s="601"/>
      <c r="AA21" s="601"/>
      <c r="AB21" s="601"/>
      <c r="AC21" s="601"/>
      <c r="AD21" s="601"/>
      <c r="AE21" s="601"/>
      <c r="AF21" s="601"/>
      <c r="AG21" s="601"/>
    </row>
    <row r="22" spans="1:33" s="214" customFormat="1" ht="13.15" customHeight="1" x14ac:dyDescent="0.2">
      <c r="A22" s="601"/>
      <c r="B22" s="86"/>
      <c r="C22" s="1120"/>
      <c r="D22" s="1049" t="s">
        <v>231</v>
      </c>
      <c r="E22" s="1083"/>
      <c r="F22" s="1000"/>
      <c r="G22" s="1000"/>
      <c r="H22" s="1000"/>
      <c r="I22" s="1121"/>
      <c r="J22" s="1121"/>
      <c r="K22" s="1000"/>
      <c r="L22" s="1000"/>
      <c r="M22" s="88"/>
      <c r="N22" s="601"/>
      <c r="O22" s="601"/>
      <c r="P22" s="601"/>
      <c r="Q22" s="601"/>
      <c r="R22" s="601"/>
      <c r="S22" s="601"/>
      <c r="T22" s="601"/>
      <c r="U22" s="601"/>
      <c r="V22" s="601"/>
      <c r="W22" s="601"/>
      <c r="X22" s="601"/>
      <c r="Y22" s="601"/>
      <c r="Z22" s="601"/>
      <c r="AA22" s="601"/>
      <c r="AB22" s="601"/>
      <c r="AC22" s="601"/>
      <c r="AD22" s="601"/>
      <c r="AE22" s="601"/>
      <c r="AF22" s="601"/>
      <c r="AG22" s="601"/>
    </row>
    <row r="23" spans="1:33" s="214" customFormat="1" ht="13.15" customHeight="1" x14ac:dyDescent="0.2">
      <c r="A23" s="601"/>
      <c r="B23" s="86"/>
      <c r="C23" s="1120"/>
      <c r="D23" s="1122" t="s">
        <v>673</v>
      </c>
      <c r="E23" s="1083"/>
      <c r="F23" s="1078" t="s">
        <v>435</v>
      </c>
      <c r="G23" s="1078" t="s">
        <v>904</v>
      </c>
      <c r="H23" s="1078" t="s">
        <v>173</v>
      </c>
      <c r="I23" s="1132"/>
      <c r="J23" s="1132"/>
      <c r="K23" s="1000"/>
      <c r="L23" s="1000"/>
      <c r="M23" s="88"/>
      <c r="N23" s="601"/>
      <c r="O23" s="601"/>
      <c r="P23" s="601"/>
      <c r="Q23" s="601"/>
      <c r="R23" s="601"/>
      <c r="S23" s="601"/>
      <c r="T23" s="601"/>
      <c r="U23" s="601"/>
      <c r="V23" s="601"/>
      <c r="W23" s="601"/>
      <c r="X23" s="601"/>
      <c r="Y23" s="601"/>
      <c r="Z23" s="601"/>
      <c r="AA23" s="601"/>
      <c r="AB23" s="601"/>
      <c r="AC23" s="601"/>
      <c r="AD23" s="601"/>
      <c r="AE23" s="601"/>
      <c r="AF23" s="601"/>
      <c r="AG23" s="601"/>
    </row>
    <row r="24" spans="1:33" s="214" customFormat="1" ht="13.15" customHeight="1" x14ac:dyDescent="0.2">
      <c r="A24" s="601"/>
      <c r="B24" s="86"/>
      <c r="C24" s="1120"/>
      <c r="D24" s="1079" t="s">
        <v>93</v>
      </c>
      <c r="E24" s="1000"/>
      <c r="F24" s="1109">
        <f t="shared" ref="F24:F29" si="2">+F13</f>
        <v>0</v>
      </c>
      <c r="G24" s="1125">
        <f t="shared" ref="G24:G29" si="3">VLOOKUP(D24,rugzakmatbas,4,FALSE)</f>
        <v>1025</v>
      </c>
      <c r="H24" s="1125">
        <f t="shared" ref="H24:H29" si="4">+F24*G24</f>
        <v>0</v>
      </c>
      <c r="I24" s="1133"/>
      <c r="J24" s="1133"/>
      <c r="K24" s="1000"/>
      <c r="L24" s="1000"/>
      <c r="M24" s="88"/>
      <c r="N24" s="601"/>
      <c r="O24" s="601"/>
      <c r="P24" s="601"/>
      <c r="Q24" s="601"/>
      <c r="R24" s="601"/>
      <c r="S24" s="601"/>
      <c r="T24" s="601"/>
      <c r="U24" s="601"/>
      <c r="V24" s="601"/>
      <c r="W24" s="601"/>
      <c r="X24" s="601"/>
      <c r="Y24" s="601"/>
      <c r="Z24" s="601"/>
      <c r="AA24" s="601"/>
      <c r="AB24" s="601"/>
      <c r="AC24" s="601"/>
      <c r="AD24" s="601"/>
      <c r="AE24" s="601"/>
      <c r="AF24" s="601"/>
      <c r="AG24" s="601"/>
    </row>
    <row r="25" spans="1:33" s="214" customFormat="1" ht="13.15" customHeight="1" x14ac:dyDescent="0.2">
      <c r="A25" s="601"/>
      <c r="B25" s="86"/>
      <c r="C25" s="1120"/>
      <c r="D25" s="1079" t="s">
        <v>94</v>
      </c>
      <c r="E25" s="1000"/>
      <c r="F25" s="1109">
        <f t="shared" si="2"/>
        <v>0</v>
      </c>
      <c r="G25" s="1125">
        <f t="shared" si="3"/>
        <v>1024</v>
      </c>
      <c r="H25" s="1125">
        <f t="shared" si="4"/>
        <v>0</v>
      </c>
      <c r="I25" s="1133"/>
      <c r="J25" s="1133"/>
      <c r="K25" s="1000"/>
      <c r="L25" s="1000"/>
      <c r="M25" s="88"/>
      <c r="N25" s="601"/>
      <c r="O25" s="601"/>
      <c r="P25" s="601"/>
      <c r="Q25" s="601"/>
      <c r="R25" s="601"/>
      <c r="S25" s="601"/>
      <c r="T25" s="601"/>
      <c r="U25" s="601"/>
      <c r="V25" s="601"/>
      <c r="W25" s="601"/>
      <c r="X25" s="601"/>
      <c r="Y25" s="601"/>
      <c r="Z25" s="601"/>
      <c r="AA25" s="601"/>
      <c r="AB25" s="601"/>
      <c r="AC25" s="601"/>
      <c r="AD25" s="601"/>
      <c r="AE25" s="601"/>
      <c r="AF25" s="601"/>
      <c r="AG25" s="601"/>
    </row>
    <row r="26" spans="1:33" s="214" customFormat="1" ht="13.15" customHeight="1" x14ac:dyDescent="0.2">
      <c r="A26" s="601"/>
      <c r="B26" s="86"/>
      <c r="C26" s="1120"/>
      <c r="D26" s="1079" t="s">
        <v>95</v>
      </c>
      <c r="E26" s="1000"/>
      <c r="F26" s="1109">
        <f t="shared" si="2"/>
        <v>0</v>
      </c>
      <c r="G26" s="1125">
        <f t="shared" si="3"/>
        <v>966</v>
      </c>
      <c r="H26" s="1125">
        <f t="shared" si="4"/>
        <v>0</v>
      </c>
      <c r="I26" s="1133"/>
      <c r="J26" s="1133"/>
      <c r="K26" s="1000"/>
      <c r="L26" s="1000"/>
      <c r="M26" s="88"/>
      <c r="N26" s="601"/>
      <c r="O26" s="601"/>
      <c r="P26" s="601"/>
      <c r="Q26" s="601"/>
      <c r="R26" s="601"/>
      <c r="S26" s="601"/>
      <c r="T26" s="601"/>
      <c r="U26" s="601"/>
      <c r="V26" s="601"/>
      <c r="W26" s="601"/>
      <c r="X26" s="601"/>
      <c r="Y26" s="601"/>
      <c r="Z26" s="601"/>
      <c r="AA26" s="601"/>
      <c r="AB26" s="601"/>
      <c r="AC26" s="601"/>
      <c r="AD26" s="601"/>
      <c r="AE26" s="601"/>
      <c r="AF26" s="601"/>
      <c r="AG26" s="601"/>
    </row>
    <row r="27" spans="1:33" s="214" customFormat="1" ht="13.15" customHeight="1" x14ac:dyDescent="0.2">
      <c r="A27" s="601"/>
      <c r="B27" s="86"/>
      <c r="C27" s="1120" t="s">
        <v>724</v>
      </c>
      <c r="D27" s="1079" t="s">
        <v>694</v>
      </c>
      <c r="E27" s="1000"/>
      <c r="F27" s="1109">
        <f t="shared" si="2"/>
        <v>0</v>
      </c>
      <c r="G27" s="1125">
        <f t="shared" si="3"/>
        <v>309</v>
      </c>
      <c r="H27" s="1125">
        <f t="shared" si="4"/>
        <v>0</v>
      </c>
      <c r="I27" s="1133"/>
      <c r="J27" s="1133"/>
      <c r="K27" s="1000"/>
      <c r="L27" s="1000"/>
      <c r="M27" s="88"/>
      <c r="N27" s="601"/>
      <c r="O27" s="601"/>
      <c r="P27" s="601"/>
      <c r="Q27" s="601"/>
      <c r="R27" s="601"/>
      <c r="S27" s="601"/>
      <c r="T27" s="601"/>
      <c r="U27" s="601"/>
      <c r="V27" s="601"/>
      <c r="W27" s="601"/>
      <c r="X27" s="601"/>
      <c r="Y27" s="601"/>
      <c r="Z27" s="601"/>
      <c r="AA27" s="601"/>
      <c r="AB27" s="601"/>
      <c r="AC27" s="601"/>
      <c r="AD27" s="601"/>
      <c r="AE27" s="601"/>
      <c r="AF27" s="601"/>
      <c r="AG27" s="601"/>
    </row>
    <row r="28" spans="1:33" s="214" customFormat="1" ht="13.15" customHeight="1" x14ac:dyDescent="0.2">
      <c r="A28" s="601"/>
      <c r="B28" s="86"/>
      <c r="C28" s="1120"/>
      <c r="D28" s="1079" t="s">
        <v>635</v>
      </c>
      <c r="E28" s="1000"/>
      <c r="F28" s="1109">
        <f t="shared" si="2"/>
        <v>0</v>
      </c>
      <c r="G28" s="1125">
        <f t="shared" si="3"/>
        <v>1024</v>
      </c>
      <c r="H28" s="1125">
        <f t="shared" si="4"/>
        <v>0</v>
      </c>
      <c r="I28" s="1133"/>
      <c r="J28" s="1133"/>
      <c r="K28" s="1000"/>
      <c r="L28" s="1000"/>
      <c r="M28" s="88"/>
      <c r="N28" s="601"/>
      <c r="O28" s="601"/>
      <c r="P28" s="601"/>
      <c r="Q28" s="601"/>
      <c r="R28" s="601"/>
      <c r="S28" s="601"/>
      <c r="T28" s="601"/>
      <c r="U28" s="601"/>
      <c r="V28" s="601"/>
      <c r="W28" s="601"/>
      <c r="X28" s="601"/>
      <c r="Y28" s="601"/>
      <c r="Z28" s="601"/>
      <c r="AA28" s="601"/>
      <c r="AB28" s="601"/>
      <c r="AC28" s="601"/>
      <c r="AD28" s="601"/>
      <c r="AE28" s="601"/>
      <c r="AF28" s="601"/>
      <c r="AG28" s="601"/>
    </row>
    <row r="29" spans="1:33" s="214" customFormat="1" ht="13.15" customHeight="1" x14ac:dyDescent="0.2">
      <c r="A29" s="601"/>
      <c r="B29" s="86"/>
      <c r="C29" s="1120"/>
      <c r="D29" s="1079" t="s">
        <v>96</v>
      </c>
      <c r="E29" s="1000"/>
      <c r="F29" s="1109">
        <f t="shared" si="2"/>
        <v>0</v>
      </c>
      <c r="G29" s="1125">
        <f t="shared" si="3"/>
        <v>1024</v>
      </c>
      <c r="H29" s="1125">
        <f t="shared" si="4"/>
        <v>0</v>
      </c>
      <c r="I29" s="1133"/>
      <c r="J29" s="1133"/>
      <c r="K29" s="1000"/>
      <c r="L29" s="1000"/>
      <c r="M29" s="88"/>
      <c r="N29" s="601"/>
      <c r="O29" s="601"/>
      <c r="P29" s="601"/>
      <c r="Q29" s="601"/>
      <c r="R29" s="601"/>
      <c r="S29" s="601"/>
      <c r="T29" s="601"/>
      <c r="U29" s="601"/>
      <c r="V29" s="601"/>
      <c r="W29" s="601"/>
      <c r="X29" s="601"/>
      <c r="Y29" s="601"/>
      <c r="Z29" s="601"/>
      <c r="AA29" s="601"/>
      <c r="AB29" s="601"/>
      <c r="AC29" s="601"/>
      <c r="AD29" s="601"/>
      <c r="AE29" s="601"/>
      <c r="AF29" s="601"/>
      <c r="AG29" s="601"/>
    </row>
    <row r="30" spans="1:33" s="214" customFormat="1" ht="13.15" customHeight="1" x14ac:dyDescent="0.2">
      <c r="A30" s="601"/>
      <c r="B30" s="86"/>
      <c r="C30" s="1120"/>
      <c r="D30" s="1088" t="s">
        <v>692</v>
      </c>
      <c r="E30" s="1000"/>
      <c r="F30" s="1127">
        <f>SUM(F24:F29)-F27</f>
        <v>0</v>
      </c>
      <c r="G30" s="1079"/>
      <c r="H30" s="1134">
        <f>SUM(H24:H29)</f>
        <v>0</v>
      </c>
      <c r="I30" s="1135"/>
      <c r="J30" s="1135"/>
      <c r="K30" s="1000"/>
      <c r="L30" s="1000"/>
      <c r="M30" s="88"/>
      <c r="N30" s="601"/>
      <c r="O30" s="601"/>
      <c r="P30" s="601"/>
      <c r="Q30" s="601"/>
      <c r="R30" s="601"/>
      <c r="S30" s="601"/>
      <c r="T30" s="601"/>
      <c r="U30" s="601"/>
      <c r="V30" s="601"/>
      <c r="W30" s="601"/>
      <c r="X30" s="601"/>
      <c r="Y30" s="601"/>
      <c r="Z30" s="601"/>
      <c r="AA30" s="601"/>
      <c r="AB30" s="601"/>
      <c r="AC30" s="601"/>
      <c r="AD30" s="601"/>
      <c r="AE30" s="601"/>
      <c r="AF30" s="601"/>
      <c r="AG30" s="601"/>
    </row>
    <row r="31" spans="1:33" s="215" customFormat="1" ht="13.15" customHeight="1" x14ac:dyDescent="0.2">
      <c r="A31" s="532"/>
      <c r="B31" s="86"/>
      <c r="C31" s="497"/>
      <c r="D31" s="476"/>
      <c r="E31" s="476"/>
      <c r="F31" s="614"/>
      <c r="G31" s="614"/>
      <c r="H31" s="614"/>
      <c r="I31" s="614"/>
      <c r="J31" s="614"/>
      <c r="K31" s="476"/>
      <c r="L31" s="476"/>
      <c r="M31" s="517"/>
      <c r="N31" s="532"/>
      <c r="O31" s="532"/>
      <c r="P31" s="532"/>
      <c r="Q31" s="532"/>
      <c r="R31" s="532"/>
      <c r="S31" s="532"/>
      <c r="T31" s="532"/>
      <c r="U31" s="532"/>
      <c r="V31" s="532"/>
      <c r="W31" s="532"/>
      <c r="X31" s="532"/>
      <c r="Y31" s="532"/>
      <c r="Z31" s="532"/>
      <c r="AA31" s="532"/>
      <c r="AB31" s="532"/>
      <c r="AC31" s="532"/>
      <c r="AD31" s="532"/>
      <c r="AE31" s="532"/>
      <c r="AF31" s="532"/>
      <c r="AG31" s="532"/>
    </row>
    <row r="32" spans="1:33" s="214" customFormat="1" ht="13.15" customHeight="1" x14ac:dyDescent="0.2">
      <c r="A32" s="601"/>
      <c r="B32" s="86"/>
      <c r="C32" s="87"/>
      <c r="D32" s="87"/>
      <c r="E32" s="87"/>
      <c r="F32" s="80"/>
      <c r="G32" s="80"/>
      <c r="H32" s="80"/>
      <c r="I32" s="80"/>
      <c r="J32" s="80"/>
      <c r="K32" s="87"/>
      <c r="L32" s="87"/>
      <c r="M32" s="88"/>
      <c r="N32" s="601"/>
      <c r="O32" s="601"/>
      <c r="P32" s="601"/>
      <c r="Q32" s="601"/>
      <c r="R32" s="601"/>
      <c r="S32" s="601"/>
      <c r="T32" s="601"/>
      <c r="U32" s="601"/>
      <c r="V32" s="601"/>
      <c r="W32" s="601"/>
      <c r="X32" s="601"/>
      <c r="Y32" s="601"/>
      <c r="Z32" s="601"/>
      <c r="AA32" s="601"/>
      <c r="AB32" s="601"/>
      <c r="AC32" s="601"/>
      <c r="AD32" s="601"/>
      <c r="AE32" s="601"/>
      <c r="AF32" s="601"/>
      <c r="AG32" s="601"/>
    </row>
    <row r="33" spans="1:33" s="214" customFormat="1" ht="13.15" customHeight="1" x14ac:dyDescent="0.2">
      <c r="A33" s="601"/>
      <c r="B33" s="86"/>
      <c r="C33" s="1000"/>
      <c r="D33" s="1049"/>
      <c r="E33" s="1000"/>
      <c r="F33" s="1076"/>
      <c r="G33" s="1076"/>
      <c r="H33" s="1076"/>
      <c r="I33" s="1076"/>
      <c r="J33" s="1076"/>
      <c r="K33" s="1000"/>
      <c r="L33" s="1000"/>
      <c r="M33" s="517"/>
      <c r="N33" s="601"/>
      <c r="O33" s="601"/>
      <c r="P33" s="601"/>
      <c r="Q33" s="601"/>
      <c r="R33" s="601"/>
      <c r="S33" s="601"/>
      <c r="T33" s="601"/>
      <c r="U33" s="601"/>
      <c r="V33" s="601"/>
      <c r="W33" s="601"/>
      <c r="X33" s="601"/>
      <c r="Y33" s="601"/>
      <c r="Z33" s="601"/>
      <c r="AA33" s="601"/>
      <c r="AB33" s="601"/>
      <c r="AC33" s="601"/>
      <c r="AD33" s="601"/>
      <c r="AE33" s="601"/>
      <c r="AF33" s="601"/>
      <c r="AG33" s="601"/>
    </row>
    <row r="34" spans="1:33" s="214" customFormat="1" ht="13.15" customHeight="1" x14ac:dyDescent="0.2">
      <c r="A34" s="601"/>
      <c r="B34" s="86"/>
      <c r="C34" s="1000"/>
      <c r="D34" s="1049" t="s">
        <v>408</v>
      </c>
      <c r="E34" s="1000"/>
      <c r="F34" s="1076"/>
      <c r="G34" s="1076"/>
      <c r="H34" s="1076"/>
      <c r="I34" s="1076"/>
      <c r="J34" s="1076"/>
      <c r="K34" s="1000"/>
      <c r="L34" s="1000"/>
      <c r="M34" s="517"/>
      <c r="N34" s="601"/>
      <c r="O34" s="601"/>
      <c r="P34" s="601"/>
      <c r="Q34" s="601"/>
      <c r="R34" s="601"/>
      <c r="S34" s="601"/>
      <c r="T34" s="601"/>
      <c r="U34" s="601"/>
      <c r="V34" s="601"/>
      <c r="W34" s="601"/>
      <c r="X34" s="601"/>
      <c r="Y34" s="601"/>
      <c r="Z34" s="601"/>
      <c r="AA34" s="601"/>
      <c r="AB34" s="601"/>
      <c r="AC34" s="601"/>
      <c r="AD34" s="601"/>
      <c r="AE34" s="601"/>
      <c r="AF34" s="601"/>
      <c r="AG34" s="601"/>
    </row>
    <row r="35" spans="1:33" s="214" customFormat="1" ht="13.15" customHeight="1" x14ac:dyDescent="0.2">
      <c r="A35" s="601"/>
      <c r="B35" s="86"/>
      <c r="C35" s="1000"/>
      <c r="D35" s="1000"/>
      <c r="E35" s="1000"/>
      <c r="F35" s="1076"/>
      <c r="G35" s="1076"/>
      <c r="H35" s="1076"/>
      <c r="I35" s="1076"/>
      <c r="J35" s="1076"/>
      <c r="K35" s="1000"/>
      <c r="L35" s="1000"/>
      <c r="M35" s="517"/>
      <c r="N35" s="601"/>
      <c r="O35" s="601"/>
      <c r="P35" s="601"/>
      <c r="Q35" s="601"/>
      <c r="R35" s="601"/>
      <c r="S35" s="601"/>
      <c r="T35" s="601"/>
      <c r="U35" s="601"/>
      <c r="V35" s="601"/>
      <c r="W35" s="601"/>
      <c r="X35" s="601"/>
      <c r="Y35" s="601"/>
      <c r="Z35" s="601"/>
      <c r="AA35" s="601"/>
      <c r="AB35" s="601"/>
      <c r="AC35" s="601"/>
      <c r="AD35" s="601"/>
      <c r="AE35" s="601"/>
      <c r="AF35" s="601"/>
      <c r="AG35" s="601"/>
    </row>
    <row r="36" spans="1:33" s="214" customFormat="1" ht="13.15" customHeight="1" x14ac:dyDescent="0.2">
      <c r="A36" s="601"/>
      <c r="B36" s="86"/>
      <c r="C36" s="1000"/>
      <c r="D36" s="1049" t="s">
        <v>230</v>
      </c>
      <c r="E36" s="1083"/>
      <c r="F36" s="1000"/>
      <c r="G36" s="1000"/>
      <c r="H36" s="1000"/>
      <c r="I36" s="1121"/>
      <c r="J36" s="1121"/>
      <c r="K36" s="1000"/>
      <c r="L36" s="1000"/>
      <c r="M36" s="517"/>
      <c r="N36" s="601"/>
      <c r="O36" s="601"/>
      <c r="P36" s="601"/>
      <c r="Q36" s="601"/>
      <c r="R36" s="601"/>
      <c r="S36" s="601"/>
      <c r="T36" s="601"/>
      <c r="U36" s="601"/>
      <c r="V36" s="601"/>
      <c r="W36" s="601"/>
      <c r="X36" s="601"/>
      <c r="Y36" s="601"/>
      <c r="Z36" s="601"/>
      <c r="AA36" s="601"/>
      <c r="AB36" s="601"/>
      <c r="AC36" s="601"/>
      <c r="AD36" s="601"/>
      <c r="AE36" s="601"/>
      <c r="AF36" s="601"/>
      <c r="AG36" s="601"/>
    </row>
    <row r="37" spans="1:33" s="215" customFormat="1" ht="13.15" customHeight="1" x14ac:dyDescent="0.2">
      <c r="A37" s="532"/>
      <c r="B37" s="86"/>
      <c r="C37" s="1000"/>
      <c r="D37" s="1122" t="s">
        <v>673</v>
      </c>
      <c r="E37" s="1083"/>
      <c r="F37" s="1078" t="s">
        <v>435</v>
      </c>
      <c r="G37" s="1078" t="s">
        <v>904</v>
      </c>
      <c r="H37" s="1521" t="s">
        <v>173</v>
      </c>
      <c r="I37" s="1121"/>
      <c r="J37" s="1121"/>
      <c r="K37" s="1000"/>
      <c r="L37" s="1000"/>
      <c r="M37" s="517"/>
      <c r="N37" s="532"/>
      <c r="O37" s="532"/>
      <c r="P37" s="532"/>
      <c r="Q37" s="532"/>
      <c r="R37" s="532"/>
      <c r="S37" s="532"/>
      <c r="T37" s="532"/>
      <c r="U37" s="532"/>
      <c r="V37" s="532"/>
      <c r="W37" s="532"/>
      <c r="X37" s="532"/>
      <c r="Y37" s="532"/>
      <c r="Z37" s="532"/>
      <c r="AA37" s="532"/>
      <c r="AB37" s="532"/>
      <c r="AC37" s="532"/>
      <c r="AD37" s="532"/>
      <c r="AE37" s="532"/>
      <c r="AF37" s="532"/>
      <c r="AG37" s="532"/>
    </row>
    <row r="38" spans="1:33" s="214" customFormat="1" ht="13.15" customHeight="1" x14ac:dyDescent="0.2">
      <c r="A38" s="601"/>
      <c r="B38" s="86"/>
      <c r="C38" s="1000"/>
      <c r="D38" s="1079" t="s">
        <v>93</v>
      </c>
      <c r="E38" s="1000"/>
      <c r="F38" s="1514">
        <v>0</v>
      </c>
      <c r="G38" s="1515">
        <f>VLOOKUP(D38,rugzakperssbo,4,FALSE)</f>
        <v>2111.9923330000001</v>
      </c>
      <c r="H38" s="1125">
        <f>+F38*G38</f>
        <v>0</v>
      </c>
      <c r="I38" s="1527"/>
      <c r="J38" s="1133"/>
      <c r="K38" s="1000"/>
      <c r="L38" s="1000"/>
      <c r="M38" s="517"/>
      <c r="N38" s="601"/>
      <c r="O38" s="601"/>
      <c r="P38" s="601"/>
      <c r="Q38" s="601"/>
      <c r="R38" s="601"/>
      <c r="S38" s="601"/>
      <c r="T38" s="601"/>
      <c r="U38" s="601"/>
      <c r="V38" s="601"/>
      <c r="W38" s="601"/>
      <c r="X38" s="601"/>
      <c r="Y38" s="601"/>
      <c r="Z38" s="601"/>
      <c r="AA38" s="601"/>
      <c r="AB38" s="601"/>
      <c r="AC38" s="601"/>
      <c r="AD38" s="601"/>
      <c r="AE38" s="601"/>
      <c r="AF38" s="601"/>
      <c r="AG38" s="601"/>
    </row>
    <row r="39" spans="1:33" s="214" customFormat="1" ht="13.15" customHeight="1" x14ac:dyDescent="0.2">
      <c r="A39" s="601"/>
      <c r="B39" s="86"/>
      <c r="C39" s="1000"/>
      <c r="D39" s="1079" t="s">
        <v>94</v>
      </c>
      <c r="E39" s="1000"/>
      <c r="F39" s="1124">
        <v>0</v>
      </c>
      <c r="G39" s="1125">
        <f>VLOOKUP(D39,rugzakperssbo,4,FALSE)</f>
        <v>2111.9923330000001</v>
      </c>
      <c r="H39" s="1125">
        <f>+F39*G39</f>
        <v>0</v>
      </c>
      <c r="I39" s="1527"/>
      <c r="J39" s="1133"/>
      <c r="K39" s="1000"/>
      <c r="L39" s="1000"/>
      <c r="M39" s="517"/>
      <c r="N39" s="601"/>
      <c r="O39" s="601"/>
      <c r="P39" s="601"/>
      <c r="Q39" s="601"/>
      <c r="R39" s="601"/>
      <c r="S39" s="601"/>
      <c r="T39" s="601"/>
      <c r="U39" s="601"/>
      <c r="V39" s="601"/>
      <c r="W39" s="601"/>
      <c r="X39" s="601"/>
      <c r="Y39" s="601"/>
      <c r="Z39" s="601"/>
      <c r="AA39" s="601"/>
      <c r="AB39" s="601"/>
      <c r="AC39" s="601"/>
      <c r="AD39" s="601"/>
      <c r="AE39" s="601"/>
      <c r="AF39" s="601"/>
      <c r="AG39" s="601"/>
    </row>
    <row r="40" spans="1:33" s="214" customFormat="1" ht="13.15" customHeight="1" x14ac:dyDescent="0.2">
      <c r="A40" s="601"/>
      <c r="B40" s="86"/>
      <c r="C40" s="1000"/>
      <c r="D40" s="1079" t="s">
        <v>95</v>
      </c>
      <c r="E40" s="1000"/>
      <c r="F40" s="1124">
        <v>0</v>
      </c>
      <c r="G40" s="1125">
        <f>VLOOKUP(D40,rugzakperssbo,4,FALSE)</f>
        <v>2111.9923330000001</v>
      </c>
      <c r="H40" s="1125">
        <f>+F40*G40</f>
        <v>0</v>
      </c>
      <c r="I40" s="1527"/>
      <c r="J40" s="1133"/>
      <c r="K40" s="1000"/>
      <c r="L40" s="1000"/>
      <c r="M40" s="517"/>
      <c r="N40" s="601"/>
      <c r="O40" s="601"/>
      <c r="P40" s="601"/>
      <c r="Q40" s="601"/>
      <c r="R40" s="601"/>
      <c r="S40" s="601"/>
      <c r="T40" s="601"/>
      <c r="U40" s="601"/>
      <c r="V40" s="601"/>
      <c r="W40" s="601"/>
      <c r="X40" s="601"/>
      <c r="Y40" s="601"/>
      <c r="Z40" s="601"/>
      <c r="AA40" s="601"/>
      <c r="AB40" s="601"/>
      <c r="AC40" s="601"/>
      <c r="AD40" s="601"/>
      <c r="AE40" s="601"/>
      <c r="AF40" s="601"/>
      <c r="AG40" s="601"/>
    </row>
    <row r="41" spans="1:33" s="215" customFormat="1" ht="13.15" customHeight="1" x14ac:dyDescent="0.2">
      <c r="A41" s="532"/>
      <c r="B41" s="86"/>
      <c r="C41" s="1000"/>
      <c r="D41" s="1079" t="s">
        <v>635</v>
      </c>
      <c r="E41" s="1000"/>
      <c r="F41" s="1124">
        <v>0</v>
      </c>
      <c r="G41" s="1125">
        <f>VLOOKUP(D41,rugzakperssbo,4,FALSE)</f>
        <v>2111.9923330000001</v>
      </c>
      <c r="H41" s="1125">
        <f>+F41*G41</f>
        <v>0</v>
      </c>
      <c r="I41" s="1527"/>
      <c r="J41" s="1133"/>
      <c r="K41" s="1000"/>
      <c r="L41" s="1000"/>
      <c r="M41" s="517"/>
      <c r="N41" s="532"/>
      <c r="O41" s="532"/>
      <c r="P41" s="532"/>
      <c r="Q41" s="532"/>
      <c r="R41" s="532"/>
      <c r="S41" s="532"/>
      <c r="T41" s="532"/>
      <c r="U41" s="532"/>
      <c r="V41" s="532"/>
      <c r="W41" s="532"/>
      <c r="X41" s="532"/>
      <c r="Y41" s="532"/>
      <c r="Z41" s="532"/>
      <c r="AA41" s="532"/>
      <c r="AB41" s="532"/>
      <c r="AC41" s="532"/>
      <c r="AD41" s="532"/>
      <c r="AE41" s="532"/>
      <c r="AF41" s="532"/>
      <c r="AG41" s="532"/>
    </row>
    <row r="42" spans="1:33" s="214" customFormat="1" ht="13.15" customHeight="1" x14ac:dyDescent="0.2">
      <c r="A42" s="601"/>
      <c r="B42" s="86"/>
      <c r="C42" s="1000"/>
      <c r="D42" s="1079" t="s">
        <v>96</v>
      </c>
      <c r="E42" s="1000"/>
      <c r="F42" s="1533">
        <v>0</v>
      </c>
      <c r="G42" s="1516">
        <f>VLOOKUP(D42,rugzakperssbo,4,FALSE)</f>
        <v>8689.1717989999997</v>
      </c>
      <c r="H42" s="1125">
        <f>+F42*G42</f>
        <v>0</v>
      </c>
      <c r="I42" s="1527"/>
      <c r="J42" s="1133"/>
      <c r="K42" s="1000"/>
      <c r="L42" s="1000"/>
      <c r="M42" s="517"/>
      <c r="N42" s="601"/>
      <c r="O42" s="601"/>
      <c r="P42" s="601"/>
      <c r="Q42" s="601"/>
      <c r="R42" s="601"/>
      <c r="S42" s="601"/>
      <c r="T42" s="601"/>
      <c r="U42" s="601"/>
      <c r="V42" s="601"/>
      <c r="W42" s="601"/>
      <c r="X42" s="601"/>
      <c r="Y42" s="601"/>
      <c r="Z42" s="601"/>
      <c r="AA42" s="601"/>
      <c r="AB42" s="601"/>
      <c r="AC42" s="601"/>
      <c r="AD42" s="601"/>
      <c r="AE42" s="601"/>
      <c r="AF42" s="601"/>
      <c r="AG42" s="601"/>
    </row>
    <row r="43" spans="1:33" s="214" customFormat="1" ht="13.15" customHeight="1" x14ac:dyDescent="0.2">
      <c r="A43" s="601"/>
      <c r="B43" s="86"/>
      <c r="C43" s="1000"/>
      <c r="D43" s="1075" t="s">
        <v>629</v>
      </c>
      <c r="E43" s="1000"/>
      <c r="F43" s="1127">
        <f>SUM(F38:F42)</f>
        <v>0</v>
      </c>
      <c r="G43" s="1531"/>
      <c r="H43" s="1129">
        <f>SUM(H38:H42)</f>
        <v>0</v>
      </c>
      <c r="I43" s="1528"/>
      <c r="J43" s="1136"/>
      <c r="K43" s="1000"/>
      <c r="L43" s="1000"/>
      <c r="M43" s="517"/>
      <c r="N43" s="601"/>
      <c r="O43" s="601"/>
      <c r="P43" s="601"/>
      <c r="Q43" s="601"/>
      <c r="R43" s="601"/>
      <c r="S43" s="601"/>
      <c r="T43" s="601"/>
      <c r="U43" s="601"/>
      <c r="V43" s="601"/>
      <c r="W43" s="601"/>
      <c r="X43" s="601"/>
      <c r="Y43" s="601"/>
      <c r="Z43" s="601"/>
      <c r="AA43" s="601"/>
      <c r="AB43" s="601"/>
      <c r="AC43" s="601"/>
      <c r="AD43" s="601"/>
      <c r="AE43" s="601"/>
      <c r="AF43" s="601"/>
      <c r="AG43" s="601"/>
    </row>
    <row r="44" spans="1:33" s="214" customFormat="1" ht="13.15" customHeight="1" x14ac:dyDescent="0.2">
      <c r="A44" s="601"/>
      <c r="B44" s="86"/>
      <c r="C44" s="1000"/>
      <c r="D44" s="540" t="s">
        <v>1012</v>
      </c>
      <c r="E44" s="1000"/>
      <c r="F44" s="1102"/>
      <c r="G44" s="1076"/>
      <c r="H44" s="1134">
        <f>H43*(1+F105)</f>
        <v>0</v>
      </c>
      <c r="I44" s="1529"/>
      <c r="J44" s="1076"/>
      <c r="K44" s="1000"/>
      <c r="L44" s="1000"/>
      <c r="M44" s="517"/>
      <c r="N44" s="601"/>
      <c r="O44" s="601"/>
      <c r="P44" s="601"/>
      <c r="Q44" s="601"/>
      <c r="R44" s="601"/>
      <c r="S44" s="601"/>
      <c r="T44" s="601"/>
      <c r="U44" s="601"/>
      <c r="V44" s="601"/>
      <c r="W44" s="601"/>
      <c r="X44" s="601"/>
      <c r="Y44" s="601"/>
      <c r="Z44" s="601"/>
      <c r="AA44" s="601"/>
      <c r="AB44" s="601"/>
      <c r="AC44" s="601"/>
      <c r="AD44" s="601"/>
      <c r="AE44" s="601"/>
      <c r="AF44" s="601"/>
      <c r="AG44" s="601"/>
    </row>
    <row r="45" spans="1:33" s="214" customFormat="1" ht="13.15" customHeight="1" x14ac:dyDescent="0.2">
      <c r="A45" s="601"/>
      <c r="B45" s="86"/>
      <c r="C45" s="1000"/>
      <c r="D45" s="1000"/>
      <c r="E45" s="1000"/>
      <c r="F45" s="1076"/>
      <c r="G45" s="1076"/>
      <c r="H45" s="1102"/>
      <c r="I45" s="1076"/>
      <c r="J45" s="1076"/>
      <c r="K45" s="1000"/>
      <c r="L45" s="1000"/>
      <c r="M45" s="517"/>
      <c r="N45" s="601"/>
      <c r="O45" s="601"/>
      <c r="P45" s="601"/>
      <c r="Q45" s="601"/>
      <c r="R45" s="601"/>
      <c r="S45" s="601"/>
      <c r="T45" s="601"/>
      <c r="U45" s="601"/>
      <c r="V45" s="601"/>
      <c r="W45" s="601"/>
      <c r="X45" s="601"/>
      <c r="Y45" s="601"/>
      <c r="Z45" s="601"/>
      <c r="AA45" s="601"/>
      <c r="AB45" s="601"/>
      <c r="AC45" s="601"/>
      <c r="AD45" s="601"/>
      <c r="AE45" s="601"/>
      <c r="AF45" s="601"/>
      <c r="AG45" s="601"/>
    </row>
    <row r="46" spans="1:33" s="214" customFormat="1" ht="13.15" customHeight="1" x14ac:dyDescent="0.2">
      <c r="A46" s="601"/>
      <c r="B46" s="86"/>
      <c r="C46" s="1000"/>
      <c r="D46" s="1049" t="s">
        <v>231</v>
      </c>
      <c r="E46" s="1083"/>
      <c r="F46" s="1000"/>
      <c r="G46" s="1000"/>
      <c r="H46" s="1000"/>
      <c r="I46" s="1121"/>
      <c r="J46" s="1121"/>
      <c r="K46" s="1000"/>
      <c r="L46" s="1000"/>
      <c r="M46" s="517"/>
      <c r="N46" s="601"/>
      <c r="O46" s="601"/>
      <c r="P46" s="601"/>
      <c r="Q46" s="601"/>
      <c r="R46" s="601"/>
      <c r="S46" s="601"/>
      <c r="T46" s="601"/>
      <c r="U46" s="601"/>
      <c r="V46" s="601"/>
      <c r="W46" s="601"/>
      <c r="X46" s="601"/>
      <c r="Y46" s="601"/>
      <c r="Z46" s="601"/>
      <c r="AA46" s="601"/>
      <c r="AB46" s="601"/>
      <c r="AC46" s="601"/>
      <c r="AD46" s="601"/>
      <c r="AE46" s="601"/>
      <c r="AF46" s="601"/>
      <c r="AG46" s="601"/>
    </row>
    <row r="47" spans="1:33" s="214" customFormat="1" ht="13.15" customHeight="1" x14ac:dyDescent="0.2">
      <c r="A47" s="601"/>
      <c r="B47" s="86"/>
      <c r="C47" s="1000"/>
      <c r="D47" s="1122" t="s">
        <v>673</v>
      </c>
      <c r="E47" s="1083"/>
      <c r="F47" s="1078" t="s">
        <v>435</v>
      </c>
      <c r="G47" s="1078" t="s">
        <v>904</v>
      </c>
      <c r="H47" s="1521" t="s">
        <v>173</v>
      </c>
      <c r="I47" s="1132"/>
      <c r="J47" s="1132"/>
      <c r="K47" s="1000"/>
      <c r="L47" s="1000"/>
      <c r="M47" s="517"/>
      <c r="N47" s="601"/>
      <c r="O47" s="601"/>
      <c r="P47" s="601"/>
      <c r="Q47" s="601"/>
      <c r="R47" s="601"/>
      <c r="S47" s="601"/>
      <c r="T47" s="601"/>
      <c r="U47" s="601"/>
      <c r="V47" s="601"/>
      <c r="W47" s="601"/>
      <c r="X47" s="601"/>
      <c r="Y47" s="601"/>
      <c r="Z47" s="601"/>
      <c r="AA47" s="601"/>
      <c r="AB47" s="601"/>
      <c r="AC47" s="601"/>
      <c r="AD47" s="601"/>
      <c r="AE47" s="601"/>
      <c r="AF47" s="601"/>
      <c r="AG47" s="601"/>
    </row>
    <row r="48" spans="1:33" s="214" customFormat="1" ht="13.15" customHeight="1" x14ac:dyDescent="0.2">
      <c r="A48" s="601"/>
      <c r="B48" s="86"/>
      <c r="C48" s="1000"/>
      <c r="D48" s="1079" t="s">
        <v>93</v>
      </c>
      <c r="E48" s="1000"/>
      <c r="F48" s="1517">
        <f>+F38</f>
        <v>0</v>
      </c>
      <c r="G48" s="1515">
        <f>VLOOKUP(D48,rugzakmatsbo,4,FALSE)</f>
        <v>802</v>
      </c>
      <c r="H48" s="1125">
        <f>+F48*G48</f>
        <v>0</v>
      </c>
      <c r="I48" s="1527"/>
      <c r="J48" s="1133"/>
      <c r="K48" s="1000"/>
      <c r="L48" s="1000"/>
      <c r="M48" s="517"/>
      <c r="N48" s="601"/>
      <c r="O48" s="601"/>
      <c r="P48" s="601"/>
      <c r="Q48" s="601"/>
      <c r="R48" s="601"/>
      <c r="S48" s="601"/>
      <c r="T48" s="601"/>
      <c r="U48" s="601"/>
      <c r="V48" s="601"/>
      <c r="W48" s="601"/>
      <c r="X48" s="601"/>
      <c r="Y48" s="601"/>
      <c r="Z48" s="601"/>
      <c r="AA48" s="601"/>
      <c r="AB48" s="601"/>
      <c r="AC48" s="601"/>
      <c r="AD48" s="601"/>
      <c r="AE48" s="601"/>
      <c r="AF48" s="601"/>
      <c r="AG48" s="601"/>
    </row>
    <row r="49" spans="1:33" s="214" customFormat="1" ht="13.15" customHeight="1" x14ac:dyDescent="0.2">
      <c r="A49" s="601"/>
      <c r="B49" s="86"/>
      <c r="C49" s="1000"/>
      <c r="D49" s="1079" t="s">
        <v>94</v>
      </c>
      <c r="E49" s="1000"/>
      <c r="F49" s="1109">
        <f>+F39</f>
        <v>0</v>
      </c>
      <c r="G49" s="1125">
        <f>VLOOKUP(D49,rugzakmatsbo,4,FALSE)</f>
        <v>800</v>
      </c>
      <c r="H49" s="1125">
        <f>+F49*G49</f>
        <v>0</v>
      </c>
      <c r="I49" s="1527"/>
      <c r="J49" s="1133"/>
      <c r="K49" s="1000"/>
      <c r="L49" s="1000"/>
      <c r="M49" s="517"/>
      <c r="N49" s="601"/>
      <c r="O49" s="601"/>
      <c r="P49" s="601"/>
      <c r="Q49" s="601"/>
      <c r="R49" s="601"/>
      <c r="S49" s="601"/>
      <c r="T49" s="601"/>
      <c r="U49" s="601"/>
      <c r="V49" s="601"/>
      <c r="W49" s="601"/>
      <c r="X49" s="601"/>
      <c r="Y49" s="601"/>
      <c r="Z49" s="601"/>
      <c r="AA49" s="601"/>
      <c r="AB49" s="601"/>
      <c r="AC49" s="601"/>
      <c r="AD49" s="601"/>
      <c r="AE49" s="601"/>
      <c r="AF49" s="601"/>
      <c r="AG49" s="601"/>
    </row>
    <row r="50" spans="1:33" s="214" customFormat="1" ht="13.15" customHeight="1" x14ac:dyDescent="0.2">
      <c r="A50" s="601"/>
      <c r="B50" s="86"/>
      <c r="C50" s="1000"/>
      <c r="D50" s="1079" t="s">
        <v>95</v>
      </c>
      <c r="E50" s="1000"/>
      <c r="F50" s="1109">
        <f>+F40</f>
        <v>0</v>
      </c>
      <c r="G50" s="1125">
        <f>VLOOKUP(D50,rugzakmatsbo,4,FALSE)</f>
        <v>743</v>
      </c>
      <c r="H50" s="1125">
        <f>+F50*G50</f>
        <v>0</v>
      </c>
      <c r="I50" s="1527"/>
      <c r="J50" s="1133"/>
      <c r="K50" s="1000"/>
      <c r="L50" s="1000"/>
      <c r="M50" s="517"/>
      <c r="N50" s="601"/>
      <c r="O50" s="601"/>
      <c r="P50" s="601"/>
      <c r="Q50" s="601"/>
      <c r="R50" s="601"/>
      <c r="S50" s="601"/>
      <c r="T50" s="601"/>
      <c r="U50" s="601"/>
      <c r="V50" s="601"/>
      <c r="W50" s="601"/>
      <c r="X50" s="601"/>
      <c r="Y50" s="601"/>
      <c r="Z50" s="601"/>
      <c r="AA50" s="601"/>
      <c r="AB50" s="601"/>
      <c r="AC50" s="601"/>
      <c r="AD50" s="601"/>
      <c r="AE50" s="601"/>
      <c r="AF50" s="601"/>
      <c r="AG50" s="601"/>
    </row>
    <row r="51" spans="1:33" s="214" customFormat="1" ht="13.15" customHeight="1" x14ac:dyDescent="0.2">
      <c r="A51" s="601"/>
      <c r="B51" s="86"/>
      <c r="C51" s="1000"/>
      <c r="D51" s="1079" t="s">
        <v>635</v>
      </c>
      <c r="E51" s="1000"/>
      <c r="F51" s="1109">
        <f>+F41</f>
        <v>0</v>
      </c>
      <c r="G51" s="1125">
        <f>VLOOKUP(D51,rugzakmatsbo,4,FALSE)</f>
        <v>800</v>
      </c>
      <c r="H51" s="1125">
        <f>+F51*G51</f>
        <v>0</v>
      </c>
      <c r="I51" s="1527"/>
      <c r="J51" s="1133"/>
      <c r="K51" s="1000"/>
      <c r="L51" s="1000"/>
      <c r="M51" s="517"/>
      <c r="N51" s="601"/>
      <c r="O51" s="601"/>
      <c r="P51" s="601"/>
      <c r="Q51" s="601"/>
      <c r="R51" s="601"/>
      <c r="S51" s="601"/>
      <c r="T51" s="601"/>
      <c r="U51" s="601"/>
      <c r="V51" s="601"/>
      <c r="W51" s="601"/>
      <c r="X51" s="601"/>
      <c r="Y51" s="601"/>
      <c r="Z51" s="601"/>
      <c r="AA51" s="601"/>
      <c r="AB51" s="601"/>
      <c r="AC51" s="601"/>
      <c r="AD51" s="601"/>
      <c r="AE51" s="601"/>
      <c r="AF51" s="601"/>
      <c r="AG51" s="601"/>
    </row>
    <row r="52" spans="1:33" s="214" customFormat="1" ht="13.15" customHeight="1" x14ac:dyDescent="0.2">
      <c r="A52" s="601"/>
      <c r="B52" s="86"/>
      <c r="C52" s="1000"/>
      <c r="D52" s="1079" t="s">
        <v>96</v>
      </c>
      <c r="E52" s="1000"/>
      <c r="F52" s="1534">
        <f>+F42</f>
        <v>0</v>
      </c>
      <c r="G52" s="1125">
        <f>VLOOKUP(D52,rugzakmatsbo,4,FALSE)</f>
        <v>800</v>
      </c>
      <c r="H52" s="1125">
        <f>+F52*G52</f>
        <v>0</v>
      </c>
      <c r="I52" s="1527"/>
      <c r="J52" s="1133"/>
      <c r="K52" s="1000"/>
      <c r="L52" s="1000"/>
      <c r="M52" s="517"/>
      <c r="N52" s="601"/>
      <c r="O52" s="601"/>
      <c r="P52" s="601"/>
      <c r="Q52" s="601"/>
      <c r="R52" s="601"/>
      <c r="S52" s="601"/>
      <c r="T52" s="601"/>
      <c r="U52" s="601"/>
      <c r="V52" s="601"/>
      <c r="W52" s="601"/>
      <c r="X52" s="601"/>
      <c r="Y52" s="601"/>
      <c r="Z52" s="601"/>
      <c r="AA52" s="601"/>
      <c r="AB52" s="601"/>
      <c r="AC52" s="601"/>
      <c r="AD52" s="601"/>
      <c r="AE52" s="601"/>
      <c r="AF52" s="601"/>
      <c r="AG52" s="601"/>
    </row>
    <row r="53" spans="1:33" s="214" customFormat="1" ht="13.15" customHeight="1" x14ac:dyDescent="0.2">
      <c r="A53" s="601"/>
      <c r="B53" s="86"/>
      <c r="C53" s="1000"/>
      <c r="D53" s="1088" t="s">
        <v>692</v>
      </c>
      <c r="E53" s="1000"/>
      <c r="F53" s="1127">
        <f>SUM(F48:F52)</f>
        <v>0</v>
      </c>
      <c r="G53" s="1532"/>
      <c r="H53" s="1134">
        <f>SUM(H48:H52)</f>
        <v>0</v>
      </c>
      <c r="I53" s="1530"/>
      <c r="J53" s="1135"/>
      <c r="K53" s="1000"/>
      <c r="L53" s="1000"/>
      <c r="M53" s="517"/>
      <c r="N53" s="601"/>
      <c r="O53" s="601"/>
      <c r="P53" s="601"/>
      <c r="Q53" s="601"/>
      <c r="R53" s="601"/>
      <c r="S53" s="601"/>
      <c r="T53" s="601"/>
      <c r="U53" s="601"/>
      <c r="V53" s="601"/>
      <c r="W53" s="601"/>
      <c r="X53" s="601"/>
      <c r="Y53" s="601"/>
      <c r="Z53" s="601"/>
      <c r="AA53" s="601"/>
      <c r="AB53" s="601"/>
      <c r="AC53" s="601"/>
      <c r="AD53" s="601"/>
      <c r="AE53" s="601"/>
      <c r="AF53" s="601"/>
      <c r="AG53" s="601"/>
    </row>
    <row r="54" spans="1:33" s="214" customFormat="1" ht="13.15" customHeight="1" x14ac:dyDescent="0.2">
      <c r="A54" s="601"/>
      <c r="B54" s="86"/>
      <c r="C54" s="476"/>
      <c r="D54" s="476"/>
      <c r="E54" s="476"/>
      <c r="F54" s="614"/>
      <c r="G54" s="614"/>
      <c r="H54" s="614"/>
      <c r="I54" s="614"/>
      <c r="J54" s="614"/>
      <c r="K54" s="476"/>
      <c r="L54" s="476"/>
      <c r="M54" s="517"/>
      <c r="N54" s="601"/>
      <c r="O54" s="601"/>
      <c r="P54" s="601"/>
      <c r="Q54" s="601"/>
      <c r="R54" s="601"/>
      <c r="S54" s="601"/>
      <c r="T54" s="601"/>
      <c r="U54" s="601"/>
      <c r="V54" s="601"/>
      <c r="W54" s="601"/>
      <c r="X54" s="601"/>
      <c r="Y54" s="601"/>
      <c r="Z54" s="601"/>
      <c r="AA54" s="601"/>
      <c r="AB54" s="601"/>
      <c r="AC54" s="601"/>
      <c r="AD54" s="601"/>
      <c r="AE54" s="601"/>
      <c r="AF54" s="601"/>
      <c r="AG54" s="601"/>
    </row>
    <row r="55" spans="1:33" s="214" customFormat="1" ht="13.15" customHeight="1" x14ac:dyDescent="0.2">
      <c r="A55" s="601"/>
      <c r="B55" s="86"/>
      <c r="C55" s="209"/>
      <c r="D55" s="209"/>
      <c r="E55" s="209"/>
      <c r="F55" s="210"/>
      <c r="G55" s="210"/>
      <c r="H55" s="210"/>
      <c r="I55" s="210"/>
      <c r="J55" s="210"/>
      <c r="K55" s="209"/>
      <c r="L55" s="209"/>
      <c r="M55" s="88"/>
      <c r="N55" s="601"/>
      <c r="O55" s="601"/>
      <c r="P55" s="601"/>
      <c r="Q55" s="601"/>
      <c r="R55" s="601"/>
      <c r="S55" s="601"/>
      <c r="T55" s="601"/>
      <c r="U55" s="601"/>
      <c r="V55" s="601"/>
      <c r="W55" s="601"/>
      <c r="X55" s="601"/>
      <c r="Y55" s="601"/>
      <c r="Z55" s="601"/>
      <c r="AA55" s="601"/>
      <c r="AB55" s="601"/>
      <c r="AC55" s="601"/>
      <c r="AD55" s="601"/>
      <c r="AE55" s="601"/>
      <c r="AF55" s="601"/>
      <c r="AG55" s="601"/>
    </row>
    <row r="56" spans="1:33" s="214" customFormat="1" ht="13.15" customHeight="1" x14ac:dyDescent="0.2">
      <c r="A56" s="601"/>
      <c r="B56" s="86"/>
      <c r="C56" s="1000"/>
      <c r="D56" s="1083"/>
      <c r="E56" s="1058"/>
      <c r="F56" s="1059"/>
      <c r="G56" s="1059"/>
      <c r="H56" s="1059"/>
      <c r="I56" s="1059"/>
      <c r="J56" s="1059"/>
      <c r="K56" s="1058"/>
      <c r="L56" s="1058"/>
      <c r="M56" s="88"/>
      <c r="N56" s="601"/>
      <c r="O56" s="601"/>
      <c r="P56" s="601"/>
      <c r="Q56" s="601"/>
      <c r="R56" s="601"/>
      <c r="S56" s="601"/>
      <c r="T56" s="601"/>
      <c r="U56" s="601"/>
      <c r="V56" s="601"/>
      <c r="W56" s="601"/>
      <c r="X56" s="601"/>
      <c r="Y56" s="601"/>
      <c r="Z56" s="601"/>
      <c r="AA56" s="601"/>
      <c r="AB56" s="601"/>
      <c r="AC56" s="601"/>
      <c r="AD56" s="601"/>
      <c r="AE56" s="601"/>
      <c r="AF56" s="601"/>
      <c r="AG56" s="601"/>
    </row>
    <row r="57" spans="1:33" s="214" customFormat="1" ht="13.15" customHeight="1" x14ac:dyDescent="0.2">
      <c r="A57" s="601"/>
      <c r="B57" s="86"/>
      <c r="C57" s="1058"/>
      <c r="D57" s="1049" t="s">
        <v>409</v>
      </c>
      <c r="E57" s="1058"/>
      <c r="F57" s="1059"/>
      <c r="G57" s="1059"/>
      <c r="H57" s="1059"/>
      <c r="I57" s="1059"/>
      <c r="J57" s="1059"/>
      <c r="K57" s="1058"/>
      <c r="L57" s="1058"/>
      <c r="M57" s="88"/>
      <c r="N57" s="601"/>
      <c r="O57" s="601"/>
      <c r="P57" s="601"/>
      <c r="Q57" s="601"/>
      <c r="R57" s="601"/>
      <c r="S57" s="601"/>
      <c r="T57" s="601"/>
      <c r="U57" s="601"/>
      <c r="V57" s="601"/>
      <c r="W57" s="601"/>
      <c r="X57" s="601"/>
      <c r="Y57" s="601"/>
      <c r="Z57" s="601"/>
      <c r="AA57" s="601"/>
      <c r="AB57" s="601"/>
      <c r="AC57" s="601"/>
      <c r="AD57" s="601"/>
      <c r="AE57" s="601"/>
      <c r="AF57" s="601"/>
      <c r="AG57" s="601"/>
    </row>
    <row r="58" spans="1:33" s="214" customFormat="1" ht="13.15" customHeight="1" x14ac:dyDescent="0.2">
      <c r="A58" s="601"/>
      <c r="B58" s="86"/>
      <c r="C58" s="1058"/>
      <c r="D58" s="1058"/>
      <c r="E58" s="1058"/>
      <c r="F58" s="1059"/>
      <c r="G58" s="1059"/>
      <c r="H58" s="1059"/>
      <c r="I58" s="1059"/>
      <c r="J58" s="1059"/>
      <c r="K58" s="1058"/>
      <c r="L58" s="1058"/>
      <c r="M58" s="88"/>
      <c r="N58" s="601"/>
      <c r="O58" s="601"/>
      <c r="P58" s="601"/>
      <c r="Q58" s="601"/>
      <c r="R58" s="601"/>
      <c r="S58" s="601"/>
      <c r="T58" s="601"/>
      <c r="U58" s="601"/>
      <c r="V58" s="601"/>
      <c r="W58" s="601"/>
      <c r="X58" s="601"/>
      <c r="Y58" s="601"/>
      <c r="Z58" s="601"/>
      <c r="AA58" s="601"/>
      <c r="AB58" s="601"/>
      <c r="AC58" s="601"/>
      <c r="AD58" s="601"/>
      <c r="AE58" s="601"/>
      <c r="AF58" s="601"/>
      <c r="AG58" s="601"/>
    </row>
    <row r="59" spans="1:33" s="214" customFormat="1" ht="13.15" customHeight="1" x14ac:dyDescent="0.2">
      <c r="A59" s="601"/>
      <c r="B59" s="86"/>
      <c r="C59" s="1058"/>
      <c r="D59" s="1141" t="s">
        <v>769</v>
      </c>
      <c r="E59" s="1058"/>
      <c r="F59" s="1059"/>
      <c r="G59" s="1059"/>
      <c r="H59" s="1000"/>
      <c r="I59" s="1078"/>
      <c r="J59" s="1078"/>
      <c r="K59" s="1058"/>
      <c r="L59" s="1058"/>
      <c r="M59" s="517"/>
      <c r="N59" s="601"/>
      <c r="O59" s="601"/>
      <c r="P59" s="601"/>
      <c r="Q59" s="601"/>
      <c r="R59" s="601"/>
      <c r="S59" s="601"/>
      <c r="T59" s="601"/>
      <c r="U59" s="601"/>
      <c r="V59" s="601"/>
      <c r="W59" s="601"/>
      <c r="X59" s="601"/>
      <c r="Y59" s="601"/>
      <c r="Z59" s="601"/>
      <c r="AA59" s="601"/>
      <c r="AB59" s="601"/>
      <c r="AC59" s="601"/>
      <c r="AD59" s="601"/>
      <c r="AE59" s="601"/>
      <c r="AF59" s="601"/>
      <c r="AG59" s="601"/>
    </row>
    <row r="60" spans="1:33" s="214" customFormat="1" ht="13.15" customHeight="1" x14ac:dyDescent="0.2">
      <c r="A60" s="601"/>
      <c r="B60" s="86"/>
      <c r="C60" s="1058"/>
      <c r="D60" s="1058"/>
      <c r="E60" s="1058"/>
      <c r="F60" s="1521" t="s">
        <v>435</v>
      </c>
      <c r="G60" s="1521" t="s">
        <v>770</v>
      </c>
      <c r="H60" s="1521" t="s">
        <v>172</v>
      </c>
      <c r="I60" s="1521" t="s">
        <v>629</v>
      </c>
      <c r="J60" s="1000"/>
      <c r="K60" s="1058"/>
      <c r="L60" s="1058"/>
      <c r="M60" s="517"/>
      <c r="N60" s="601"/>
      <c r="O60" s="601"/>
      <c r="P60" s="601"/>
      <c r="Q60" s="601"/>
      <c r="R60" s="601"/>
      <c r="S60" s="601"/>
      <c r="T60" s="601"/>
      <c r="U60" s="601"/>
      <c r="V60" s="601"/>
      <c r="W60" s="601"/>
      <c r="X60" s="601"/>
      <c r="Y60" s="601"/>
      <c r="Z60" s="601"/>
      <c r="AA60" s="601"/>
      <c r="AB60" s="601"/>
      <c r="AC60" s="601"/>
      <c r="AD60" s="601"/>
      <c r="AE60" s="601"/>
      <c r="AF60" s="601"/>
      <c r="AG60" s="601"/>
    </row>
    <row r="61" spans="1:33" s="214" customFormat="1" ht="13.15" customHeight="1" x14ac:dyDescent="0.2">
      <c r="A61" s="601"/>
      <c r="B61" s="86"/>
      <c r="C61" s="1000"/>
      <c r="D61" s="1079" t="s">
        <v>93</v>
      </c>
      <c r="E61" s="1520"/>
      <c r="F61" s="1109">
        <f>+F13+F38</f>
        <v>0</v>
      </c>
      <c r="G61" s="1523">
        <f t="shared" ref="G61:G66" si="5">+H13+H24</f>
        <v>0</v>
      </c>
      <c r="H61" s="1125">
        <f>+H38+H48</f>
        <v>0</v>
      </c>
      <c r="I61" s="1523">
        <f>SUM(G61:H61)</f>
        <v>0</v>
      </c>
      <c r="J61" s="998"/>
      <c r="K61" s="1058"/>
      <c r="L61" s="1058"/>
      <c r="M61" s="88"/>
      <c r="N61" s="601"/>
      <c r="O61" s="601"/>
      <c r="P61" s="601"/>
      <c r="Q61" s="601"/>
      <c r="R61" s="601"/>
      <c r="S61" s="601"/>
      <c r="T61" s="601"/>
      <c r="U61" s="601"/>
      <c r="V61" s="601"/>
      <c r="W61" s="601"/>
      <c r="X61" s="601"/>
      <c r="Y61" s="601"/>
      <c r="Z61" s="601"/>
      <c r="AA61" s="601"/>
      <c r="AB61" s="601"/>
      <c r="AC61" s="601"/>
      <c r="AD61" s="601"/>
      <c r="AE61" s="601"/>
      <c r="AF61" s="601"/>
      <c r="AG61" s="601"/>
    </row>
    <row r="62" spans="1:33" s="214" customFormat="1" ht="13.15" customHeight="1" x14ac:dyDescent="0.2">
      <c r="A62" s="601"/>
      <c r="B62" s="86"/>
      <c r="C62" s="1000"/>
      <c r="D62" s="1079" t="s">
        <v>94</v>
      </c>
      <c r="E62" s="1520"/>
      <c r="F62" s="1109">
        <f>+F14+F39</f>
        <v>0</v>
      </c>
      <c r="G62" s="1523">
        <f t="shared" si="5"/>
        <v>0</v>
      </c>
      <c r="H62" s="1125">
        <f>+H39+H49</f>
        <v>0</v>
      </c>
      <c r="I62" s="1523">
        <f t="shared" ref="I62:I66" si="6">SUM(G62:H62)</f>
        <v>0</v>
      </c>
      <c r="J62" s="998"/>
      <c r="K62" s="1058"/>
      <c r="L62" s="1058"/>
      <c r="M62" s="88"/>
      <c r="N62" s="601"/>
      <c r="O62" s="601"/>
      <c r="P62" s="601"/>
      <c r="Q62" s="601"/>
      <c r="R62" s="601"/>
      <c r="S62" s="601"/>
      <c r="T62" s="601"/>
      <c r="U62" s="601"/>
      <c r="V62" s="601"/>
      <c r="W62" s="601"/>
      <c r="X62" s="601"/>
      <c r="Y62" s="601"/>
      <c r="Z62" s="601"/>
      <c r="AA62" s="601"/>
      <c r="AB62" s="601"/>
      <c r="AC62" s="601"/>
      <c r="AD62" s="601"/>
      <c r="AE62" s="601"/>
      <c r="AF62" s="601"/>
      <c r="AG62" s="601"/>
    </row>
    <row r="63" spans="1:33" s="214" customFormat="1" ht="13.15" customHeight="1" x14ac:dyDescent="0.2">
      <c r="A63" s="601"/>
      <c r="B63" s="86"/>
      <c r="C63" s="1000"/>
      <c r="D63" s="1079" t="s">
        <v>95</v>
      </c>
      <c r="E63" s="1520"/>
      <c r="F63" s="1109">
        <f>+F15+F40</f>
        <v>0</v>
      </c>
      <c r="G63" s="1523">
        <f t="shared" si="5"/>
        <v>0</v>
      </c>
      <c r="H63" s="1125">
        <f>+H40+H50</f>
        <v>0</v>
      </c>
      <c r="I63" s="1523">
        <f t="shared" si="6"/>
        <v>0</v>
      </c>
      <c r="J63" s="998"/>
      <c r="K63" s="1058"/>
      <c r="L63" s="1058"/>
      <c r="M63" s="88"/>
      <c r="N63" s="601"/>
      <c r="O63" s="601"/>
      <c r="P63" s="601"/>
      <c r="Q63" s="601"/>
      <c r="R63" s="601"/>
      <c r="S63" s="601"/>
      <c r="T63" s="601"/>
      <c r="U63" s="601"/>
      <c r="V63" s="601"/>
      <c r="W63" s="601"/>
      <c r="X63" s="601"/>
      <c r="Y63" s="601"/>
      <c r="Z63" s="601"/>
      <c r="AA63" s="601"/>
      <c r="AB63" s="601"/>
      <c r="AC63" s="601"/>
      <c r="AD63" s="601"/>
      <c r="AE63" s="601"/>
      <c r="AF63" s="601"/>
      <c r="AG63" s="601"/>
    </row>
    <row r="64" spans="1:33" s="214" customFormat="1" ht="13.15" customHeight="1" x14ac:dyDescent="0.2">
      <c r="A64" s="601"/>
      <c r="B64" s="86"/>
      <c r="C64" s="1000"/>
      <c r="D64" s="1079" t="s">
        <v>723</v>
      </c>
      <c r="E64" s="1520"/>
      <c r="F64" s="1109">
        <f>+F27</f>
        <v>0</v>
      </c>
      <c r="G64" s="1523">
        <f t="shared" si="5"/>
        <v>0</v>
      </c>
      <c r="H64" s="1125">
        <v>0</v>
      </c>
      <c r="I64" s="1523">
        <f t="shared" si="6"/>
        <v>0</v>
      </c>
      <c r="J64" s="998"/>
      <c r="K64" s="1058"/>
      <c r="L64" s="1058"/>
      <c r="M64" s="88"/>
      <c r="N64" s="601"/>
      <c r="O64" s="601"/>
      <c r="P64" s="601"/>
      <c r="Q64" s="601"/>
      <c r="R64" s="601"/>
      <c r="S64" s="601"/>
      <c r="T64" s="601"/>
      <c r="U64" s="601"/>
      <c r="V64" s="601"/>
      <c r="W64" s="601"/>
      <c r="X64" s="601"/>
      <c r="Y64" s="601"/>
      <c r="Z64" s="601"/>
      <c r="AA64" s="601"/>
      <c r="AB64" s="601"/>
      <c r="AC64" s="601"/>
      <c r="AD64" s="601"/>
      <c r="AE64" s="601"/>
      <c r="AF64" s="601"/>
      <c r="AG64" s="601"/>
    </row>
    <row r="65" spans="1:33" s="214" customFormat="1" ht="13.15" customHeight="1" x14ac:dyDescent="0.2">
      <c r="A65" s="601"/>
      <c r="B65" s="86"/>
      <c r="C65" s="1000"/>
      <c r="D65" s="1079" t="s">
        <v>635</v>
      </c>
      <c r="E65" s="1520"/>
      <c r="F65" s="1109">
        <f>+F17+F41</f>
        <v>0</v>
      </c>
      <c r="G65" s="1523">
        <f t="shared" si="5"/>
        <v>0</v>
      </c>
      <c r="H65" s="1125">
        <f>H41+H51</f>
        <v>0</v>
      </c>
      <c r="I65" s="1523">
        <f t="shared" si="6"/>
        <v>0</v>
      </c>
      <c r="J65" s="998"/>
      <c r="K65" s="1058"/>
      <c r="L65" s="1058"/>
      <c r="M65" s="88"/>
      <c r="N65" s="601"/>
      <c r="O65" s="601"/>
      <c r="P65" s="601"/>
      <c r="Q65" s="601"/>
      <c r="R65" s="601"/>
      <c r="S65" s="601"/>
      <c r="T65" s="601"/>
      <c r="U65" s="601"/>
      <c r="V65" s="601"/>
      <c r="W65" s="601"/>
      <c r="X65" s="601"/>
      <c r="Y65" s="601"/>
      <c r="Z65" s="601"/>
      <c r="AA65" s="601"/>
      <c r="AB65" s="601"/>
      <c r="AC65" s="601"/>
      <c r="AD65" s="601"/>
      <c r="AE65" s="601"/>
      <c r="AF65" s="601"/>
      <c r="AG65" s="601"/>
    </row>
    <row r="66" spans="1:33" s="214" customFormat="1" ht="13.15" customHeight="1" x14ac:dyDescent="0.2">
      <c r="A66" s="601"/>
      <c r="B66" s="86"/>
      <c r="C66" s="1000"/>
      <c r="D66" s="1079" t="s">
        <v>96</v>
      </c>
      <c r="E66" s="1520"/>
      <c r="F66" s="1109">
        <f>+F18+F42</f>
        <v>0</v>
      </c>
      <c r="G66" s="1523">
        <f t="shared" si="5"/>
        <v>0</v>
      </c>
      <c r="H66" s="1125">
        <f>H42+H52</f>
        <v>0</v>
      </c>
      <c r="I66" s="1523">
        <f t="shared" si="6"/>
        <v>0</v>
      </c>
      <c r="J66" s="998"/>
      <c r="K66" s="1058"/>
      <c r="L66" s="1058"/>
      <c r="M66" s="88"/>
      <c r="N66" s="601"/>
      <c r="O66" s="601"/>
      <c r="P66" s="601"/>
      <c r="Q66" s="601"/>
      <c r="R66" s="601"/>
      <c r="S66" s="601"/>
      <c r="T66" s="601"/>
      <c r="U66" s="601"/>
      <c r="V66" s="601"/>
      <c r="W66" s="601"/>
      <c r="X66" s="601"/>
      <c r="Y66" s="601"/>
      <c r="Z66" s="601"/>
      <c r="AA66" s="601"/>
      <c r="AB66" s="601"/>
      <c r="AC66" s="601"/>
      <c r="AD66" s="601"/>
      <c r="AE66" s="601"/>
      <c r="AF66" s="601"/>
      <c r="AG66" s="601"/>
    </row>
    <row r="67" spans="1:33" s="214" customFormat="1" ht="13.15" customHeight="1" x14ac:dyDescent="0.2">
      <c r="A67" s="601"/>
      <c r="B67" s="86"/>
      <c r="C67" s="1000"/>
      <c r="D67" s="1075" t="s">
        <v>629</v>
      </c>
      <c r="E67" s="1522"/>
      <c r="F67" s="1524">
        <f>+F19+F43</f>
        <v>0</v>
      </c>
      <c r="G67" s="1525">
        <f>SUM(G61:G66)</f>
        <v>0</v>
      </c>
      <c r="H67" s="1526">
        <f>SUM(H61:H66)</f>
        <v>0</v>
      </c>
      <c r="I67" s="1525">
        <f>SUM(I61:I66)</f>
        <v>0</v>
      </c>
      <c r="J67" s="998"/>
      <c r="K67" s="1058"/>
      <c r="L67" s="1058"/>
      <c r="M67" s="88"/>
      <c r="N67" s="601"/>
      <c r="O67" s="601"/>
      <c r="P67" s="601"/>
      <c r="Q67" s="601"/>
      <c r="R67" s="601"/>
      <c r="S67" s="601"/>
      <c r="T67" s="601"/>
      <c r="U67" s="601"/>
      <c r="V67" s="601"/>
      <c r="W67" s="601"/>
      <c r="X67" s="601"/>
      <c r="Y67" s="601"/>
      <c r="Z67" s="601"/>
      <c r="AA67" s="601"/>
      <c r="AB67" s="601"/>
      <c r="AC67" s="601"/>
      <c r="AD67" s="601"/>
      <c r="AE67" s="601"/>
      <c r="AF67" s="601"/>
      <c r="AG67" s="601"/>
    </row>
    <row r="68" spans="1:33" s="214" customFormat="1" ht="13.15" customHeight="1" x14ac:dyDescent="0.2">
      <c r="A68" s="601"/>
      <c r="B68" s="86"/>
      <c r="C68" s="1000"/>
      <c r="D68" s="1000"/>
      <c r="E68" s="1142"/>
      <c r="F68" s="1143"/>
      <c r="G68" s="1143"/>
      <c r="H68" s="1143"/>
      <c r="I68" s="1143"/>
      <c r="J68" s="1059"/>
      <c r="K68" s="1058"/>
      <c r="L68" s="1058"/>
      <c r="M68" s="88"/>
      <c r="N68" s="601"/>
      <c r="O68" s="601"/>
      <c r="P68" s="601"/>
      <c r="Q68" s="601"/>
      <c r="R68" s="601"/>
      <c r="S68" s="601"/>
      <c r="T68" s="601"/>
      <c r="U68" s="601"/>
      <c r="V68" s="601"/>
      <c r="W68" s="601"/>
      <c r="X68" s="601"/>
      <c r="Y68" s="601"/>
      <c r="Z68" s="601"/>
      <c r="AA68" s="601"/>
      <c r="AB68" s="601"/>
      <c r="AC68" s="601"/>
      <c r="AD68" s="601"/>
      <c r="AE68" s="601"/>
      <c r="AF68" s="601"/>
      <c r="AG68" s="601"/>
    </row>
    <row r="69" spans="1:33" s="214" customFormat="1" ht="13.15" hidden="1" customHeight="1" x14ac:dyDescent="0.2">
      <c r="A69" s="601"/>
      <c r="B69" s="86"/>
      <c r="D69" s="450" t="s">
        <v>732</v>
      </c>
      <c r="E69" s="1137"/>
      <c r="F69" s="1138">
        <v>40452</v>
      </c>
      <c r="G69" s="1138">
        <v>40817</v>
      </c>
      <c r="H69" s="1138">
        <v>41183</v>
      </c>
      <c r="I69" s="1138">
        <v>41548</v>
      </c>
      <c r="J69" s="1139"/>
      <c r="K69" s="1140"/>
      <c r="L69" s="1140"/>
      <c r="M69" s="88"/>
      <c r="N69" s="601"/>
      <c r="O69" s="601"/>
      <c r="P69" s="601"/>
      <c r="Q69" s="601"/>
      <c r="R69" s="601"/>
      <c r="S69" s="601"/>
      <c r="T69" s="601"/>
      <c r="U69" s="601"/>
      <c r="V69" s="601"/>
      <c r="W69" s="601"/>
      <c r="X69" s="601"/>
      <c r="Y69" s="601"/>
      <c r="Z69" s="601"/>
      <c r="AA69" s="601"/>
      <c r="AB69" s="601"/>
      <c r="AC69" s="601"/>
      <c r="AD69" s="601"/>
      <c r="AE69" s="601"/>
      <c r="AF69" s="601"/>
      <c r="AG69" s="601"/>
    </row>
    <row r="70" spans="1:33" s="214" customFormat="1" ht="13.15" hidden="1" customHeight="1" x14ac:dyDescent="0.2">
      <c r="A70" s="601"/>
      <c r="B70" s="86"/>
      <c r="D70" s="450" t="s">
        <v>733</v>
      </c>
      <c r="E70" s="795"/>
      <c r="F70" s="792"/>
      <c r="G70" s="792"/>
      <c r="H70" s="792"/>
      <c r="I70" s="792"/>
      <c r="J70" s="791"/>
      <c r="K70" s="794"/>
      <c r="L70" s="794"/>
      <c r="M70" s="88"/>
      <c r="N70" s="601"/>
      <c r="O70" s="601"/>
      <c r="P70" s="601"/>
      <c r="Q70" s="601"/>
      <c r="R70" s="601"/>
      <c r="S70" s="601"/>
      <c r="T70" s="601"/>
      <c r="U70" s="601"/>
      <c r="V70" s="601"/>
      <c r="W70" s="601"/>
      <c r="X70" s="601"/>
      <c r="Y70" s="601"/>
      <c r="Z70" s="601"/>
      <c r="AA70" s="601"/>
      <c r="AB70" s="601"/>
      <c r="AC70" s="601"/>
      <c r="AD70" s="601"/>
      <c r="AE70" s="601"/>
      <c r="AF70" s="601"/>
      <c r="AG70" s="601"/>
    </row>
    <row r="71" spans="1:33" s="214" customFormat="1" ht="13.15" hidden="1" customHeight="1" x14ac:dyDescent="0.2">
      <c r="A71" s="601"/>
      <c r="B71" s="86"/>
      <c r="D71" s="450" t="s">
        <v>734</v>
      </c>
      <c r="E71" s="795"/>
      <c r="F71" s="798">
        <v>1.048E-2</v>
      </c>
      <c r="G71" s="798">
        <v>1.0059999999999999E-2</v>
      </c>
      <c r="H71" s="798">
        <v>9.6100000000000005E-3</v>
      </c>
      <c r="I71" s="798">
        <v>9.4999999999999998E-3</v>
      </c>
      <c r="J71" s="791"/>
      <c r="K71" s="794"/>
      <c r="L71" s="794"/>
      <c r="M71" s="88"/>
      <c r="N71" s="601"/>
      <c r="O71" s="601"/>
      <c r="P71" s="601"/>
      <c r="Q71" s="601"/>
      <c r="R71" s="601"/>
      <c r="S71" s="601"/>
      <c r="T71" s="601"/>
      <c r="U71" s="601"/>
      <c r="V71" s="601"/>
      <c r="W71" s="601"/>
      <c r="X71" s="601"/>
      <c r="Y71" s="601"/>
      <c r="Z71" s="601"/>
      <c r="AA71" s="601"/>
      <c r="AB71" s="601"/>
      <c r="AC71" s="601"/>
      <c r="AD71" s="601"/>
      <c r="AE71" s="601"/>
      <c r="AF71" s="601"/>
      <c r="AG71" s="601"/>
    </row>
    <row r="72" spans="1:33" s="214" customFormat="1" ht="13.15" hidden="1" customHeight="1" x14ac:dyDescent="0.2">
      <c r="A72" s="601"/>
      <c r="B72" s="86"/>
      <c r="C72" s="804"/>
      <c r="D72" s="796"/>
      <c r="E72" s="795"/>
      <c r="F72" s="791"/>
      <c r="G72" s="791"/>
      <c r="H72" s="791"/>
      <c r="I72" s="791"/>
      <c r="J72" s="791"/>
      <c r="K72" s="794"/>
      <c r="L72" s="794"/>
      <c r="M72" s="88"/>
      <c r="N72" s="601"/>
      <c r="O72" s="601"/>
      <c r="P72" s="601"/>
      <c r="Q72" s="601"/>
      <c r="R72" s="601"/>
      <c r="S72" s="601"/>
      <c r="T72" s="601"/>
      <c r="U72" s="601"/>
      <c r="V72" s="601"/>
      <c r="W72" s="601"/>
      <c r="X72" s="601"/>
      <c r="Y72" s="601"/>
      <c r="Z72" s="601"/>
      <c r="AA72" s="601"/>
      <c r="AB72" s="601"/>
      <c r="AC72" s="601"/>
      <c r="AD72" s="601"/>
      <c r="AE72" s="601"/>
      <c r="AF72" s="601"/>
      <c r="AG72" s="601"/>
    </row>
    <row r="73" spans="1:33" s="214" customFormat="1" ht="13.15" customHeight="1" x14ac:dyDescent="0.2">
      <c r="A73" s="601"/>
      <c r="B73" s="86"/>
      <c r="C73" s="209"/>
      <c r="D73" s="209"/>
      <c r="E73" s="209"/>
      <c r="F73" s="210"/>
      <c r="G73" s="210"/>
      <c r="H73" s="210"/>
      <c r="I73" s="210"/>
      <c r="J73" s="210"/>
      <c r="K73" s="209"/>
      <c r="L73" s="209"/>
      <c r="M73" s="517"/>
      <c r="N73" s="601"/>
      <c r="O73" s="601"/>
      <c r="P73" s="601"/>
      <c r="Q73" s="601"/>
      <c r="R73" s="601"/>
      <c r="S73" s="601"/>
      <c r="T73" s="601"/>
      <c r="U73" s="601"/>
      <c r="V73" s="601"/>
      <c r="W73" s="601"/>
      <c r="X73" s="601"/>
      <c r="Y73" s="601"/>
      <c r="Z73" s="601"/>
      <c r="AA73" s="601"/>
      <c r="AB73" s="601"/>
      <c r="AC73" s="601"/>
      <c r="AD73" s="601"/>
      <c r="AE73" s="601"/>
      <c r="AF73" s="601"/>
      <c r="AG73" s="601"/>
    </row>
    <row r="74" spans="1:33" s="214" customFormat="1" ht="13.15" customHeight="1" x14ac:dyDescent="0.2">
      <c r="A74" s="601"/>
      <c r="B74" s="86"/>
      <c r="C74" s="87"/>
      <c r="D74" s="87"/>
      <c r="E74" s="87"/>
      <c r="F74" s="80"/>
      <c r="G74" s="80"/>
      <c r="H74" s="80"/>
      <c r="I74" s="80"/>
      <c r="J74" s="80"/>
      <c r="K74" s="80"/>
      <c r="L74" s="87"/>
      <c r="M74" s="517"/>
      <c r="N74" s="601"/>
      <c r="O74" s="601"/>
      <c r="P74" s="601"/>
      <c r="Q74" s="601"/>
      <c r="R74" s="601"/>
      <c r="S74" s="601"/>
      <c r="T74" s="601"/>
      <c r="U74" s="601"/>
      <c r="V74" s="601"/>
      <c r="W74" s="601"/>
      <c r="X74" s="601"/>
      <c r="Y74" s="601"/>
      <c r="Z74" s="601"/>
      <c r="AA74" s="601"/>
      <c r="AB74" s="601"/>
      <c r="AC74" s="601"/>
      <c r="AD74" s="601"/>
      <c r="AE74" s="601"/>
      <c r="AF74" s="601"/>
      <c r="AG74" s="601"/>
    </row>
    <row r="75" spans="1:33" s="800" customFormat="1" ht="16.899999999999999" customHeight="1" x14ac:dyDescent="0.3">
      <c r="A75" s="799"/>
      <c r="B75" s="203"/>
      <c r="C75" s="204" t="s">
        <v>712</v>
      </c>
      <c r="D75" s="204"/>
      <c r="E75" s="204"/>
      <c r="F75" s="205"/>
      <c r="G75" s="205"/>
      <c r="H75" s="205"/>
      <c r="I75" s="205"/>
      <c r="J75" s="205"/>
      <c r="K75" s="205"/>
      <c r="L75" s="204"/>
      <c r="M75" s="518"/>
      <c r="N75" s="799"/>
      <c r="O75" s="799"/>
      <c r="P75" s="799"/>
      <c r="Q75" s="799"/>
      <c r="R75" s="799"/>
      <c r="S75" s="799"/>
      <c r="T75" s="799"/>
      <c r="U75" s="799"/>
      <c r="V75" s="799"/>
      <c r="W75" s="799"/>
      <c r="X75" s="799"/>
      <c r="Y75" s="799"/>
      <c r="Z75" s="799"/>
      <c r="AA75" s="799"/>
      <c r="AB75" s="799"/>
      <c r="AC75" s="799"/>
      <c r="AD75" s="799"/>
      <c r="AE75" s="799"/>
      <c r="AF75" s="799"/>
      <c r="AG75" s="799"/>
    </row>
    <row r="76" spans="1:33" s="743" customFormat="1" ht="13.15" customHeight="1" x14ac:dyDescent="0.25">
      <c r="A76" s="761"/>
      <c r="B76" s="258"/>
      <c r="C76" s="259" t="str">
        <f>+C5</f>
        <v>SWV PO Passend Onderwijs</v>
      </c>
      <c r="D76" s="111"/>
      <c r="E76" s="259"/>
      <c r="F76" s="742"/>
      <c r="G76" s="742"/>
      <c r="H76" s="742"/>
      <c r="I76" s="742"/>
      <c r="J76" s="742"/>
      <c r="K76" s="742"/>
      <c r="L76" s="259"/>
      <c r="M76" s="759"/>
      <c r="N76" s="761"/>
      <c r="O76" s="761"/>
      <c r="P76" s="761"/>
      <c r="Q76" s="761"/>
      <c r="R76" s="761"/>
      <c r="S76" s="761"/>
      <c r="T76" s="761"/>
      <c r="U76" s="761"/>
      <c r="V76" s="761"/>
      <c r="W76" s="761"/>
      <c r="X76" s="761"/>
      <c r="Y76" s="761"/>
      <c r="Z76" s="761"/>
      <c r="AA76" s="761"/>
      <c r="AB76" s="761"/>
      <c r="AC76" s="761"/>
      <c r="AD76" s="761"/>
      <c r="AE76" s="761"/>
      <c r="AF76" s="761"/>
      <c r="AG76" s="761"/>
    </row>
    <row r="77" spans="1:33" s="214" customFormat="1" ht="13.15" customHeight="1" x14ac:dyDescent="0.2">
      <c r="A77" s="601"/>
      <c r="B77" s="86"/>
      <c r="C77" s="87"/>
      <c r="D77" s="67"/>
      <c r="E77" s="87"/>
      <c r="F77" s="80"/>
      <c r="G77" s="80"/>
      <c r="H77" s="80"/>
      <c r="I77" s="80"/>
      <c r="J77" s="80"/>
      <c r="K77" s="80"/>
      <c r="L77" s="87"/>
      <c r="M77" s="517"/>
      <c r="N77" s="601"/>
      <c r="O77" s="601"/>
      <c r="P77" s="601"/>
      <c r="Q77" s="601"/>
      <c r="R77" s="601"/>
      <c r="S77" s="601"/>
      <c r="T77" s="601"/>
      <c r="U77" s="601"/>
      <c r="V77" s="601"/>
      <c r="W77" s="601"/>
      <c r="X77" s="601"/>
      <c r="Y77" s="601"/>
      <c r="Z77" s="601"/>
      <c r="AA77" s="601"/>
      <c r="AB77" s="601"/>
      <c r="AC77" s="601"/>
      <c r="AD77" s="601"/>
      <c r="AE77" s="601"/>
      <c r="AF77" s="601"/>
      <c r="AG77" s="601"/>
    </row>
    <row r="78" spans="1:33" s="214" customFormat="1" ht="13.15" customHeight="1" x14ac:dyDescent="0.2">
      <c r="A78" s="601"/>
      <c r="B78" s="86"/>
      <c r="C78" s="87"/>
      <c r="D78" s="67"/>
      <c r="E78" s="87"/>
      <c r="F78" s="80"/>
      <c r="G78" s="80"/>
      <c r="H78" s="80"/>
      <c r="I78" s="80"/>
      <c r="J78" s="80"/>
      <c r="K78" s="80"/>
      <c r="L78" s="87"/>
      <c r="M78" s="517"/>
      <c r="N78" s="601"/>
      <c r="O78" s="601"/>
      <c r="P78" s="601"/>
      <c r="Q78" s="601"/>
      <c r="R78" s="601"/>
      <c r="S78" s="601"/>
      <c r="T78" s="601"/>
      <c r="U78" s="601"/>
      <c r="V78" s="601"/>
      <c r="W78" s="601"/>
      <c r="X78" s="601"/>
      <c r="Y78" s="601"/>
      <c r="Z78" s="601"/>
      <c r="AA78" s="601"/>
      <c r="AB78" s="601"/>
      <c r="AC78" s="601"/>
      <c r="AD78" s="601"/>
      <c r="AE78" s="601"/>
      <c r="AF78" s="601"/>
      <c r="AG78" s="601"/>
    </row>
    <row r="79" spans="1:33" s="214" customFormat="1" ht="13.15" customHeight="1" x14ac:dyDescent="0.2">
      <c r="A79" s="601"/>
      <c r="B79" s="86"/>
      <c r="C79" s="1000"/>
      <c r="D79" s="1058"/>
      <c r="E79" s="1058"/>
      <c r="F79" s="1059"/>
      <c r="G79" s="1059"/>
      <c r="H79" s="1059"/>
      <c r="I79" s="1059"/>
      <c r="J79" s="1059"/>
      <c r="K79" s="1059"/>
      <c r="L79" s="1058"/>
      <c r="M79" s="517"/>
      <c r="N79" s="601"/>
      <c r="O79" s="601"/>
      <c r="P79" s="601"/>
      <c r="Q79" s="601"/>
      <c r="R79" s="601"/>
      <c r="S79" s="601"/>
      <c r="T79" s="601"/>
      <c r="U79" s="601"/>
      <c r="V79" s="601"/>
      <c r="W79" s="601"/>
      <c r="X79" s="601"/>
      <c r="Y79" s="601"/>
      <c r="Z79" s="601"/>
      <c r="AA79" s="601"/>
      <c r="AB79" s="601"/>
      <c r="AC79" s="601"/>
      <c r="AD79" s="601"/>
      <c r="AE79" s="601"/>
      <c r="AF79" s="601"/>
      <c r="AG79" s="601"/>
    </row>
    <row r="80" spans="1:33" s="214" customFormat="1" ht="13.15" customHeight="1" x14ac:dyDescent="0.2">
      <c r="A80" s="532"/>
      <c r="B80" s="86"/>
      <c r="C80" s="1058"/>
      <c r="D80" s="1049" t="s">
        <v>409</v>
      </c>
      <c r="E80" s="1058"/>
      <c r="F80" s="1059"/>
      <c r="G80" s="1059"/>
      <c r="H80" s="1059"/>
      <c r="I80" s="1059"/>
      <c r="J80" s="1059"/>
      <c r="K80" s="1059"/>
      <c r="L80" s="1058"/>
      <c r="M80" s="517"/>
      <c r="N80" s="601"/>
      <c r="O80" s="601"/>
      <c r="P80" s="601"/>
      <c r="Q80" s="601"/>
      <c r="R80" s="601"/>
      <c r="S80" s="601"/>
      <c r="T80" s="601"/>
      <c r="U80" s="601"/>
      <c r="V80" s="601"/>
      <c r="W80" s="601"/>
      <c r="X80" s="601"/>
      <c r="Y80" s="601"/>
      <c r="Z80" s="601"/>
      <c r="AA80" s="601"/>
      <c r="AB80" s="601"/>
      <c r="AC80" s="601"/>
      <c r="AD80" s="601"/>
      <c r="AE80" s="601"/>
      <c r="AF80" s="601"/>
      <c r="AG80" s="601"/>
    </row>
    <row r="81" spans="1:33" s="214" customFormat="1" ht="13.15" customHeight="1" x14ac:dyDescent="0.2">
      <c r="A81" s="601"/>
      <c r="B81" s="86"/>
      <c r="C81" s="1058"/>
      <c r="D81" s="1058"/>
      <c r="E81" s="1058"/>
      <c r="F81" s="1059"/>
      <c r="G81" s="1000"/>
      <c r="H81" s="1000"/>
      <c r="I81" s="1000"/>
      <c r="J81" s="1000"/>
      <c r="K81" s="1000"/>
      <c r="L81" s="1058"/>
      <c r="M81" s="517"/>
      <c r="N81" s="601"/>
      <c r="O81" s="601"/>
      <c r="P81" s="601"/>
      <c r="Q81" s="601"/>
      <c r="R81" s="601"/>
      <c r="S81" s="601"/>
      <c r="T81" s="601"/>
      <c r="U81" s="601"/>
      <c r="V81" s="601"/>
      <c r="W81" s="601"/>
      <c r="X81" s="601"/>
      <c r="Y81" s="601"/>
      <c r="Z81" s="601"/>
      <c r="AA81" s="601"/>
      <c r="AB81" s="601"/>
      <c r="AC81" s="601"/>
      <c r="AD81" s="601"/>
      <c r="AE81" s="601"/>
      <c r="AF81" s="601"/>
      <c r="AG81" s="601"/>
    </row>
    <row r="82" spans="1:33" s="214" customFormat="1" ht="13.15" customHeight="1" x14ac:dyDescent="0.2">
      <c r="A82" s="601"/>
      <c r="B82" s="86"/>
      <c r="C82" s="1058"/>
      <c r="D82" s="1075" t="s">
        <v>714</v>
      </c>
      <c r="E82" s="1058"/>
      <c r="F82" s="1078" t="s">
        <v>435</v>
      </c>
      <c r="G82" s="1078" t="s">
        <v>905</v>
      </c>
      <c r="H82" s="1078" t="s">
        <v>906</v>
      </c>
      <c r="I82" s="1078" t="s">
        <v>907</v>
      </c>
      <c r="J82" s="1078" t="s">
        <v>908</v>
      </c>
      <c r="K82" s="1078" t="s">
        <v>713</v>
      </c>
      <c r="L82" s="1058"/>
      <c r="M82" s="517"/>
      <c r="N82" s="601"/>
      <c r="O82" s="601"/>
      <c r="P82" s="601"/>
      <c r="Q82" s="601"/>
      <c r="R82" s="601"/>
      <c r="S82" s="601"/>
      <c r="T82" s="601"/>
      <c r="U82" s="601"/>
      <c r="V82" s="601"/>
      <c r="W82" s="601"/>
      <c r="X82" s="601"/>
      <c r="Y82" s="601"/>
      <c r="Z82" s="601"/>
      <c r="AA82" s="601"/>
      <c r="AB82" s="601"/>
      <c r="AC82" s="601"/>
      <c r="AD82" s="601"/>
      <c r="AE82" s="601"/>
      <c r="AF82" s="601"/>
      <c r="AG82" s="601"/>
    </row>
    <row r="83" spans="1:33" s="214" customFormat="1" ht="13.15" customHeight="1" x14ac:dyDescent="0.2">
      <c r="A83" s="601"/>
      <c r="B83" s="86"/>
      <c r="C83" s="1000"/>
      <c r="D83" s="1079" t="s">
        <v>93</v>
      </c>
      <c r="E83" s="1076"/>
      <c r="F83" s="1109">
        <f t="shared" ref="F83:F88" si="7">+F61</f>
        <v>0</v>
      </c>
      <c r="G83" s="1125">
        <f>tab!M114</f>
        <v>4387.9506610000008</v>
      </c>
      <c r="H83" s="1125">
        <f>tab!M121</f>
        <v>525</v>
      </c>
      <c r="I83" s="1125">
        <f>+F83*G83</f>
        <v>0</v>
      </c>
      <c r="J83" s="1125">
        <f>+F83*H83</f>
        <v>0</v>
      </c>
      <c r="K83" s="1125">
        <f t="shared" ref="K83:K88" si="8">SUM(I83:J83)</f>
        <v>0</v>
      </c>
      <c r="L83" s="1058"/>
      <c r="M83" s="517"/>
      <c r="N83" s="601"/>
      <c r="O83" s="601"/>
      <c r="P83" s="601"/>
      <c r="Q83" s="601"/>
      <c r="R83" s="601"/>
      <c r="S83" s="601"/>
      <c r="T83" s="601"/>
      <c r="U83" s="601"/>
      <c r="V83" s="601"/>
      <c r="W83" s="601"/>
      <c r="X83" s="601"/>
      <c r="Y83" s="601"/>
      <c r="Z83" s="601"/>
      <c r="AA83" s="601"/>
      <c r="AB83" s="601"/>
      <c r="AC83" s="601"/>
      <c r="AD83" s="601"/>
      <c r="AE83" s="601"/>
      <c r="AF83" s="601"/>
      <c r="AG83" s="601"/>
    </row>
    <row r="84" spans="1:33" s="214" customFormat="1" ht="13.15" customHeight="1" x14ac:dyDescent="0.2">
      <c r="A84" s="601"/>
      <c r="B84" s="86"/>
      <c r="C84" s="1000"/>
      <c r="D84" s="1079" t="s">
        <v>94</v>
      </c>
      <c r="E84" s="1076"/>
      <c r="F84" s="1109">
        <f t="shared" si="7"/>
        <v>0</v>
      </c>
      <c r="G84" s="1125">
        <f>tab!M115</f>
        <v>4387.9506610000008</v>
      </c>
      <c r="H84" s="1125">
        <f>tab!M122</f>
        <v>472</v>
      </c>
      <c r="I84" s="1125">
        <f t="shared" ref="I84:I88" si="9">+F84*G84</f>
        <v>0</v>
      </c>
      <c r="J84" s="1125">
        <f t="shared" ref="J84:J88" si="10">+F84*H84</f>
        <v>0</v>
      </c>
      <c r="K84" s="1125">
        <f t="shared" si="8"/>
        <v>0</v>
      </c>
      <c r="L84" s="1058"/>
      <c r="M84" s="517"/>
      <c r="N84" s="601"/>
      <c r="O84" s="601"/>
      <c r="P84" s="601"/>
      <c r="Q84" s="601"/>
      <c r="R84" s="601"/>
      <c r="S84" s="601"/>
      <c r="T84" s="601"/>
      <c r="U84" s="601"/>
      <c r="V84" s="601"/>
      <c r="W84" s="601"/>
      <c r="X84" s="601"/>
      <c r="Y84" s="601"/>
      <c r="Z84" s="601"/>
      <c r="AA84" s="601"/>
      <c r="AB84" s="601"/>
      <c r="AC84" s="601"/>
      <c r="AD84" s="601"/>
      <c r="AE84" s="601"/>
      <c r="AF84" s="601"/>
      <c r="AG84" s="601"/>
    </row>
    <row r="85" spans="1:33" s="214" customFormat="1" ht="13.15" customHeight="1" x14ac:dyDescent="0.2">
      <c r="A85" s="532"/>
      <c r="B85" s="86"/>
      <c r="C85" s="1000"/>
      <c r="D85" s="1079" t="s">
        <v>95</v>
      </c>
      <c r="E85" s="1076"/>
      <c r="F85" s="1109">
        <f t="shared" si="7"/>
        <v>0</v>
      </c>
      <c r="G85" s="1125">
        <f>tab!M116</f>
        <v>4387.9506610000008</v>
      </c>
      <c r="H85" s="1125">
        <f>tab!M123</f>
        <v>315</v>
      </c>
      <c r="I85" s="1125">
        <f t="shared" si="9"/>
        <v>0</v>
      </c>
      <c r="J85" s="1125">
        <f t="shared" si="10"/>
        <v>0</v>
      </c>
      <c r="K85" s="1125">
        <f t="shared" si="8"/>
        <v>0</v>
      </c>
      <c r="L85" s="1058"/>
      <c r="M85" s="517"/>
      <c r="N85" s="601"/>
      <c r="O85" s="601"/>
      <c r="P85" s="601"/>
      <c r="Q85" s="601"/>
      <c r="R85" s="601"/>
      <c r="S85" s="601"/>
      <c r="T85" s="601"/>
      <c r="U85" s="601"/>
      <c r="V85" s="601"/>
      <c r="W85" s="601"/>
      <c r="X85" s="601"/>
      <c r="Y85" s="601"/>
      <c r="Z85" s="601"/>
      <c r="AA85" s="601"/>
      <c r="AB85" s="601"/>
      <c r="AC85" s="601"/>
      <c r="AD85" s="601"/>
      <c r="AE85" s="601"/>
      <c r="AF85" s="601"/>
      <c r="AG85" s="601"/>
    </row>
    <row r="86" spans="1:33" s="215" customFormat="1" ht="13.15" customHeight="1" x14ac:dyDescent="0.2">
      <c r="A86" s="601"/>
      <c r="B86" s="86"/>
      <c r="C86" s="1000"/>
      <c r="D86" s="1079" t="s">
        <v>723</v>
      </c>
      <c r="E86" s="1076"/>
      <c r="F86" s="1109">
        <f t="shared" si="7"/>
        <v>0</v>
      </c>
      <c r="G86" s="1125">
        <f>tab!M117</f>
        <v>0</v>
      </c>
      <c r="H86" s="1125">
        <f>tab!M124</f>
        <v>0</v>
      </c>
      <c r="I86" s="1125">
        <f t="shared" si="9"/>
        <v>0</v>
      </c>
      <c r="J86" s="1125">
        <f t="shared" si="10"/>
        <v>0</v>
      </c>
      <c r="K86" s="1125">
        <f t="shared" si="8"/>
        <v>0</v>
      </c>
      <c r="L86" s="1058"/>
      <c r="M86" s="517"/>
      <c r="N86" s="532"/>
      <c r="O86" s="532"/>
      <c r="P86" s="532"/>
      <c r="Q86" s="532"/>
      <c r="R86" s="532"/>
      <c r="S86" s="532"/>
      <c r="T86" s="532"/>
      <c r="U86" s="532"/>
      <c r="V86" s="532"/>
      <c r="W86" s="532"/>
      <c r="X86" s="532"/>
      <c r="Y86" s="532"/>
      <c r="Z86" s="532"/>
      <c r="AA86" s="532"/>
      <c r="AB86" s="532"/>
      <c r="AC86" s="532"/>
      <c r="AD86" s="532"/>
      <c r="AE86" s="532"/>
      <c r="AF86" s="532"/>
      <c r="AG86" s="532"/>
    </row>
    <row r="87" spans="1:33" s="214" customFormat="1" ht="13.15" customHeight="1" x14ac:dyDescent="0.2">
      <c r="A87" s="601"/>
      <c r="B87" s="86"/>
      <c r="C87" s="1000"/>
      <c r="D87" s="1079" t="s">
        <v>635</v>
      </c>
      <c r="E87" s="1076"/>
      <c r="F87" s="1109">
        <f t="shared" si="7"/>
        <v>0</v>
      </c>
      <c r="G87" s="1125">
        <f>tab!M118</f>
        <v>4387.9506610000008</v>
      </c>
      <c r="H87" s="1125">
        <f>tab!M125</f>
        <v>472</v>
      </c>
      <c r="I87" s="1125">
        <f t="shared" si="9"/>
        <v>0</v>
      </c>
      <c r="J87" s="1125">
        <f t="shared" si="10"/>
        <v>0</v>
      </c>
      <c r="K87" s="1125">
        <f t="shared" si="8"/>
        <v>0</v>
      </c>
      <c r="L87" s="1058"/>
      <c r="M87" s="517"/>
      <c r="N87" s="601"/>
      <c r="O87" s="601"/>
      <c r="P87" s="601"/>
      <c r="Q87" s="601"/>
      <c r="R87" s="601"/>
      <c r="S87" s="601"/>
      <c r="T87" s="601"/>
      <c r="U87" s="601"/>
      <c r="V87" s="601"/>
      <c r="W87" s="601"/>
      <c r="X87" s="601"/>
      <c r="Y87" s="601"/>
      <c r="Z87" s="601"/>
      <c r="AA87" s="601"/>
      <c r="AB87" s="601"/>
      <c r="AC87" s="601"/>
      <c r="AD87" s="601"/>
      <c r="AE87" s="601"/>
      <c r="AF87" s="601"/>
      <c r="AG87" s="601"/>
    </row>
    <row r="88" spans="1:33" s="214" customFormat="1" ht="13.15" customHeight="1" x14ac:dyDescent="0.2">
      <c r="A88" s="601"/>
      <c r="B88" s="86"/>
      <c r="C88" s="1000"/>
      <c r="D88" s="1079" t="s">
        <v>96</v>
      </c>
      <c r="E88" s="1076"/>
      <c r="F88" s="1109">
        <f t="shared" si="7"/>
        <v>0</v>
      </c>
      <c r="G88" s="1125">
        <f>tab!M119</f>
        <v>4387.9506610000008</v>
      </c>
      <c r="H88" s="1125">
        <f>tab!M126</f>
        <v>472</v>
      </c>
      <c r="I88" s="1125">
        <f t="shared" si="9"/>
        <v>0</v>
      </c>
      <c r="J88" s="1125">
        <f t="shared" si="10"/>
        <v>0</v>
      </c>
      <c r="K88" s="1125">
        <f t="shared" si="8"/>
        <v>0</v>
      </c>
      <c r="L88" s="1058"/>
      <c r="M88" s="517"/>
      <c r="N88" s="601"/>
      <c r="O88" s="601"/>
      <c r="P88" s="601"/>
      <c r="Q88" s="601"/>
      <c r="R88" s="601"/>
      <c r="S88" s="601"/>
      <c r="T88" s="601"/>
      <c r="U88" s="601"/>
      <c r="V88" s="601"/>
      <c r="W88" s="601"/>
      <c r="X88" s="601"/>
      <c r="Y88" s="601"/>
      <c r="Z88" s="601"/>
      <c r="AA88" s="601"/>
      <c r="AB88" s="601"/>
      <c r="AC88" s="601"/>
      <c r="AD88" s="601"/>
      <c r="AE88" s="601"/>
      <c r="AF88" s="601"/>
      <c r="AG88" s="601"/>
    </row>
    <row r="89" spans="1:33" s="214" customFormat="1" ht="13.15" customHeight="1" x14ac:dyDescent="0.2">
      <c r="A89" s="601"/>
      <c r="B89" s="86"/>
      <c r="C89" s="1000"/>
      <c r="D89" s="1075" t="s">
        <v>629</v>
      </c>
      <c r="E89" s="1142"/>
      <c r="F89" s="1127">
        <f>SUM(F83:F88)-F86</f>
        <v>0</v>
      </c>
      <c r="G89" s="1059"/>
      <c r="H89" s="1059"/>
      <c r="I89" s="1129">
        <f>SUM(I83:I88)</f>
        <v>0</v>
      </c>
      <c r="J89" s="1129">
        <f>SUM(J83:J88)</f>
        <v>0</v>
      </c>
      <c r="K89" s="1129">
        <f>SUM(K83:K88)</f>
        <v>0</v>
      </c>
      <c r="L89" s="1058"/>
      <c r="M89" s="517"/>
      <c r="N89" s="601"/>
      <c r="O89" s="601"/>
      <c r="P89" s="601"/>
      <c r="Q89" s="601"/>
      <c r="R89" s="601"/>
      <c r="S89" s="601"/>
      <c r="T89" s="601"/>
      <c r="U89" s="601"/>
      <c r="V89" s="601"/>
      <c r="W89" s="601"/>
      <c r="X89" s="601"/>
      <c r="Y89" s="601"/>
      <c r="Z89" s="601"/>
      <c r="AA89" s="601"/>
      <c r="AB89" s="601"/>
      <c r="AC89" s="601"/>
      <c r="AD89" s="601"/>
      <c r="AE89" s="601"/>
      <c r="AF89" s="601"/>
      <c r="AG89" s="601"/>
    </row>
    <row r="90" spans="1:33" s="214" customFormat="1" ht="13.15" customHeight="1" x14ac:dyDescent="0.2">
      <c r="A90" s="601"/>
      <c r="B90" s="86"/>
      <c r="C90" s="1058"/>
      <c r="D90" s="1058"/>
      <c r="E90" s="1058"/>
      <c r="F90" s="1059"/>
      <c r="G90" s="1059"/>
      <c r="H90" s="1059"/>
      <c r="I90" s="1059"/>
      <c r="J90" s="1059"/>
      <c r="K90" s="1059"/>
      <c r="L90" s="1058"/>
      <c r="M90" s="517"/>
      <c r="N90" s="601"/>
      <c r="O90" s="601"/>
      <c r="P90" s="601"/>
      <c r="Q90" s="601"/>
      <c r="R90" s="601"/>
      <c r="S90" s="601"/>
      <c r="T90" s="601"/>
      <c r="U90" s="601"/>
      <c r="V90" s="601"/>
      <c r="W90" s="601"/>
      <c r="X90" s="601"/>
      <c r="Y90" s="601"/>
      <c r="Z90" s="601"/>
      <c r="AA90" s="601"/>
      <c r="AB90" s="601"/>
      <c r="AC90" s="601"/>
      <c r="AD90" s="601"/>
      <c r="AE90" s="601"/>
      <c r="AF90" s="601"/>
      <c r="AG90" s="601"/>
    </row>
    <row r="91" spans="1:33" s="214" customFormat="1" ht="13.15" customHeight="1" x14ac:dyDescent="0.2">
      <c r="A91" s="601"/>
      <c r="B91" s="86"/>
      <c r="C91" s="1058"/>
      <c r="D91" s="1075" t="s">
        <v>831</v>
      </c>
      <c r="E91" s="1058"/>
      <c r="F91" s="1145" t="s">
        <v>832</v>
      </c>
      <c r="G91" s="1078"/>
      <c r="H91" s="1078" t="s">
        <v>833</v>
      </c>
      <c r="I91" s="1146"/>
      <c r="J91" s="1146"/>
      <c r="K91" s="1146"/>
      <c r="L91" s="1058"/>
      <c r="M91" s="517"/>
      <c r="N91" s="601"/>
      <c r="O91" s="601"/>
      <c r="P91" s="601"/>
      <c r="Q91" s="601"/>
      <c r="R91" s="601"/>
      <c r="S91" s="601"/>
      <c r="T91" s="601"/>
      <c r="U91" s="601"/>
      <c r="V91" s="601"/>
      <c r="W91" s="601"/>
      <c r="X91" s="601"/>
      <c r="Y91" s="601"/>
      <c r="Z91" s="601"/>
      <c r="AA91" s="601"/>
      <c r="AB91" s="601"/>
      <c r="AC91" s="601"/>
      <c r="AD91" s="601"/>
      <c r="AE91" s="601"/>
      <c r="AF91" s="601"/>
      <c r="AG91" s="601"/>
    </row>
    <row r="92" spans="1:33" s="214" customFormat="1" ht="13.15" customHeight="1" x14ac:dyDescent="0.2">
      <c r="A92" s="601"/>
      <c r="B92" s="86"/>
      <c r="C92" s="1058"/>
      <c r="D92" s="1079" t="s">
        <v>93</v>
      </c>
      <c r="E92" s="1058"/>
      <c r="F92" s="1535">
        <v>0</v>
      </c>
      <c r="G92" s="1059"/>
      <c r="H92" s="1523">
        <f>tab!I104</f>
        <v>3158.7</v>
      </c>
      <c r="I92" s="1523">
        <f>+F92*H92</f>
        <v>0</v>
      </c>
      <c r="J92" s="1146"/>
      <c r="K92" s="1523">
        <f>+I92</f>
        <v>0</v>
      </c>
      <c r="L92" s="1058"/>
      <c r="M92" s="517"/>
      <c r="N92" s="601"/>
      <c r="O92" s="601"/>
      <c r="P92" s="601"/>
      <c r="Q92" s="601"/>
      <c r="R92" s="601"/>
      <c r="S92" s="601"/>
      <c r="T92" s="601"/>
      <c r="U92" s="601"/>
      <c r="V92" s="601"/>
      <c r="W92" s="601"/>
      <c r="X92" s="601"/>
      <c r="Y92" s="601"/>
      <c r="Z92" s="601"/>
      <c r="AA92" s="601"/>
      <c r="AB92" s="601"/>
      <c r="AC92" s="601"/>
      <c r="AD92" s="601"/>
      <c r="AE92" s="601"/>
      <c r="AF92" s="601"/>
      <c r="AG92" s="601"/>
    </row>
    <row r="93" spans="1:33" s="214" customFormat="1" ht="13.15" customHeight="1" x14ac:dyDescent="0.2">
      <c r="A93" s="601"/>
      <c r="B93" s="86"/>
      <c r="C93" s="1058"/>
      <c r="D93" s="1079" t="s">
        <v>94</v>
      </c>
      <c r="E93" s="1058"/>
      <c r="F93" s="1535">
        <v>0</v>
      </c>
      <c r="G93" s="1059"/>
      <c r="H93" s="1523">
        <f>tab!I105</f>
        <v>31.97</v>
      </c>
      <c r="I93" s="1523">
        <f t="shared" ref="I93:I96" si="11">+F93*H93</f>
        <v>0</v>
      </c>
      <c r="J93" s="1146"/>
      <c r="K93" s="1523">
        <f t="shared" ref="K93:K96" si="12">+I93</f>
        <v>0</v>
      </c>
      <c r="L93" s="1058"/>
      <c r="M93" s="517"/>
      <c r="N93" s="601"/>
      <c r="O93" s="601"/>
      <c r="P93" s="601"/>
      <c r="Q93" s="601"/>
      <c r="R93" s="601"/>
      <c r="S93" s="601"/>
      <c r="T93" s="601"/>
      <c r="U93" s="601"/>
      <c r="V93" s="601"/>
      <c r="W93" s="601"/>
      <c r="X93" s="601"/>
      <c r="Y93" s="601"/>
      <c r="Z93" s="601"/>
      <c r="AA93" s="601"/>
      <c r="AB93" s="601"/>
      <c r="AC93" s="601"/>
      <c r="AD93" s="601"/>
      <c r="AE93" s="601"/>
      <c r="AF93" s="601"/>
      <c r="AG93" s="601"/>
    </row>
    <row r="94" spans="1:33" s="214" customFormat="1" ht="13.15" customHeight="1" x14ac:dyDescent="0.2">
      <c r="A94" s="601"/>
      <c r="B94" s="86"/>
      <c r="C94" s="1058"/>
      <c r="D94" s="1079" t="s">
        <v>95</v>
      </c>
      <c r="E94" s="1058"/>
      <c r="F94" s="1535">
        <v>0</v>
      </c>
      <c r="G94" s="1059"/>
      <c r="H94" s="1523">
        <f>tab!I106</f>
        <v>76.73</v>
      </c>
      <c r="I94" s="1523">
        <f t="shared" si="11"/>
        <v>0</v>
      </c>
      <c r="J94" s="1146"/>
      <c r="K94" s="1523">
        <f t="shared" si="12"/>
        <v>0</v>
      </c>
      <c r="L94" s="1058"/>
      <c r="M94" s="517"/>
      <c r="N94" s="601"/>
      <c r="O94" s="601"/>
      <c r="P94" s="601"/>
      <c r="Q94" s="601"/>
      <c r="R94" s="601"/>
      <c r="S94" s="601"/>
      <c r="T94" s="601"/>
      <c r="U94" s="601"/>
      <c r="V94" s="601"/>
      <c r="W94" s="601"/>
      <c r="X94" s="601"/>
      <c r="Y94" s="601"/>
      <c r="Z94" s="601"/>
      <c r="AA94" s="601"/>
      <c r="AB94" s="601"/>
      <c r="AC94" s="601"/>
      <c r="AD94" s="601"/>
      <c r="AE94" s="601"/>
      <c r="AF94" s="601"/>
      <c r="AG94" s="601"/>
    </row>
    <row r="95" spans="1:33" s="214" customFormat="1" ht="13.15" customHeight="1" x14ac:dyDescent="0.2">
      <c r="A95" s="601"/>
      <c r="B95" s="86"/>
      <c r="C95" s="1058"/>
      <c r="D95" s="1079" t="s">
        <v>635</v>
      </c>
      <c r="E95" s="1058"/>
      <c r="F95" s="1535">
        <v>0</v>
      </c>
      <c r="G95" s="1059"/>
      <c r="H95" s="1523">
        <f>tab!I108</f>
        <v>191.82</v>
      </c>
      <c r="I95" s="1523">
        <f t="shared" si="11"/>
        <v>0</v>
      </c>
      <c r="J95" s="1146"/>
      <c r="K95" s="1523">
        <f t="shared" si="12"/>
        <v>0</v>
      </c>
      <c r="L95" s="1058"/>
      <c r="M95" s="517"/>
      <c r="N95" s="601"/>
      <c r="O95" s="601"/>
      <c r="P95" s="601"/>
      <c r="Q95" s="601"/>
      <c r="R95" s="601"/>
      <c r="S95" s="601"/>
      <c r="T95" s="601"/>
      <c r="U95" s="601"/>
      <c r="V95" s="601"/>
      <c r="W95" s="601"/>
      <c r="X95" s="601"/>
      <c r="Y95" s="601"/>
      <c r="Z95" s="601"/>
      <c r="AA95" s="601"/>
      <c r="AB95" s="601"/>
      <c r="AC95" s="601"/>
      <c r="AD95" s="601"/>
      <c r="AE95" s="601"/>
      <c r="AF95" s="601"/>
      <c r="AG95" s="601"/>
    </row>
    <row r="96" spans="1:33" s="214" customFormat="1" ht="13.15" customHeight="1" x14ac:dyDescent="0.2">
      <c r="A96" s="601"/>
      <c r="B96" s="86"/>
      <c r="C96" s="1058"/>
      <c r="D96" s="1079" t="s">
        <v>96</v>
      </c>
      <c r="E96" s="1058"/>
      <c r="F96" s="1535">
        <v>0</v>
      </c>
      <c r="G96" s="1059"/>
      <c r="H96" s="1523">
        <f>tab!I107</f>
        <v>0</v>
      </c>
      <c r="I96" s="1523">
        <f t="shared" si="11"/>
        <v>0</v>
      </c>
      <c r="J96" s="1146"/>
      <c r="K96" s="1523">
        <f t="shared" si="12"/>
        <v>0</v>
      </c>
      <c r="L96" s="1058"/>
      <c r="M96" s="517"/>
      <c r="N96" s="601"/>
      <c r="O96" s="601"/>
      <c r="P96" s="601"/>
      <c r="Q96" s="601"/>
      <c r="R96" s="601"/>
      <c r="S96" s="601"/>
      <c r="T96" s="601"/>
      <c r="U96" s="601"/>
      <c r="V96" s="601"/>
      <c r="W96" s="601"/>
      <c r="X96" s="601"/>
      <c r="Y96" s="601"/>
      <c r="Z96" s="601"/>
      <c r="AA96" s="601"/>
      <c r="AB96" s="601"/>
      <c r="AC96" s="601"/>
      <c r="AD96" s="601"/>
      <c r="AE96" s="601"/>
      <c r="AF96" s="601"/>
      <c r="AG96" s="601"/>
    </row>
    <row r="97" spans="1:33" s="214" customFormat="1" ht="13.15" customHeight="1" x14ac:dyDescent="0.2">
      <c r="A97" s="601"/>
      <c r="B97" s="86"/>
      <c r="C97" s="1058"/>
      <c r="D97" s="1075" t="s">
        <v>629</v>
      </c>
      <c r="E97" s="1058"/>
      <c r="F97" s="1127">
        <f>SUM(F92:F96)</f>
        <v>0</v>
      </c>
      <c r="G97" s="1142"/>
      <c r="H97" s="1142"/>
      <c r="I97" s="1513">
        <f>SUM(I92:I96)</f>
        <v>0</v>
      </c>
      <c r="J97" s="1147"/>
      <c r="K97" s="1513">
        <f>SUM(K92:K96)</f>
        <v>0</v>
      </c>
      <c r="L97" s="1058"/>
      <c r="M97" s="517"/>
      <c r="N97" s="601"/>
      <c r="O97" s="601"/>
      <c r="P97" s="601"/>
      <c r="Q97" s="601"/>
      <c r="R97" s="601"/>
      <c r="S97" s="601"/>
      <c r="T97" s="601"/>
      <c r="U97" s="601"/>
      <c r="V97" s="601"/>
      <c r="W97" s="601"/>
      <c r="X97" s="601"/>
      <c r="Y97" s="601"/>
      <c r="Z97" s="601"/>
      <c r="AA97" s="601"/>
      <c r="AB97" s="601"/>
      <c r="AC97" s="601"/>
      <c r="AD97" s="601"/>
      <c r="AE97" s="601"/>
      <c r="AF97" s="601"/>
      <c r="AG97" s="601"/>
    </row>
    <row r="98" spans="1:33" s="215" customFormat="1" ht="13.15" customHeight="1" x14ac:dyDescent="0.2">
      <c r="A98" s="532"/>
      <c r="B98" s="86"/>
      <c r="C98" s="1058"/>
      <c r="D98" s="1075"/>
      <c r="E98" s="1058"/>
      <c r="F98" s="1059"/>
      <c r="G98" s="1059"/>
      <c r="H98" s="1059"/>
      <c r="I98" s="1146"/>
      <c r="J98" s="1146"/>
      <c r="K98" s="1146"/>
      <c r="L98" s="1058"/>
      <c r="M98" s="517"/>
      <c r="N98" s="532"/>
      <c r="O98" s="532"/>
      <c r="P98" s="532"/>
      <c r="Q98" s="532"/>
      <c r="R98" s="532"/>
      <c r="S98" s="532"/>
      <c r="T98" s="532"/>
      <c r="U98" s="532"/>
      <c r="V98" s="532"/>
      <c r="W98" s="532"/>
      <c r="X98" s="532"/>
      <c r="Y98" s="532"/>
      <c r="Z98" s="532"/>
      <c r="AA98" s="532"/>
      <c r="AB98" s="532"/>
      <c r="AC98" s="532"/>
      <c r="AD98" s="532"/>
      <c r="AE98" s="532"/>
      <c r="AF98" s="532"/>
      <c r="AG98" s="532"/>
    </row>
    <row r="99" spans="1:33" s="214" customFormat="1" ht="13.15" customHeight="1" x14ac:dyDescent="0.2">
      <c r="A99" s="601"/>
      <c r="B99" s="86"/>
      <c r="C99" s="1058"/>
      <c r="D99" s="1000"/>
      <c r="E99" s="1058"/>
      <c r="F99" s="1082" t="s">
        <v>834</v>
      </c>
      <c r="G99" s="1059"/>
      <c r="H99" s="1059"/>
      <c r="I99" s="1059"/>
      <c r="J99" s="1059"/>
      <c r="K99" s="1059"/>
      <c r="L99" s="1058"/>
      <c r="M99" s="517"/>
      <c r="N99" s="601"/>
      <c r="O99" s="601"/>
      <c r="P99" s="601"/>
      <c r="Q99" s="601"/>
      <c r="R99" s="601"/>
      <c r="S99" s="601"/>
      <c r="T99" s="601"/>
      <c r="U99" s="601"/>
      <c r="V99" s="601"/>
      <c r="W99" s="601"/>
      <c r="X99" s="601"/>
      <c r="Y99" s="601"/>
      <c r="Z99" s="601"/>
      <c r="AA99" s="601"/>
      <c r="AB99" s="601"/>
      <c r="AC99" s="601"/>
      <c r="AD99" s="601"/>
      <c r="AE99" s="601"/>
      <c r="AF99" s="601"/>
      <c r="AG99" s="601"/>
    </row>
    <row r="100" spans="1:33" s="214" customFormat="1" ht="13.15" customHeight="1" x14ac:dyDescent="0.2">
      <c r="A100" s="601"/>
      <c r="B100" s="86"/>
      <c r="C100" s="1058"/>
      <c r="D100" s="1075" t="s">
        <v>835</v>
      </c>
      <c r="E100" s="1058"/>
      <c r="F100" s="1109">
        <f>+F89</f>
        <v>0</v>
      </c>
      <c r="G100" s="1109">
        <f>tab!C119</f>
        <v>180.37</v>
      </c>
      <c r="H100" s="1059"/>
      <c r="I100" s="1144">
        <f>+F100*G100</f>
        <v>0</v>
      </c>
      <c r="J100" s="1059"/>
      <c r="K100" s="1144">
        <f>SUM(I100:J100)</f>
        <v>0</v>
      </c>
      <c r="L100" s="1058"/>
      <c r="M100" s="517"/>
      <c r="N100" s="601"/>
      <c r="O100" s="601"/>
      <c r="P100" s="601"/>
      <c r="Q100" s="601"/>
      <c r="R100" s="601"/>
      <c r="S100" s="601"/>
      <c r="T100" s="601"/>
      <c r="U100" s="601"/>
      <c r="V100" s="601"/>
      <c r="W100" s="601"/>
      <c r="X100" s="601"/>
      <c r="Y100" s="601"/>
      <c r="Z100" s="601"/>
      <c r="AA100" s="601"/>
      <c r="AB100" s="601"/>
      <c r="AC100" s="601"/>
      <c r="AD100" s="601"/>
      <c r="AE100" s="601"/>
      <c r="AF100" s="601"/>
      <c r="AG100" s="601"/>
    </row>
    <row r="101" spans="1:33" s="214" customFormat="1" ht="13.15" customHeight="1" x14ac:dyDescent="0.2">
      <c r="A101" s="601"/>
      <c r="B101" s="86"/>
      <c r="C101" s="1058"/>
      <c r="D101" s="1058"/>
      <c r="E101" s="1058"/>
      <c r="F101" s="1059"/>
      <c r="G101" s="1059"/>
      <c r="H101" s="1059"/>
      <c r="I101" s="1059"/>
      <c r="J101" s="1059"/>
      <c r="K101" s="1059"/>
      <c r="L101" s="1058"/>
      <c r="M101" s="517"/>
      <c r="N101" s="601"/>
      <c r="O101" s="601"/>
      <c r="P101" s="601"/>
      <c r="Q101" s="601"/>
      <c r="R101" s="601"/>
      <c r="S101" s="601"/>
      <c r="T101" s="601"/>
      <c r="U101" s="601"/>
      <c r="V101" s="601"/>
      <c r="W101" s="601"/>
      <c r="X101" s="601"/>
      <c r="Y101" s="601"/>
      <c r="Z101" s="601"/>
      <c r="AA101" s="601"/>
      <c r="AB101" s="601"/>
      <c r="AC101" s="601"/>
      <c r="AD101" s="601"/>
      <c r="AE101" s="601"/>
      <c r="AF101" s="601"/>
      <c r="AG101" s="601"/>
    </row>
    <row r="102" spans="1:33" s="214" customFormat="1" ht="13.15" customHeight="1" x14ac:dyDescent="0.2">
      <c r="A102" s="601"/>
      <c r="B102" s="86"/>
      <c r="C102" s="1058"/>
      <c r="D102" s="1075" t="s">
        <v>836</v>
      </c>
      <c r="E102" s="1058"/>
      <c r="F102" s="1059"/>
      <c r="G102" s="1059"/>
      <c r="H102" s="1059"/>
      <c r="I102" s="1525">
        <f>+I89+I97+I100</f>
        <v>0</v>
      </c>
      <c r="J102" s="1525">
        <f>+J89</f>
        <v>0</v>
      </c>
      <c r="K102" s="1525">
        <f>+K89+K97+K100</f>
        <v>0</v>
      </c>
      <c r="L102" s="1058"/>
      <c r="M102" s="517"/>
      <c r="N102" s="601"/>
      <c r="O102" s="601"/>
      <c r="P102" s="601"/>
      <c r="Q102" s="601"/>
      <c r="R102" s="601"/>
      <c r="S102" s="601"/>
      <c r="T102" s="601"/>
      <c r="U102" s="601"/>
      <c r="V102" s="601"/>
      <c r="W102" s="601"/>
      <c r="X102" s="601"/>
      <c r="Y102" s="601"/>
      <c r="Z102" s="601"/>
      <c r="AA102" s="601"/>
      <c r="AB102" s="601"/>
      <c r="AC102" s="601"/>
      <c r="AD102" s="601"/>
      <c r="AE102" s="601"/>
      <c r="AF102" s="601"/>
      <c r="AG102" s="601"/>
    </row>
    <row r="103" spans="1:33" s="214" customFormat="1" ht="13.15" customHeight="1" x14ac:dyDescent="0.2">
      <c r="A103" s="601"/>
      <c r="B103" s="86"/>
      <c r="C103" s="1058"/>
      <c r="D103" s="1058"/>
      <c r="E103" s="1058"/>
      <c r="F103" s="1059"/>
      <c r="G103" s="1059"/>
      <c r="H103" s="1059"/>
      <c r="I103" s="1059"/>
      <c r="J103" s="1059"/>
      <c r="K103" s="1059"/>
      <c r="L103" s="1058"/>
      <c r="M103" s="517"/>
      <c r="N103" s="601"/>
      <c r="O103" s="601"/>
      <c r="P103" s="601"/>
      <c r="Q103" s="601"/>
      <c r="R103" s="601"/>
      <c r="S103" s="601"/>
      <c r="T103" s="601"/>
      <c r="U103" s="601"/>
      <c r="V103" s="601"/>
      <c r="W103" s="601"/>
      <c r="X103" s="601"/>
      <c r="Y103" s="601"/>
      <c r="Z103" s="601"/>
      <c r="AA103" s="601"/>
      <c r="AB103" s="601"/>
      <c r="AC103" s="601"/>
      <c r="AD103" s="601"/>
      <c r="AE103" s="601"/>
      <c r="AF103" s="601"/>
      <c r="AG103" s="601"/>
    </row>
    <row r="104" spans="1:33" s="215" customFormat="1" ht="13.15" customHeight="1" x14ac:dyDescent="0.2">
      <c r="A104" s="532"/>
      <c r="B104" s="86"/>
      <c r="C104" s="1058"/>
      <c r="D104" s="1075" t="s">
        <v>715</v>
      </c>
      <c r="E104" s="1058"/>
      <c r="F104" s="1059"/>
      <c r="G104" s="1059"/>
      <c r="H104" s="1059"/>
      <c r="I104" s="1513">
        <f>+I102</f>
        <v>0</v>
      </c>
      <c r="J104" s="1059"/>
      <c r="K104" s="1059"/>
      <c r="L104" s="1058"/>
      <c r="M104" s="517"/>
      <c r="N104" s="532"/>
      <c r="O104" s="532"/>
      <c r="P104" s="532"/>
      <c r="Q104" s="532"/>
      <c r="R104" s="532"/>
      <c r="S104" s="532"/>
      <c r="T104" s="532"/>
      <c r="U104" s="532"/>
      <c r="V104" s="532"/>
      <c r="W104" s="532"/>
      <c r="X104" s="532"/>
      <c r="Y104" s="532"/>
      <c r="Z104" s="532"/>
      <c r="AA104" s="532"/>
      <c r="AB104" s="532"/>
      <c r="AC104" s="532"/>
      <c r="AD104" s="532"/>
      <c r="AE104" s="532"/>
      <c r="AF104" s="532"/>
      <c r="AG104" s="532"/>
    </row>
    <row r="105" spans="1:33" s="214" customFormat="1" ht="13.15" customHeight="1" x14ac:dyDescent="0.2">
      <c r="A105" s="601"/>
      <c r="B105" s="86"/>
      <c r="C105" s="1058"/>
      <c r="D105" s="540" t="s">
        <v>1012</v>
      </c>
      <c r="E105" s="1058"/>
      <c r="F105" s="1512">
        <v>3.3149999999999999E-2</v>
      </c>
      <c r="G105" s="1059"/>
      <c r="H105" s="1059"/>
      <c r="I105" s="1513">
        <f>I104*(1+F105)</f>
        <v>0</v>
      </c>
      <c r="J105" s="1059"/>
      <c r="K105" s="1059"/>
      <c r="L105" s="1058"/>
      <c r="M105" s="517"/>
      <c r="N105" s="601"/>
      <c r="O105" s="601"/>
      <c r="P105" s="601"/>
      <c r="Q105" s="601"/>
      <c r="R105" s="601"/>
      <c r="S105" s="601"/>
      <c r="T105" s="601"/>
      <c r="U105" s="601"/>
      <c r="V105" s="601"/>
      <c r="W105" s="601"/>
      <c r="X105" s="601"/>
      <c r="Y105" s="601"/>
      <c r="Z105" s="601"/>
      <c r="AA105" s="601"/>
      <c r="AB105" s="601"/>
      <c r="AC105" s="601"/>
      <c r="AD105" s="601"/>
      <c r="AE105" s="601"/>
      <c r="AF105" s="601"/>
      <c r="AG105" s="601"/>
    </row>
    <row r="106" spans="1:33" s="214" customFormat="1" ht="13.15" customHeight="1" x14ac:dyDescent="0.2">
      <c r="A106" s="601"/>
      <c r="B106" s="86"/>
      <c r="C106" s="672"/>
      <c r="D106" s="672"/>
      <c r="E106" s="672"/>
      <c r="F106" s="673"/>
      <c r="G106" s="673"/>
      <c r="H106" s="673"/>
      <c r="I106" s="673"/>
      <c r="J106" s="673"/>
      <c r="K106" s="673"/>
      <c r="L106" s="672"/>
      <c r="M106" s="517"/>
      <c r="N106" s="601"/>
      <c r="O106" s="601"/>
      <c r="P106" s="601"/>
      <c r="Q106" s="601"/>
      <c r="R106" s="601"/>
      <c r="S106" s="601"/>
      <c r="T106" s="601"/>
      <c r="U106" s="601"/>
      <c r="V106" s="601"/>
      <c r="W106" s="601"/>
      <c r="X106" s="601"/>
      <c r="Y106" s="601"/>
      <c r="Z106" s="601"/>
      <c r="AA106" s="601"/>
      <c r="AB106" s="601"/>
      <c r="AC106" s="601"/>
      <c r="AD106" s="601"/>
      <c r="AE106" s="601"/>
      <c r="AF106" s="601"/>
      <c r="AG106" s="601"/>
    </row>
    <row r="107" spans="1:33" s="214" customFormat="1" ht="13.15" customHeight="1" x14ac:dyDescent="0.2">
      <c r="A107" s="601"/>
      <c r="B107" s="86"/>
      <c r="C107" s="801"/>
      <c r="D107" s="801"/>
      <c r="E107" s="801"/>
      <c r="F107" s="802"/>
      <c r="G107" s="802"/>
      <c r="H107" s="802"/>
      <c r="I107" s="802"/>
      <c r="J107" s="802"/>
      <c r="K107" s="802"/>
      <c r="L107" s="801"/>
      <c r="M107" s="517"/>
      <c r="N107" s="601"/>
      <c r="O107" s="601"/>
      <c r="P107" s="601"/>
      <c r="Q107" s="601"/>
      <c r="R107" s="601"/>
      <c r="S107" s="601"/>
      <c r="T107" s="601"/>
      <c r="U107" s="601"/>
      <c r="V107" s="601"/>
      <c r="W107" s="601"/>
      <c r="X107" s="601"/>
      <c r="Y107" s="601"/>
      <c r="Z107" s="601"/>
      <c r="AA107" s="601"/>
      <c r="AB107" s="601"/>
      <c r="AC107" s="601"/>
      <c r="AD107" s="601"/>
      <c r="AE107" s="601"/>
      <c r="AF107" s="601"/>
      <c r="AG107" s="601"/>
    </row>
    <row r="108" spans="1:33" s="214" customFormat="1" ht="13.15" customHeight="1" x14ac:dyDescent="0.2">
      <c r="A108" s="601"/>
      <c r="B108" s="96"/>
      <c r="C108" s="220"/>
      <c r="D108" s="797"/>
      <c r="E108" s="220"/>
      <c r="F108" s="221"/>
      <c r="G108" s="221"/>
      <c r="H108" s="221"/>
      <c r="I108" s="221"/>
      <c r="J108" s="221"/>
      <c r="K108" s="221"/>
      <c r="L108" s="442" t="s">
        <v>716</v>
      </c>
      <c r="M108" s="95"/>
      <c r="N108" s="601"/>
      <c r="O108" s="601"/>
      <c r="P108" s="601"/>
      <c r="Q108" s="601"/>
      <c r="R108" s="601"/>
      <c r="S108" s="601"/>
      <c r="T108" s="601"/>
      <c r="U108" s="601"/>
      <c r="V108" s="601"/>
      <c r="W108" s="601"/>
      <c r="X108" s="601"/>
      <c r="Y108" s="601"/>
      <c r="Z108" s="601"/>
      <c r="AA108" s="601"/>
      <c r="AB108" s="601"/>
      <c r="AC108" s="601"/>
      <c r="AD108" s="601"/>
      <c r="AE108" s="601"/>
      <c r="AF108" s="601"/>
      <c r="AG108" s="601"/>
    </row>
    <row r="109" spans="1:33" s="601" customFormat="1" ht="13.15" customHeight="1" x14ac:dyDescent="0.2"/>
    <row r="110" spans="1:33" s="601" customFormat="1" ht="13.15" customHeight="1" x14ac:dyDescent="0.2"/>
    <row r="111" spans="1:33" s="532" customFormat="1" ht="13.15" customHeight="1" x14ac:dyDescent="0.2"/>
    <row r="112" spans="1:33" s="601" customFormat="1" ht="13.15" customHeight="1" x14ac:dyDescent="0.2"/>
    <row r="113" s="601" customFormat="1" ht="13.15" customHeight="1" x14ac:dyDescent="0.2"/>
    <row r="114" s="601" customFormat="1" ht="13.15" customHeight="1" x14ac:dyDescent="0.2"/>
    <row r="115" s="601" customFormat="1" ht="13.15" customHeight="1" x14ac:dyDescent="0.2"/>
    <row r="116" s="601" customFormat="1" ht="13.15" customHeight="1" x14ac:dyDescent="0.2"/>
    <row r="117" s="532" customFormat="1" ht="13.15" customHeight="1" x14ac:dyDescent="0.2"/>
    <row r="118" s="601" customFormat="1" ht="13.15" customHeight="1" x14ac:dyDescent="0.2"/>
    <row r="119" s="601" customFormat="1" ht="13.15" customHeight="1" x14ac:dyDescent="0.2"/>
    <row r="120" s="601" customFormat="1" ht="13.15" customHeight="1" x14ac:dyDescent="0.2"/>
    <row r="121" s="601" customFormat="1" ht="13.15" customHeight="1" x14ac:dyDescent="0.2"/>
    <row r="122" s="601" customFormat="1" ht="13.15" customHeight="1" x14ac:dyDescent="0.2"/>
    <row r="123" s="532" customFormat="1" ht="13.15" customHeight="1" x14ac:dyDescent="0.2"/>
    <row r="124" s="601" customFormat="1" ht="13.15" customHeight="1" x14ac:dyDescent="0.2"/>
    <row r="125" s="601" customFormat="1" ht="13.15" customHeight="1" x14ac:dyDescent="0.2"/>
    <row r="126" s="601" customFormat="1" ht="13.15" customHeight="1" x14ac:dyDescent="0.2"/>
    <row r="127" s="601" customFormat="1" ht="13.15" customHeight="1" x14ac:dyDescent="0.2"/>
    <row r="128" s="601" customFormat="1" ht="13.15" customHeight="1" x14ac:dyDescent="0.2"/>
    <row r="129" s="532" customFormat="1" ht="13.15" customHeight="1" x14ac:dyDescent="0.2"/>
    <row r="130" s="601" customFormat="1" ht="13.15" customHeight="1" x14ac:dyDescent="0.2"/>
    <row r="131" s="601" customFormat="1" ht="13.15" customHeight="1" x14ac:dyDescent="0.2"/>
    <row r="132" s="601" customFormat="1" ht="13.15" customHeight="1" x14ac:dyDescent="0.2"/>
    <row r="133" s="601" customFormat="1" ht="13.15" customHeight="1" x14ac:dyDescent="0.2"/>
    <row r="134" s="601" customFormat="1" ht="13.15" customHeight="1" x14ac:dyDescent="0.2"/>
    <row r="135" s="601" customFormat="1" ht="13.15" customHeight="1" x14ac:dyDescent="0.2"/>
    <row r="136" s="601" customFormat="1" ht="13.15" customHeight="1" x14ac:dyDescent="0.2"/>
    <row r="137" s="601" customFormat="1" ht="13.15" customHeight="1" x14ac:dyDescent="0.2"/>
    <row r="138" s="601" customFormat="1" ht="13.15" customHeight="1" x14ac:dyDescent="0.2"/>
    <row r="139" s="601" customFormat="1" ht="13.15" customHeight="1" x14ac:dyDescent="0.2"/>
    <row r="140" s="601" customFormat="1" ht="13.15" customHeight="1" x14ac:dyDescent="0.2"/>
    <row r="141" s="601" customFormat="1" ht="13.15" customHeight="1" x14ac:dyDescent="0.2"/>
    <row r="142" s="601" customFormat="1" ht="13.15" customHeight="1" x14ac:dyDescent="0.2"/>
    <row r="143" s="601" customFormat="1" ht="13.15" customHeight="1" x14ac:dyDescent="0.2"/>
    <row r="144" s="601" customFormat="1" ht="13.15" customHeight="1" x14ac:dyDescent="0.2"/>
    <row r="145" s="601" customFormat="1" ht="13.15" customHeight="1" x14ac:dyDescent="0.2"/>
    <row r="146" s="601" customFormat="1" ht="13.15" customHeight="1" x14ac:dyDescent="0.2"/>
    <row r="147" s="601" customFormat="1" ht="13.15" customHeight="1" x14ac:dyDescent="0.2"/>
    <row r="148" s="601" customFormat="1" ht="13.15" customHeight="1" x14ac:dyDescent="0.2"/>
    <row r="149" s="601" customFormat="1" ht="13.15" customHeight="1" x14ac:dyDescent="0.2"/>
    <row r="150" s="601" customFormat="1" ht="13.15" customHeight="1" x14ac:dyDescent="0.2"/>
    <row r="151" s="601" customFormat="1" ht="13.15" customHeight="1" x14ac:dyDescent="0.2"/>
    <row r="152" s="601" customFormat="1" ht="13.15" customHeight="1" x14ac:dyDescent="0.2"/>
    <row r="153" s="601" customFormat="1" ht="13.15" customHeight="1" x14ac:dyDescent="0.2"/>
    <row r="154" s="601" customFormat="1" ht="13.15" customHeight="1" x14ac:dyDescent="0.2"/>
    <row r="155" s="601" customFormat="1" ht="13.15" customHeight="1" x14ac:dyDescent="0.2"/>
    <row r="156" s="601" customFormat="1" ht="13.15" customHeight="1" x14ac:dyDescent="0.2"/>
    <row r="157" s="601" customFormat="1" ht="13.15" customHeight="1" x14ac:dyDescent="0.2"/>
    <row r="158" s="601" customFormat="1" ht="13.15" customHeight="1" x14ac:dyDescent="0.2"/>
    <row r="159" s="523" customFormat="1" ht="13.15" customHeight="1" x14ac:dyDescent="0.2"/>
    <row r="160" s="523" customFormat="1" ht="13.15" customHeight="1" x14ac:dyDescent="0.2"/>
    <row r="161" s="523" customFormat="1" ht="13.15" customHeight="1" x14ac:dyDescent="0.2"/>
    <row r="162" s="523" customFormat="1" ht="13.15" customHeight="1" x14ac:dyDescent="0.2"/>
    <row r="163" s="523" customFormat="1" ht="13.15" customHeight="1" x14ac:dyDescent="0.2"/>
    <row r="164" s="523" customFormat="1" ht="13.15" customHeight="1" x14ac:dyDescent="0.2"/>
    <row r="165" s="523" customFormat="1" ht="13.15" customHeight="1" x14ac:dyDescent="0.2"/>
    <row r="166" s="523" customFormat="1" ht="13.15" customHeight="1" x14ac:dyDescent="0.2"/>
    <row r="167" s="523" customFormat="1" ht="13.15" customHeight="1" x14ac:dyDescent="0.2"/>
    <row r="168" s="523" customFormat="1" ht="13.15" customHeight="1" x14ac:dyDescent="0.2"/>
    <row r="169" s="523" customFormat="1" ht="13.15" customHeight="1" x14ac:dyDescent="0.2"/>
    <row r="170" s="523" customFormat="1" ht="13.15" customHeight="1" x14ac:dyDescent="0.2"/>
    <row r="171" s="523" customFormat="1" ht="13.15" customHeight="1" x14ac:dyDescent="0.2"/>
    <row r="172" s="523" customFormat="1" ht="13.15" customHeight="1" x14ac:dyDescent="0.2"/>
    <row r="173" s="523" customFormat="1" ht="13.15" customHeight="1" x14ac:dyDescent="0.2"/>
    <row r="174" s="523" customFormat="1" ht="13.15" customHeight="1" x14ac:dyDescent="0.2"/>
    <row r="175" s="523" customFormat="1" ht="13.15" customHeight="1" x14ac:dyDescent="0.2"/>
    <row r="176" s="523" customFormat="1" ht="13.15" customHeight="1" x14ac:dyDescent="0.2"/>
    <row r="177" s="523" customFormat="1" ht="13.15" customHeight="1" x14ac:dyDescent="0.2"/>
    <row r="178" s="523" customFormat="1" ht="13.15" customHeight="1" x14ac:dyDescent="0.2"/>
    <row r="179" s="523" customFormat="1" ht="13.15" customHeight="1" x14ac:dyDescent="0.2"/>
    <row r="180" s="523" customFormat="1" ht="13.15" customHeight="1" x14ac:dyDescent="0.2"/>
    <row r="181" s="523" customFormat="1" ht="13.15" customHeight="1" x14ac:dyDescent="0.2"/>
    <row r="182" s="523" customFormat="1" ht="13.15" customHeight="1" x14ac:dyDescent="0.2"/>
    <row r="183" s="523" customFormat="1" ht="13.15" customHeight="1" x14ac:dyDescent="0.2"/>
    <row r="184" s="523" customFormat="1" ht="13.15" customHeight="1" x14ac:dyDescent="0.2"/>
    <row r="185" s="523" customFormat="1" ht="13.15" customHeight="1" x14ac:dyDescent="0.2"/>
    <row r="186" s="523" customFormat="1" ht="13.15" customHeight="1" x14ac:dyDescent="0.2"/>
    <row r="187" s="523" customFormat="1" ht="13.15" customHeight="1" x14ac:dyDescent="0.2"/>
    <row r="188" s="523" customFormat="1" ht="13.15" customHeight="1" x14ac:dyDescent="0.2"/>
    <row r="189" s="523" customFormat="1" ht="13.15" customHeight="1" x14ac:dyDescent="0.2"/>
    <row r="190" s="523" customFormat="1" ht="13.15" customHeight="1" x14ac:dyDescent="0.2"/>
    <row r="191" s="523" customFormat="1" ht="13.15" customHeight="1" x14ac:dyDescent="0.2"/>
    <row r="192" s="523" customFormat="1" ht="13.15" customHeight="1" x14ac:dyDescent="0.2"/>
    <row r="193" s="523" customFormat="1" ht="13.15" customHeight="1" x14ac:dyDescent="0.2"/>
    <row r="194" s="523" customFormat="1" ht="13.15" customHeight="1" x14ac:dyDescent="0.2"/>
    <row r="195" s="523" customFormat="1" ht="13.15" customHeight="1" x14ac:dyDescent="0.2"/>
    <row r="196" s="523" customFormat="1" ht="13.15" customHeight="1" x14ac:dyDescent="0.2"/>
    <row r="197" s="523" customFormat="1" ht="13.15" customHeight="1" x14ac:dyDescent="0.2"/>
    <row r="198" s="523" customFormat="1" ht="13.15" customHeight="1" x14ac:dyDescent="0.2"/>
    <row r="199" s="523" customFormat="1" ht="13.15" customHeight="1" x14ac:dyDescent="0.2"/>
    <row r="200" s="523" customFormat="1" ht="13.15" customHeight="1" x14ac:dyDescent="0.2"/>
    <row r="201" s="523" customFormat="1" ht="13.15" customHeight="1" x14ac:dyDescent="0.2"/>
    <row r="202" s="523" customFormat="1" ht="13.15" customHeight="1" x14ac:dyDescent="0.2"/>
    <row r="203" s="523" customFormat="1" ht="13.15" customHeight="1" x14ac:dyDescent="0.2"/>
    <row r="204" s="523" customFormat="1" ht="13.15" customHeight="1" x14ac:dyDescent="0.2"/>
    <row r="205" s="523" customFormat="1" ht="13.15" customHeight="1" x14ac:dyDescent="0.2"/>
    <row r="206" s="523" customFormat="1" ht="13.15" customHeight="1" x14ac:dyDescent="0.2"/>
    <row r="207" s="523" customFormat="1" ht="13.15" customHeight="1" x14ac:dyDescent="0.2"/>
    <row r="208" s="523" customFormat="1" ht="13.15" customHeight="1" x14ac:dyDescent="0.2"/>
    <row r="209" s="523" customFormat="1" ht="13.15" customHeight="1" x14ac:dyDescent="0.2"/>
    <row r="210" s="523" customFormat="1" ht="13.15" customHeight="1" x14ac:dyDescent="0.2"/>
    <row r="211" s="523" customFormat="1" ht="13.15" customHeight="1" x14ac:dyDescent="0.2"/>
    <row r="212" s="523" customFormat="1" ht="13.15" customHeight="1" x14ac:dyDescent="0.2"/>
    <row r="213" s="523" customFormat="1" ht="13.15" customHeight="1" x14ac:dyDescent="0.2"/>
    <row r="214" s="523" customFormat="1" ht="13.15" customHeight="1" x14ac:dyDescent="0.2"/>
    <row r="215" s="523" customFormat="1" ht="13.15" customHeight="1" x14ac:dyDescent="0.2"/>
    <row r="216" s="523" customFormat="1" ht="13.15" customHeight="1" x14ac:dyDescent="0.2"/>
    <row r="217" s="523" customFormat="1" ht="13.15" customHeight="1" x14ac:dyDescent="0.2"/>
    <row r="218" s="523" customFormat="1" ht="13.15" customHeight="1" x14ac:dyDescent="0.2"/>
    <row r="219" s="523" customFormat="1" ht="13.15" customHeight="1" x14ac:dyDescent="0.2"/>
    <row r="220" s="523" customFormat="1" ht="13.15" customHeight="1" x14ac:dyDescent="0.2"/>
    <row r="221" s="523" customFormat="1" ht="13.15" customHeight="1" x14ac:dyDescent="0.2"/>
    <row r="222" s="523" customFormat="1" ht="13.15" customHeight="1" x14ac:dyDescent="0.2"/>
    <row r="223" s="523" customFormat="1" ht="13.15" customHeight="1" x14ac:dyDescent="0.2"/>
    <row r="224" s="523" customFormat="1" ht="13.15" customHeight="1" x14ac:dyDescent="0.2"/>
    <row r="225" s="523" customFormat="1" ht="13.15" customHeight="1" x14ac:dyDescent="0.2"/>
    <row r="226" s="523" customFormat="1" ht="13.15" customHeight="1" x14ac:dyDescent="0.2"/>
    <row r="227" s="523" customFormat="1" ht="13.15" customHeight="1" x14ac:dyDescent="0.2"/>
    <row r="228" s="523" customFormat="1" ht="13.15" customHeight="1" x14ac:dyDescent="0.2"/>
    <row r="229" s="523" customFormat="1" ht="13.15" customHeight="1" x14ac:dyDescent="0.2"/>
    <row r="230" s="523" customFormat="1" ht="13.15" customHeight="1" x14ac:dyDescent="0.2"/>
    <row r="231" s="523" customFormat="1" ht="13.15" customHeight="1" x14ac:dyDescent="0.2"/>
    <row r="232" s="523" customFormat="1" ht="13.15" customHeight="1" x14ac:dyDescent="0.2"/>
    <row r="233" s="523" customFormat="1" ht="13.15" customHeight="1" x14ac:dyDescent="0.2"/>
    <row r="234" s="523" customFormat="1" ht="13.15" customHeight="1" x14ac:dyDescent="0.2"/>
    <row r="235" s="523" customFormat="1" ht="13.15" customHeight="1" x14ac:dyDescent="0.2"/>
    <row r="236" s="523" customFormat="1" ht="13.15" customHeight="1" x14ac:dyDescent="0.2"/>
    <row r="237" s="523" customFormat="1" ht="13.15" customHeight="1" x14ac:dyDescent="0.2"/>
    <row r="238" s="523" customFormat="1" ht="13.15" customHeight="1" x14ac:dyDescent="0.2"/>
    <row r="239" s="523" customFormat="1" ht="13.15" customHeight="1" x14ac:dyDescent="0.2"/>
    <row r="240" s="523" customFormat="1" ht="13.15" customHeight="1" x14ac:dyDescent="0.2"/>
    <row r="241" s="523" customFormat="1" ht="13.15" customHeight="1" x14ac:dyDescent="0.2"/>
    <row r="242" s="523" customFormat="1" ht="13.15" customHeight="1" x14ac:dyDescent="0.2"/>
    <row r="243" s="523" customFormat="1" ht="13.15" customHeight="1" x14ac:dyDescent="0.2"/>
    <row r="244" s="523" customFormat="1" ht="13.15" customHeight="1" x14ac:dyDescent="0.2"/>
    <row r="245" s="523" customFormat="1" ht="13.15" customHeight="1" x14ac:dyDescent="0.2"/>
    <row r="246" s="523" customFormat="1" ht="13.15" customHeight="1" x14ac:dyDescent="0.2"/>
    <row r="247" s="523" customFormat="1" ht="13.15" customHeight="1" x14ac:dyDescent="0.2"/>
    <row r="248" s="523" customFormat="1" ht="13.15" customHeight="1" x14ac:dyDescent="0.2"/>
    <row r="249" s="523" customFormat="1" ht="13.15" customHeight="1" x14ac:dyDescent="0.2"/>
    <row r="250" s="523" customFormat="1" ht="13.15" customHeight="1" x14ac:dyDescent="0.2"/>
    <row r="251" s="523" customFormat="1" ht="13.15" customHeight="1" x14ac:dyDescent="0.2"/>
    <row r="252" s="523" customFormat="1" ht="13.15" customHeight="1" x14ac:dyDescent="0.2"/>
    <row r="253" s="523" customFormat="1" ht="13.15" customHeight="1" x14ac:dyDescent="0.2"/>
    <row r="254" s="523" customFormat="1" ht="13.15" customHeight="1" x14ac:dyDescent="0.2"/>
    <row r="255" s="523" customFormat="1" ht="13.15" customHeight="1" x14ac:dyDescent="0.2"/>
    <row r="256" s="523" customFormat="1" ht="13.15" customHeight="1" x14ac:dyDescent="0.2"/>
    <row r="257" s="523" customFormat="1" ht="13.15" customHeight="1" x14ac:dyDescent="0.2"/>
    <row r="258" s="523" customFormat="1" ht="13.15" customHeight="1" x14ac:dyDescent="0.2"/>
    <row r="259" s="523" customFormat="1" ht="13.15" customHeight="1" x14ac:dyDescent="0.2"/>
    <row r="260" s="523" customFormat="1" ht="13.15" customHeight="1" x14ac:dyDescent="0.2"/>
    <row r="261" s="523" customFormat="1" ht="13.15" customHeight="1" x14ac:dyDescent="0.2"/>
    <row r="262" s="523" customFormat="1" ht="13.15" customHeight="1" x14ac:dyDescent="0.2"/>
    <row r="263" s="523" customFormat="1" ht="13.15" customHeight="1" x14ac:dyDescent="0.2"/>
    <row r="264" s="523" customFormat="1" ht="13.15" customHeight="1" x14ac:dyDescent="0.2"/>
    <row r="265" s="523" customFormat="1" ht="13.15" customHeight="1" x14ac:dyDescent="0.2"/>
    <row r="266" s="523" customFormat="1" ht="13.15" customHeight="1" x14ac:dyDescent="0.2"/>
    <row r="267" s="523" customFormat="1" ht="13.15" customHeight="1" x14ac:dyDescent="0.2"/>
    <row r="268" s="523" customFormat="1" ht="13.15" customHeight="1" x14ac:dyDescent="0.2"/>
    <row r="269" s="523" customFormat="1" ht="13.15" customHeight="1" x14ac:dyDescent="0.2"/>
    <row r="270" s="523" customFormat="1" ht="13.15" customHeight="1" x14ac:dyDescent="0.2"/>
    <row r="271" s="523" customFormat="1" ht="13.15" customHeight="1" x14ac:dyDescent="0.2"/>
    <row r="272" s="523" customFormat="1" ht="13.15" customHeight="1" x14ac:dyDescent="0.2"/>
    <row r="273" s="523" customFormat="1" ht="13.15" customHeight="1" x14ac:dyDescent="0.2"/>
    <row r="274" s="523" customFormat="1" ht="13.15" customHeight="1" x14ac:dyDescent="0.2"/>
    <row r="275" s="523" customFormat="1" ht="13.15" customHeight="1" x14ac:dyDescent="0.2"/>
    <row r="276" s="523" customFormat="1" ht="13.15" customHeight="1" x14ac:dyDescent="0.2"/>
    <row r="277" s="523" customFormat="1" ht="13.15" customHeight="1" x14ac:dyDescent="0.2"/>
    <row r="278" s="523" customFormat="1" ht="13.15" customHeight="1" x14ac:dyDescent="0.2"/>
    <row r="279" s="523" customFormat="1" ht="13.15" customHeight="1" x14ac:dyDescent="0.2"/>
    <row r="280" s="523" customFormat="1" ht="13.15" customHeight="1" x14ac:dyDescent="0.2"/>
    <row r="281" s="523" customFormat="1" ht="13.15" customHeight="1" x14ac:dyDescent="0.2"/>
    <row r="282" s="523" customFormat="1" ht="13.15" customHeight="1" x14ac:dyDescent="0.2"/>
    <row r="283" s="523" customFormat="1" ht="13.15" customHeight="1" x14ac:dyDescent="0.2"/>
    <row r="284" s="523" customFormat="1" ht="13.15" customHeight="1" x14ac:dyDescent="0.2"/>
    <row r="285" s="523" customFormat="1" ht="13.15" customHeight="1" x14ac:dyDescent="0.2"/>
    <row r="286" s="523" customFormat="1" ht="13.15" customHeight="1" x14ac:dyDescent="0.2"/>
    <row r="287" s="523" customFormat="1" ht="13.15" customHeight="1" x14ac:dyDescent="0.2"/>
    <row r="288" s="523" customFormat="1" ht="13.15" customHeight="1" x14ac:dyDescent="0.2"/>
    <row r="289" s="523" customFormat="1" ht="13.15" customHeight="1" x14ac:dyDescent="0.2"/>
    <row r="290" s="523" customFormat="1" ht="13.15" customHeight="1" x14ac:dyDescent="0.2"/>
    <row r="291" s="523" customFormat="1" ht="13.15" customHeight="1" x14ac:dyDescent="0.2"/>
    <row r="292" s="523" customFormat="1" ht="13.15" customHeight="1" x14ac:dyDescent="0.2"/>
    <row r="293" s="523" customFormat="1" ht="13.15" customHeight="1" x14ac:dyDescent="0.2"/>
    <row r="294" s="523" customFormat="1" ht="13.15" customHeight="1" x14ac:dyDescent="0.2"/>
  </sheetData>
  <sheetProtection algorithmName="SHA-512" hashValue="iLzGgGp+b078pUuivhobF2wloiAcpn5wacqiC6VeVGOIl/lrVArX2tlo/956+qwXjJ1AWpJ6Ppy+CEF80xrJyw==" saltValue="Lcs6tRmnEMq8yojocpekGg==" spinCount="100000" sheet="1" objects="1" scenarios="1"/>
  <phoneticPr fontId="77" type="noConversion"/>
  <hyperlinks>
    <hyperlink ref="L108" r:id="rId1"/>
  </hyperlinks>
  <pageMargins left="0.74803149606299213" right="0.74803149606299213" top="0.98425196850393704" bottom="0.98425196850393704" header="0.51181102362204722" footer="0.51181102362204722"/>
  <pageSetup paperSize="9" scale="53" orientation="portrait" r:id="rId2"/>
  <headerFooter alignWithMargins="0">
    <oddHeader>&amp;L&amp;"Arial,Vet"&amp;F&amp;R&amp;"Arial,Vet"&amp;A</oddHeader>
    <oddFooter>&amp;L&amp;"Arial,Vet"keizer / goedhart&amp;C&amp;"Arial,Vet"pagina &amp;P&amp;R&amp;"Arial,Vet"&amp;D</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267"/>
  <sheetViews>
    <sheetView showGridLines="0" zoomScale="85" zoomScaleNormal="85" zoomScaleSheetLayoutView="70" workbookViewId="0">
      <pane ySplit="9" topLeftCell="A10" activePane="bottomLeft" state="frozen"/>
      <selection activeCell="A5" sqref="A5:XFD5"/>
      <selection pane="bottomLeft" activeCell="K135" sqref="K135"/>
    </sheetView>
  </sheetViews>
  <sheetFormatPr defaultColWidth="9.140625" defaultRowHeight="13.15" customHeight="1" x14ac:dyDescent="0.2"/>
  <cols>
    <col min="1" max="1" width="3.7109375" style="523" customWidth="1"/>
    <col min="2" max="3" width="2.7109375" style="196" customWidth="1"/>
    <col min="4" max="4" width="45.7109375" style="196" customWidth="1"/>
    <col min="5" max="5" width="0.85546875" style="196" customWidth="1"/>
    <col min="6" max="6" width="8.7109375" style="201" customWidth="1"/>
    <col min="7" max="7" width="2.7109375" style="196" customWidth="1"/>
    <col min="8" max="8" width="12.85546875" style="201" hidden="1" customWidth="1"/>
    <col min="9" max="15" width="12.85546875" style="201" customWidth="1"/>
    <col min="16" max="17" width="2.7109375" style="196" customWidth="1"/>
    <col min="18" max="18" width="2.7109375" style="523" customWidth="1"/>
    <col min="19" max="23" width="14.85546875" style="523" customWidth="1"/>
    <col min="24" max="68" width="9.140625" style="523"/>
    <col min="69" max="16384" width="9.140625" style="196"/>
  </cols>
  <sheetData>
    <row r="1" spans="1:68" s="523" customFormat="1" ht="13.15" customHeight="1" x14ac:dyDescent="0.2">
      <c r="F1" s="524"/>
      <c r="H1" s="524"/>
      <c r="I1" s="524"/>
      <c r="J1" s="524"/>
      <c r="K1" s="524"/>
      <c r="L1" s="524"/>
      <c r="M1" s="524"/>
      <c r="N1" s="524"/>
      <c r="O1" s="524"/>
    </row>
    <row r="2" spans="1:68" ht="13.15" customHeight="1" x14ac:dyDescent="0.2">
      <c r="B2" s="82"/>
      <c r="C2" s="24"/>
      <c r="D2" s="24"/>
      <c r="E2" s="24"/>
      <c r="F2" s="202"/>
      <c r="G2" s="24"/>
      <c r="H2" s="202"/>
      <c r="I2" s="202"/>
      <c r="J2" s="202"/>
      <c r="K2" s="202"/>
      <c r="L2" s="202"/>
      <c r="M2" s="202"/>
      <c r="N2" s="459"/>
      <c r="O2" s="459"/>
      <c r="P2" s="24"/>
      <c r="Q2" s="25"/>
      <c r="R2" s="820"/>
    </row>
    <row r="3" spans="1:68" ht="13.15" customHeight="1" x14ac:dyDescent="0.2">
      <c r="B3" s="26"/>
      <c r="C3" s="27"/>
      <c r="D3" s="28"/>
      <c r="E3" s="27"/>
      <c r="F3" s="29"/>
      <c r="G3" s="27"/>
      <c r="H3" s="29"/>
      <c r="I3" s="29"/>
      <c r="J3" s="29"/>
      <c r="K3" s="29"/>
      <c r="L3" s="29"/>
      <c r="M3" s="29"/>
      <c r="N3" s="29"/>
      <c r="O3" s="29"/>
      <c r="P3" s="27"/>
      <c r="Q3" s="30"/>
    </row>
    <row r="4" spans="1:68" s="198" customFormat="1" ht="18" customHeight="1" x14ac:dyDescent="0.3">
      <c r="A4" s="655"/>
      <c r="B4" s="203"/>
      <c r="C4" s="204" t="s">
        <v>57</v>
      </c>
      <c r="D4" s="204"/>
      <c r="E4" s="204"/>
      <c r="F4" s="205"/>
      <c r="G4" s="204"/>
      <c r="H4" s="205"/>
      <c r="I4" s="205"/>
      <c r="J4" s="205"/>
      <c r="K4" s="205"/>
      <c r="L4" s="205"/>
      <c r="M4" s="205"/>
      <c r="N4" s="205"/>
      <c r="O4" s="205"/>
      <c r="P4" s="204"/>
      <c r="Q4" s="206"/>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c r="AT4" s="655"/>
      <c r="AU4" s="655"/>
      <c r="AV4" s="655"/>
      <c r="AW4" s="655"/>
      <c r="AX4" s="655"/>
      <c r="AY4" s="655"/>
      <c r="AZ4" s="655"/>
      <c r="BA4" s="655"/>
      <c r="BB4" s="655"/>
      <c r="BC4" s="655"/>
      <c r="BD4" s="655"/>
      <c r="BE4" s="655"/>
      <c r="BF4" s="655"/>
      <c r="BG4" s="655"/>
      <c r="BH4" s="655"/>
      <c r="BI4" s="655"/>
      <c r="BJ4" s="655"/>
      <c r="BK4" s="655"/>
      <c r="BL4" s="655"/>
      <c r="BM4" s="655"/>
      <c r="BN4" s="655"/>
      <c r="BO4" s="655"/>
      <c r="BP4" s="655"/>
    </row>
    <row r="5" spans="1:68" s="743" customFormat="1" ht="16.899999999999999" customHeight="1" x14ac:dyDescent="0.25">
      <c r="A5" s="761"/>
      <c r="B5" s="258"/>
      <c r="C5" s="741" t="str">
        <f>'geg LO'!G8</f>
        <v>SWV PO Passend Onderwijs</v>
      </c>
      <c r="D5" s="259"/>
      <c r="E5" s="259"/>
      <c r="F5" s="742"/>
      <c r="G5" s="259"/>
      <c r="H5" s="742"/>
      <c r="I5" s="742"/>
      <c r="J5" s="742"/>
      <c r="K5" s="742"/>
      <c r="L5" s="742"/>
      <c r="M5" s="742"/>
      <c r="N5" s="742"/>
      <c r="O5" s="742"/>
      <c r="P5" s="259"/>
      <c r="Q5" s="269"/>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c r="AT5" s="761"/>
      <c r="AU5" s="761"/>
      <c r="AV5" s="761"/>
      <c r="AW5" s="761"/>
      <c r="AX5" s="761"/>
      <c r="AY5" s="761"/>
      <c r="AZ5" s="761"/>
      <c r="BA5" s="761"/>
      <c r="BB5" s="761"/>
      <c r="BC5" s="761"/>
      <c r="BD5" s="761"/>
      <c r="BE5" s="761"/>
      <c r="BF5" s="761"/>
      <c r="BG5" s="761"/>
      <c r="BH5" s="761"/>
      <c r="BI5" s="761"/>
      <c r="BJ5" s="761"/>
      <c r="BK5" s="761"/>
      <c r="BL5" s="761"/>
      <c r="BM5" s="761"/>
      <c r="BN5" s="761"/>
      <c r="BO5" s="761"/>
      <c r="BP5" s="761"/>
    </row>
    <row r="6" spans="1:68" ht="13.15" customHeight="1" x14ac:dyDescent="0.2">
      <c r="B6" s="26"/>
      <c r="C6" s="27"/>
      <c r="D6" s="28"/>
      <c r="E6" s="27"/>
      <c r="F6" s="29"/>
      <c r="G6" s="27"/>
      <c r="H6" s="29"/>
      <c r="I6" s="29"/>
      <c r="J6" s="29"/>
      <c r="K6" s="29"/>
      <c r="L6" s="29"/>
      <c r="M6" s="29"/>
      <c r="N6" s="29"/>
      <c r="O6" s="29"/>
      <c r="P6" s="27"/>
      <c r="Q6" s="30"/>
    </row>
    <row r="7" spans="1:68" ht="13.15" customHeight="1" x14ac:dyDescent="0.2">
      <c r="B7" s="26"/>
      <c r="C7" s="27"/>
      <c r="D7" s="28"/>
      <c r="E7" s="27"/>
      <c r="F7" s="29"/>
      <c r="G7" s="27"/>
      <c r="H7" s="29"/>
      <c r="I7" s="29"/>
      <c r="J7" s="29"/>
      <c r="K7" s="29"/>
      <c r="L7" s="29"/>
      <c r="M7" s="29"/>
      <c r="N7" s="29"/>
      <c r="O7" s="29"/>
      <c r="P7" s="27"/>
      <c r="Q7" s="30"/>
    </row>
    <row r="8" spans="1:68" s="225" customFormat="1" ht="13.15" customHeight="1" x14ac:dyDescent="0.2">
      <c r="A8" s="607"/>
      <c r="B8" s="226"/>
      <c r="C8" s="227"/>
      <c r="D8" s="658" t="s">
        <v>255</v>
      </c>
      <c r="E8" s="659"/>
      <c r="F8" s="702"/>
      <c r="G8" s="659"/>
      <c r="H8" s="660" t="e">
        <f>tab!#REF!</f>
        <v>#REF!</v>
      </c>
      <c r="I8" s="660" t="str">
        <f>tab!C2</f>
        <v>2015/16</v>
      </c>
      <c r="J8" s="660" t="str">
        <f>tab!D2</f>
        <v>2016/17</v>
      </c>
      <c r="K8" s="660" t="str">
        <f>tab!E2</f>
        <v>2017/18</v>
      </c>
      <c r="L8" s="660" t="str">
        <f>tab!F2</f>
        <v>2018/19</v>
      </c>
      <c r="M8" s="660" t="str">
        <f>tab!G2</f>
        <v>2019/20</v>
      </c>
      <c r="N8" s="660" t="str">
        <f>tab!H2</f>
        <v>2020/21</v>
      </c>
      <c r="O8" s="660" t="str">
        <f>tab!I2</f>
        <v>2021/22</v>
      </c>
      <c r="P8" s="227"/>
      <c r="Q8" s="228"/>
      <c r="R8" s="607"/>
      <c r="S8" s="607"/>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7"/>
      <c r="AU8" s="607"/>
      <c r="AV8" s="607"/>
      <c r="AW8" s="607"/>
      <c r="AX8" s="607"/>
      <c r="AY8" s="607"/>
      <c r="AZ8" s="607"/>
      <c r="BA8" s="607"/>
      <c r="BB8" s="607"/>
      <c r="BC8" s="607"/>
      <c r="BD8" s="607"/>
      <c r="BE8" s="607"/>
      <c r="BF8" s="607"/>
      <c r="BG8" s="607"/>
      <c r="BH8" s="607"/>
      <c r="BI8" s="607"/>
      <c r="BJ8" s="607"/>
      <c r="BK8" s="607"/>
      <c r="BL8" s="607"/>
      <c r="BM8" s="607"/>
      <c r="BN8" s="607"/>
      <c r="BO8" s="607"/>
      <c r="BP8" s="607"/>
    </row>
    <row r="9" spans="1:68" ht="13.15" customHeight="1" x14ac:dyDescent="0.2">
      <c r="B9" s="26"/>
      <c r="C9" s="27"/>
      <c r="D9" s="793"/>
      <c r="E9" s="659"/>
      <c r="F9" s="702"/>
      <c r="G9" s="659"/>
      <c r="H9" s="659"/>
      <c r="I9" s="659"/>
      <c r="J9" s="659"/>
      <c r="K9" s="659"/>
      <c r="L9" s="659"/>
      <c r="M9" s="659"/>
      <c r="N9" s="659"/>
      <c r="O9" s="659"/>
      <c r="P9" s="27"/>
      <c r="Q9" s="30"/>
    </row>
    <row r="10" spans="1:68" ht="13.15" customHeight="1" x14ac:dyDescent="0.2">
      <c r="B10" s="26"/>
      <c r="C10" s="1037"/>
      <c r="D10" s="1049"/>
      <c r="E10" s="1083"/>
      <c r="F10" s="1143"/>
      <c r="G10" s="1083"/>
      <c r="H10" s="1143"/>
      <c r="I10" s="1143"/>
      <c r="J10" s="1143"/>
      <c r="K10" s="1143"/>
      <c r="L10" s="1143"/>
      <c r="M10" s="1143"/>
      <c r="N10" s="1143"/>
      <c r="O10" s="1143"/>
      <c r="P10" s="1037"/>
      <c r="Q10" s="539"/>
    </row>
    <row r="11" spans="1:68" ht="13.15" customHeight="1" x14ac:dyDescent="0.2">
      <c r="B11" s="26"/>
      <c r="C11" s="1037"/>
      <c r="D11" s="1049" t="s">
        <v>53</v>
      </c>
      <c r="E11" s="1083"/>
      <c r="F11" s="1143"/>
      <c r="G11" s="1083"/>
      <c r="H11" s="1143"/>
      <c r="I11" s="1143"/>
      <c r="J11" s="1143"/>
      <c r="K11" s="1143"/>
      <c r="L11" s="1143"/>
      <c r="M11" s="1143"/>
      <c r="N11" s="1143"/>
      <c r="O11" s="1143"/>
      <c r="P11" s="1037"/>
      <c r="Q11" s="539"/>
    </row>
    <row r="12" spans="1:68" ht="13.15" customHeight="1" x14ac:dyDescent="0.2">
      <c r="B12" s="26"/>
      <c r="C12" s="1037"/>
      <c r="D12" s="1038"/>
      <c r="E12" s="1037"/>
      <c r="F12" s="1039"/>
      <c r="G12" s="1037"/>
      <c r="H12" s="1039"/>
      <c r="I12" s="1039"/>
      <c r="J12" s="1039"/>
      <c r="K12" s="1039"/>
      <c r="L12" s="1039"/>
      <c r="M12" s="1039"/>
      <c r="N12" s="1039"/>
      <c r="O12" s="1039"/>
      <c r="P12" s="1037"/>
      <c r="Q12" s="539"/>
    </row>
    <row r="13" spans="1:68" ht="13.15" customHeight="1" x14ac:dyDescent="0.2">
      <c r="B13" s="26"/>
      <c r="C13" s="1037"/>
      <c r="D13" s="1075" t="s">
        <v>106</v>
      </c>
      <c r="E13" s="1037"/>
      <c r="F13" s="1039"/>
      <c r="G13" s="1037"/>
      <c r="H13" s="1039"/>
      <c r="I13" s="1039"/>
      <c r="J13" s="1039"/>
      <c r="K13" s="1039"/>
      <c r="L13" s="1039"/>
      <c r="M13" s="1039"/>
      <c r="N13" s="1039"/>
      <c r="O13" s="1039"/>
      <c r="P13" s="1037"/>
      <c r="Q13" s="539"/>
    </row>
    <row r="14" spans="1:68" ht="13.15" customHeight="1" x14ac:dyDescent="0.2">
      <c r="B14" s="26"/>
      <c r="C14" s="1037"/>
      <c r="D14" s="1056" t="s">
        <v>384</v>
      </c>
      <c r="E14" s="1037"/>
      <c r="F14" s="1039"/>
      <c r="G14" s="1037"/>
      <c r="H14" s="1039"/>
      <c r="I14" s="1039"/>
      <c r="J14" s="1039"/>
      <c r="K14" s="1039"/>
      <c r="L14" s="1039"/>
      <c r="M14" s="1039"/>
      <c r="N14" s="1039"/>
      <c r="O14" s="1039"/>
      <c r="P14" s="1037"/>
      <c r="Q14" s="539"/>
    </row>
    <row r="15" spans="1:68" ht="13.15" customHeight="1" x14ac:dyDescent="0.2">
      <c r="B15" s="26"/>
      <c r="C15" s="1037"/>
      <c r="D15" s="1037" t="s">
        <v>654</v>
      </c>
      <c r="E15" s="1037"/>
      <c r="F15" s="1039"/>
      <c r="G15" s="1037"/>
      <c r="H15" s="1346" t="e">
        <f>ROUND(+'geg LO'!F17*tab!#REF!,2)</f>
        <v>#REF!</v>
      </c>
      <c r="I15" s="1346">
        <f>ROUND(+'geg LO'!G17*tab!$C$38,2)</f>
        <v>0</v>
      </c>
      <c r="J15" s="1346">
        <f>ROUND(+'geg LO'!H17*tab!$C$38,2)</f>
        <v>0</v>
      </c>
      <c r="K15" s="1346">
        <f>ROUND(+'geg LO'!I17*tab!$C$38,2)</f>
        <v>0</v>
      </c>
      <c r="L15" s="1346">
        <f>ROUND(+'geg LO'!J17*tab!$C$38,2)</f>
        <v>0</v>
      </c>
      <c r="M15" s="1346">
        <f>ROUND(+'geg LO'!K17*tab!$C$38,2)</f>
        <v>0</v>
      </c>
      <c r="N15" s="1346">
        <f>ROUND(+'geg LO'!L17*tab!$C$38,2)</f>
        <v>0</v>
      </c>
      <c r="O15" s="1346">
        <f>ROUND(+'geg LO'!M17*tab!$C$38,2)</f>
        <v>0</v>
      </c>
      <c r="P15" s="1037"/>
      <c r="Q15" s="539"/>
    </row>
    <row r="16" spans="1:68" ht="13.15" customHeight="1" x14ac:dyDescent="0.2">
      <c r="B16" s="26"/>
      <c r="C16" s="1037"/>
      <c r="D16" s="1037" t="s">
        <v>388</v>
      </c>
      <c r="E16" s="1037"/>
      <c r="F16" s="1039"/>
      <c r="G16" s="1037"/>
      <c r="H16" s="1346" t="e">
        <f>IF('geg LO'!F18&gt;tab!#REF!,'geg LO'!F18*tab!#REF!,0)</f>
        <v>#REF!</v>
      </c>
      <c r="I16" s="1346">
        <f>'geg LO'!G18*tab!$C60</f>
        <v>0</v>
      </c>
      <c r="J16" s="1346">
        <f>'geg LO'!H18*tab!$C60</f>
        <v>0</v>
      </c>
      <c r="K16" s="1346">
        <f>'geg LO'!I18*tab!$C60</f>
        <v>0</v>
      </c>
      <c r="L16" s="1346">
        <f>'geg LO'!J18*tab!$C60</f>
        <v>0</v>
      </c>
      <c r="M16" s="1346">
        <f>'geg LO'!K18*tab!$C60</f>
        <v>0</v>
      </c>
      <c r="N16" s="1346">
        <f>'geg LO'!L18*tab!$C60</f>
        <v>0</v>
      </c>
      <c r="O16" s="1346">
        <f>'geg LO'!M18*tab!$C60</f>
        <v>0</v>
      </c>
      <c r="P16" s="1037"/>
      <c r="Q16" s="539"/>
    </row>
    <row r="17" spans="2:17" ht="13.15" customHeight="1" x14ac:dyDescent="0.2">
      <c r="B17" s="26"/>
      <c r="C17" s="1037"/>
      <c r="D17" s="1038"/>
      <c r="E17" s="1037"/>
      <c r="F17" s="1039"/>
      <c r="G17" s="1037"/>
      <c r="H17" s="1274" t="e">
        <f t="shared" ref="H17:N17" si="0">SUM(H15:H16)</f>
        <v>#REF!</v>
      </c>
      <c r="I17" s="1274">
        <f t="shared" si="0"/>
        <v>0</v>
      </c>
      <c r="J17" s="1274">
        <f t="shared" si="0"/>
        <v>0</v>
      </c>
      <c r="K17" s="1274">
        <f t="shared" si="0"/>
        <v>0</v>
      </c>
      <c r="L17" s="1274">
        <f t="shared" si="0"/>
        <v>0</v>
      </c>
      <c r="M17" s="1274">
        <f t="shared" si="0"/>
        <v>0</v>
      </c>
      <c r="N17" s="1274">
        <f t="shared" si="0"/>
        <v>0</v>
      </c>
      <c r="O17" s="1274">
        <f t="shared" ref="O17" si="1">SUM(O15:O16)</f>
        <v>0</v>
      </c>
      <c r="P17" s="1037"/>
      <c r="Q17" s="539"/>
    </row>
    <row r="18" spans="2:17" ht="13.15" customHeight="1" x14ac:dyDescent="0.2">
      <c r="B18" s="26"/>
      <c r="C18" s="1037"/>
      <c r="D18" s="1056" t="s">
        <v>995</v>
      </c>
      <c r="E18" s="1037"/>
      <c r="F18" s="1039"/>
      <c r="G18" s="1037"/>
      <c r="H18" s="1250"/>
      <c r="I18" s="1039"/>
      <c r="J18" s="1039"/>
      <c r="K18" s="1039"/>
      <c r="L18" s="1039"/>
      <c r="M18" s="1039"/>
      <c r="N18" s="1039"/>
      <c r="O18" s="1039"/>
      <c r="P18" s="1037"/>
      <c r="Q18" s="539"/>
    </row>
    <row r="19" spans="2:17" ht="13.15" customHeight="1" x14ac:dyDescent="0.2">
      <c r="B19" s="26"/>
      <c r="C19" s="1037"/>
      <c r="D19" s="1252"/>
      <c r="E19" s="1037"/>
      <c r="F19" s="1039"/>
      <c r="G19" s="1037"/>
      <c r="H19" s="1253">
        <v>0</v>
      </c>
      <c r="I19" s="1253">
        <f t="shared" ref="I19:L23" si="2">H19</f>
        <v>0</v>
      </c>
      <c r="J19" s="1253">
        <f t="shared" si="2"/>
        <v>0</v>
      </c>
      <c r="K19" s="1253">
        <f t="shared" si="2"/>
        <v>0</v>
      </c>
      <c r="L19" s="1253">
        <f t="shared" si="2"/>
        <v>0</v>
      </c>
      <c r="M19" s="1253">
        <f t="shared" ref="M19:O23" si="3">L19</f>
        <v>0</v>
      </c>
      <c r="N19" s="1253">
        <f t="shared" si="3"/>
        <v>0</v>
      </c>
      <c r="O19" s="1253">
        <f t="shared" si="3"/>
        <v>0</v>
      </c>
      <c r="P19" s="1037"/>
      <c r="Q19" s="539"/>
    </row>
    <row r="20" spans="2:17" ht="13.15" customHeight="1" x14ac:dyDescent="0.2">
      <c r="B20" s="26"/>
      <c r="C20" s="1037"/>
      <c r="D20" s="1252"/>
      <c r="E20" s="1037"/>
      <c r="F20" s="1039"/>
      <c r="G20" s="1037"/>
      <c r="H20" s="1253">
        <v>0</v>
      </c>
      <c r="I20" s="1253">
        <f t="shared" si="2"/>
        <v>0</v>
      </c>
      <c r="J20" s="1253">
        <f t="shared" si="2"/>
        <v>0</v>
      </c>
      <c r="K20" s="1253">
        <f t="shared" si="2"/>
        <v>0</v>
      </c>
      <c r="L20" s="1253">
        <f t="shared" si="2"/>
        <v>0</v>
      </c>
      <c r="M20" s="1253">
        <f t="shared" si="3"/>
        <v>0</v>
      </c>
      <c r="N20" s="1253">
        <f t="shared" si="3"/>
        <v>0</v>
      </c>
      <c r="O20" s="1253">
        <f t="shared" si="3"/>
        <v>0</v>
      </c>
      <c r="P20" s="1037"/>
      <c r="Q20" s="539"/>
    </row>
    <row r="21" spans="2:17" ht="13.15" customHeight="1" x14ac:dyDescent="0.2">
      <c r="B21" s="26"/>
      <c r="C21" s="1037"/>
      <c r="D21" s="1252"/>
      <c r="E21" s="1037"/>
      <c r="F21" s="1039"/>
      <c r="G21" s="1037"/>
      <c r="H21" s="1253">
        <v>0</v>
      </c>
      <c r="I21" s="1253">
        <f t="shared" si="2"/>
        <v>0</v>
      </c>
      <c r="J21" s="1253">
        <f t="shared" si="2"/>
        <v>0</v>
      </c>
      <c r="K21" s="1253">
        <f t="shared" si="2"/>
        <v>0</v>
      </c>
      <c r="L21" s="1253">
        <f t="shared" si="2"/>
        <v>0</v>
      </c>
      <c r="M21" s="1253">
        <f t="shared" si="3"/>
        <v>0</v>
      </c>
      <c r="N21" s="1253">
        <f t="shared" si="3"/>
        <v>0</v>
      </c>
      <c r="O21" s="1253">
        <f t="shared" si="3"/>
        <v>0</v>
      </c>
      <c r="P21" s="1037"/>
      <c r="Q21" s="539"/>
    </row>
    <row r="22" spans="2:17" ht="13.15" customHeight="1" x14ac:dyDescent="0.2">
      <c r="B22" s="26"/>
      <c r="C22" s="1037"/>
      <c r="D22" s="1252"/>
      <c r="E22" s="1037"/>
      <c r="F22" s="1039"/>
      <c r="G22" s="1037"/>
      <c r="H22" s="1253">
        <v>0</v>
      </c>
      <c r="I22" s="1253">
        <f t="shared" si="2"/>
        <v>0</v>
      </c>
      <c r="J22" s="1253">
        <f t="shared" si="2"/>
        <v>0</v>
      </c>
      <c r="K22" s="1253">
        <f t="shared" si="2"/>
        <v>0</v>
      </c>
      <c r="L22" s="1253">
        <f t="shared" si="2"/>
        <v>0</v>
      </c>
      <c r="M22" s="1253">
        <f t="shared" si="3"/>
        <v>0</v>
      </c>
      <c r="N22" s="1253">
        <f t="shared" si="3"/>
        <v>0</v>
      </c>
      <c r="O22" s="1253">
        <f t="shared" si="3"/>
        <v>0</v>
      </c>
      <c r="P22" s="1037"/>
      <c r="Q22" s="539"/>
    </row>
    <row r="23" spans="2:17" ht="13.15" customHeight="1" x14ac:dyDescent="0.2">
      <c r="B23" s="26"/>
      <c r="C23" s="1037"/>
      <c r="D23" s="1252"/>
      <c r="E23" s="1037"/>
      <c r="F23" s="1039"/>
      <c r="G23" s="1037"/>
      <c r="H23" s="1253">
        <v>0</v>
      </c>
      <c r="I23" s="1253">
        <f t="shared" si="2"/>
        <v>0</v>
      </c>
      <c r="J23" s="1253">
        <f t="shared" si="2"/>
        <v>0</v>
      </c>
      <c r="K23" s="1253">
        <f t="shared" si="2"/>
        <v>0</v>
      </c>
      <c r="L23" s="1253">
        <f>K23</f>
        <v>0</v>
      </c>
      <c r="M23" s="1253">
        <f t="shared" si="3"/>
        <v>0</v>
      </c>
      <c r="N23" s="1253">
        <f t="shared" si="3"/>
        <v>0</v>
      </c>
      <c r="O23" s="1253">
        <f t="shared" si="3"/>
        <v>0</v>
      </c>
      <c r="P23" s="1037"/>
      <c r="Q23" s="539"/>
    </row>
    <row r="24" spans="2:17" ht="13.15" customHeight="1" x14ac:dyDescent="0.2">
      <c r="B24" s="26"/>
      <c r="C24" s="1037"/>
      <c r="D24" s="1038"/>
      <c r="E24" s="1037"/>
      <c r="F24" s="1039"/>
      <c r="G24" s="1037"/>
      <c r="H24" s="1274">
        <f t="shared" ref="H24:N24" si="4">SUM(H19:H23)</f>
        <v>0</v>
      </c>
      <c r="I24" s="1274">
        <f t="shared" si="4"/>
        <v>0</v>
      </c>
      <c r="J24" s="1274">
        <f t="shared" si="4"/>
        <v>0</v>
      </c>
      <c r="K24" s="1274">
        <f t="shared" si="4"/>
        <v>0</v>
      </c>
      <c r="L24" s="1274">
        <f t="shared" si="4"/>
        <v>0</v>
      </c>
      <c r="M24" s="1274">
        <f t="shared" si="4"/>
        <v>0</v>
      </c>
      <c r="N24" s="1274">
        <f t="shared" si="4"/>
        <v>0</v>
      </c>
      <c r="O24" s="1274">
        <f t="shared" ref="O24" si="5">SUM(O19:O23)</f>
        <v>0</v>
      </c>
      <c r="P24" s="1037"/>
      <c r="Q24" s="539"/>
    </row>
    <row r="25" spans="2:17" ht="13.15" customHeight="1" x14ac:dyDescent="0.2">
      <c r="B25" s="26"/>
      <c r="C25" s="1037"/>
      <c r="D25" s="1038"/>
      <c r="E25" s="1037"/>
      <c r="F25" s="1039"/>
      <c r="G25" s="1037"/>
      <c r="H25" s="1250"/>
      <c r="I25" s="1039"/>
      <c r="J25" s="1039"/>
      <c r="K25" s="1039"/>
      <c r="L25" s="1039"/>
      <c r="M25" s="1039"/>
      <c r="N25" s="1039"/>
      <c r="O25" s="1039"/>
      <c r="P25" s="1037"/>
      <c r="Q25" s="539"/>
    </row>
    <row r="26" spans="2:17" ht="13.15" customHeight="1" x14ac:dyDescent="0.2">
      <c r="B26" s="26"/>
      <c r="C26" s="1037"/>
      <c r="D26" s="1075"/>
      <c r="E26" s="1037"/>
      <c r="F26" s="1039"/>
      <c r="G26" s="1037"/>
      <c r="H26" s="1255" t="e">
        <f t="shared" ref="H26:N26" si="6">H17+H24</f>
        <v>#REF!</v>
      </c>
      <c r="I26" s="1255">
        <f t="shared" si="6"/>
        <v>0</v>
      </c>
      <c r="J26" s="1255">
        <f t="shared" si="6"/>
        <v>0</v>
      </c>
      <c r="K26" s="1255">
        <f t="shared" si="6"/>
        <v>0</v>
      </c>
      <c r="L26" s="1255">
        <f t="shared" si="6"/>
        <v>0</v>
      </c>
      <c r="M26" s="1255">
        <f t="shared" si="6"/>
        <v>0</v>
      </c>
      <c r="N26" s="1255">
        <f t="shared" si="6"/>
        <v>0</v>
      </c>
      <c r="O26" s="1255">
        <f t="shared" ref="O26" si="7">O17+O24</f>
        <v>0</v>
      </c>
      <c r="P26" s="1037"/>
      <c r="Q26" s="539"/>
    </row>
    <row r="27" spans="2:17" ht="13.15" customHeight="1" x14ac:dyDescent="0.2">
      <c r="B27" s="26"/>
      <c r="C27" s="1037"/>
      <c r="D27" s="1038"/>
      <c r="E27" s="1037"/>
      <c r="F27" s="1039"/>
      <c r="G27" s="1037"/>
      <c r="H27" s="1250"/>
      <c r="I27" s="1039"/>
      <c r="J27" s="1039"/>
      <c r="K27" s="1039"/>
      <c r="L27" s="1039"/>
      <c r="M27" s="1039"/>
      <c r="N27" s="1039"/>
      <c r="O27" s="1039"/>
      <c r="P27" s="1037"/>
      <c r="Q27" s="539"/>
    </row>
    <row r="28" spans="2:17" ht="13.15" customHeight="1" x14ac:dyDescent="0.2">
      <c r="B28" s="26"/>
      <c r="C28" s="1000"/>
      <c r="D28" s="1075"/>
      <c r="E28" s="1000"/>
      <c r="F28" s="1076"/>
      <c r="G28" s="1000"/>
      <c r="H28" s="1256"/>
      <c r="I28" s="1076"/>
      <c r="J28" s="1076"/>
      <c r="K28" s="1076"/>
      <c r="L28" s="1076"/>
      <c r="M28" s="1076"/>
      <c r="N28" s="1076"/>
      <c r="O28" s="1076"/>
      <c r="P28" s="1000"/>
      <c r="Q28" s="539"/>
    </row>
    <row r="29" spans="2:17" ht="13.15" customHeight="1" x14ac:dyDescent="0.2">
      <c r="B29" s="26"/>
      <c r="C29" s="1000"/>
      <c r="D29" s="1075" t="s">
        <v>107</v>
      </c>
      <c r="E29" s="1000"/>
      <c r="F29" s="1076"/>
      <c r="G29" s="1000"/>
      <c r="H29" s="1256"/>
      <c r="I29" s="1076"/>
      <c r="J29" s="1076"/>
      <c r="K29" s="1076"/>
      <c r="L29" s="1076"/>
      <c r="M29" s="1076"/>
      <c r="N29" s="1076"/>
      <c r="O29" s="1076"/>
      <c r="P29" s="1000"/>
      <c r="Q29" s="539"/>
    </row>
    <row r="30" spans="2:17" ht="13.15" customHeight="1" x14ac:dyDescent="0.2">
      <c r="B30" s="26"/>
      <c r="C30" s="1000"/>
      <c r="D30" s="1056" t="s">
        <v>384</v>
      </c>
      <c r="E30" s="1000"/>
      <c r="F30" s="1076"/>
      <c r="G30" s="1000"/>
      <c r="H30" s="1256"/>
      <c r="I30" s="1076"/>
      <c r="J30" s="1076"/>
      <c r="K30" s="1076"/>
      <c r="L30" s="1076"/>
      <c r="M30" s="1076"/>
      <c r="N30" s="1076"/>
      <c r="O30" s="1076"/>
      <c r="P30" s="1000"/>
      <c r="Q30" s="539"/>
    </row>
    <row r="31" spans="2:17" ht="13.15" customHeight="1" x14ac:dyDescent="0.2">
      <c r="B31" s="26"/>
      <c r="C31" s="1000"/>
      <c r="D31" s="1037" t="s">
        <v>655</v>
      </c>
      <c r="E31" s="1000"/>
      <c r="F31" s="1076"/>
      <c r="G31" s="1000"/>
      <c r="H31" s="1256"/>
      <c r="I31" s="1295">
        <f>ROUND('geg ZO'!I24*tab!C66,2)</f>
        <v>0</v>
      </c>
      <c r="J31" s="1295">
        <f>ROUND('geg ZO'!J24*tab!D66,2)</f>
        <v>0</v>
      </c>
      <c r="K31" s="1295">
        <f>ROUND('geg ZO'!K24*tab!E66,2)</f>
        <v>0</v>
      </c>
      <c r="L31" s="1295">
        <f>ROUND('geg ZO'!L24*tab!F66,2)</f>
        <v>0</v>
      </c>
      <c r="M31" s="1295">
        <f>ROUND('geg ZO'!M24*tab!$G66,2)</f>
        <v>0</v>
      </c>
      <c r="N31" s="1295">
        <f>ROUND('geg ZO'!N24*tab!$G66,2)</f>
        <v>0</v>
      </c>
      <c r="O31" s="1295">
        <f>ROUND('geg ZO'!O24*tab!$G66,2)</f>
        <v>0</v>
      </c>
      <c r="P31" s="1000"/>
      <c r="Q31" s="539"/>
    </row>
    <row r="32" spans="2:17" ht="13.15" customHeight="1" x14ac:dyDescent="0.2">
      <c r="B32" s="26"/>
      <c r="C32" s="1000"/>
      <c r="D32" s="1000" t="s">
        <v>850</v>
      </c>
      <c r="E32" s="1000"/>
      <c r="F32" s="1076"/>
      <c r="G32" s="1000"/>
      <c r="H32" s="1256"/>
      <c r="I32" s="1295">
        <f>+'overdr SO'!J16</f>
        <v>0</v>
      </c>
      <c r="J32" s="1295">
        <f>+'overdr SO'!K16</f>
        <v>0</v>
      </c>
      <c r="K32" s="1295">
        <f>+'overdr SO'!L16</f>
        <v>0</v>
      </c>
      <c r="L32" s="1295">
        <f>+'overdr SO'!M16</f>
        <v>0</v>
      </c>
      <c r="M32" s="1295">
        <f>+'overdr SO'!N16</f>
        <v>0</v>
      </c>
      <c r="N32" s="1295">
        <f>+'overdr SO'!O16</f>
        <v>0</v>
      </c>
      <c r="O32" s="1295">
        <f>+'overdr SO'!P16</f>
        <v>0</v>
      </c>
      <c r="P32" s="1000"/>
      <c r="Q32" s="539"/>
    </row>
    <row r="33" spans="2:20" ht="13.15" customHeight="1" x14ac:dyDescent="0.2">
      <c r="B33" s="26"/>
      <c r="C33" s="1000"/>
      <c r="D33" s="1000" t="s">
        <v>851</v>
      </c>
      <c r="E33" s="1000"/>
      <c r="F33" s="1076"/>
      <c r="G33" s="1000"/>
      <c r="H33" s="1256"/>
      <c r="I33" s="1295">
        <f>'peild SO'!H15-I32</f>
        <v>0</v>
      </c>
      <c r="J33" s="1295">
        <f>'peild SO'!I15-J32</f>
        <v>0</v>
      </c>
      <c r="K33" s="1295">
        <f>'peild SO'!J15-K32</f>
        <v>0</v>
      </c>
      <c r="L33" s="1295">
        <f>'peild SO'!K15-L32</f>
        <v>0</v>
      </c>
      <c r="M33" s="1295">
        <f>'peild SO'!L15-M32</f>
        <v>0</v>
      </c>
      <c r="N33" s="1295">
        <f>'peild SO'!M15-N32</f>
        <v>0</v>
      </c>
      <c r="O33" s="1295">
        <f>'peild SO'!N15-O32</f>
        <v>0</v>
      </c>
      <c r="P33" s="1000"/>
      <c r="Q33" s="539"/>
    </row>
    <row r="34" spans="2:20" ht="13.15" customHeight="1" x14ac:dyDescent="0.2">
      <c r="B34" s="26"/>
      <c r="C34" s="1000"/>
      <c r="D34" s="1000"/>
      <c r="E34" s="1000"/>
      <c r="F34" s="1076"/>
      <c r="G34" s="1000"/>
      <c r="H34" s="1299"/>
      <c r="I34" s="1056"/>
      <c r="J34" s="1056"/>
      <c r="K34" s="1056"/>
      <c r="L34" s="1056"/>
      <c r="M34" s="1056"/>
      <c r="N34" s="1056"/>
      <c r="O34" s="1056"/>
      <c r="P34" s="1000"/>
      <c r="Q34" s="539"/>
    </row>
    <row r="35" spans="2:20" ht="13.15" customHeight="1" x14ac:dyDescent="0.2">
      <c r="B35" s="26"/>
      <c r="C35" s="1000"/>
      <c r="D35" s="1056" t="s">
        <v>995</v>
      </c>
      <c r="E35" s="1000"/>
      <c r="F35" s="1076"/>
      <c r="G35" s="1000"/>
      <c r="H35" s="1256"/>
      <c r="I35" s="1076"/>
      <c r="J35" s="1076"/>
      <c r="K35" s="1076"/>
      <c r="L35" s="1076"/>
      <c r="M35" s="1076"/>
      <c r="N35" s="1076"/>
      <c r="O35" s="1076"/>
      <c r="P35" s="1000"/>
      <c r="Q35" s="539"/>
      <c r="S35" s="822"/>
      <c r="T35" s="822"/>
    </row>
    <row r="36" spans="2:20" ht="13.15" customHeight="1" x14ac:dyDescent="0.2">
      <c r="B36" s="26"/>
      <c r="C36" s="1000"/>
      <c r="D36" s="1000" t="s">
        <v>24</v>
      </c>
      <c r="E36" s="1000"/>
      <c r="F36" s="1076"/>
      <c r="G36" s="1000"/>
      <c r="H36" s="1249">
        <v>0</v>
      </c>
      <c r="I36" s="1249">
        <f>+tab!C81</f>
        <v>0</v>
      </c>
      <c r="J36" s="1249">
        <f>+tab!D81</f>
        <v>0</v>
      </c>
      <c r="K36" s="1249">
        <f>+tab!E81</f>
        <v>0</v>
      </c>
      <c r="L36" s="1249">
        <f>+tab!F81</f>
        <v>0</v>
      </c>
      <c r="M36" s="1249">
        <f>+tab!G81</f>
        <v>0</v>
      </c>
      <c r="N36" s="1249">
        <f>+tab!H81</f>
        <v>0</v>
      </c>
      <c r="O36" s="1249">
        <v>0</v>
      </c>
      <c r="P36" s="1000"/>
      <c r="Q36" s="539"/>
      <c r="S36" s="823"/>
      <c r="T36" s="823"/>
    </row>
    <row r="37" spans="2:20" ht="13.15" customHeight="1" x14ac:dyDescent="0.2">
      <c r="B37" s="26"/>
      <c r="C37" s="1000"/>
      <c r="D37" s="1260"/>
      <c r="E37" s="1000"/>
      <c r="F37" s="1076"/>
      <c r="G37" s="1000"/>
      <c r="H37" s="1262">
        <v>0</v>
      </c>
      <c r="I37" s="1262">
        <f t="shared" ref="I37:L40" si="8">H37</f>
        <v>0</v>
      </c>
      <c r="J37" s="1262">
        <f t="shared" si="8"/>
        <v>0</v>
      </c>
      <c r="K37" s="1262">
        <f t="shared" si="8"/>
        <v>0</v>
      </c>
      <c r="L37" s="1262">
        <f t="shared" si="8"/>
        <v>0</v>
      </c>
      <c r="M37" s="1262">
        <f t="shared" ref="M37:O40" si="9">L37</f>
        <v>0</v>
      </c>
      <c r="N37" s="1262">
        <f t="shared" si="9"/>
        <v>0</v>
      </c>
      <c r="O37" s="1262">
        <f t="shared" si="9"/>
        <v>0</v>
      </c>
      <c r="P37" s="1000"/>
      <c r="Q37" s="539"/>
    </row>
    <row r="38" spans="2:20" ht="13.15" customHeight="1" x14ac:dyDescent="0.2">
      <c r="B38" s="26"/>
      <c r="C38" s="1000"/>
      <c r="D38" s="1260"/>
      <c r="E38" s="1000"/>
      <c r="F38" s="1076"/>
      <c r="G38" s="1000"/>
      <c r="H38" s="1262">
        <v>0</v>
      </c>
      <c r="I38" s="1262">
        <f t="shared" si="8"/>
        <v>0</v>
      </c>
      <c r="J38" s="1262">
        <f t="shared" si="8"/>
        <v>0</v>
      </c>
      <c r="K38" s="1262">
        <f t="shared" si="8"/>
        <v>0</v>
      </c>
      <c r="L38" s="1262">
        <f t="shared" si="8"/>
        <v>0</v>
      </c>
      <c r="M38" s="1262">
        <f t="shared" si="9"/>
        <v>0</v>
      </c>
      <c r="N38" s="1262">
        <f t="shared" si="9"/>
        <v>0</v>
      </c>
      <c r="O38" s="1262">
        <f t="shared" si="9"/>
        <v>0</v>
      </c>
      <c r="P38" s="1000"/>
      <c r="Q38" s="539"/>
    </row>
    <row r="39" spans="2:20" ht="13.15" customHeight="1" x14ac:dyDescent="0.2">
      <c r="B39" s="26"/>
      <c r="C39" s="1000"/>
      <c r="D39" s="1260"/>
      <c r="E39" s="1000"/>
      <c r="F39" s="1076"/>
      <c r="G39" s="1000"/>
      <c r="H39" s="1262">
        <v>0</v>
      </c>
      <c r="I39" s="1262">
        <f t="shared" si="8"/>
        <v>0</v>
      </c>
      <c r="J39" s="1262">
        <f t="shared" si="8"/>
        <v>0</v>
      </c>
      <c r="K39" s="1262">
        <f t="shared" si="8"/>
        <v>0</v>
      </c>
      <c r="L39" s="1262">
        <f t="shared" si="8"/>
        <v>0</v>
      </c>
      <c r="M39" s="1262">
        <f t="shared" si="9"/>
        <v>0</v>
      </c>
      <c r="N39" s="1262">
        <f t="shared" si="9"/>
        <v>0</v>
      </c>
      <c r="O39" s="1262">
        <f t="shared" si="9"/>
        <v>0</v>
      </c>
      <c r="P39" s="1000"/>
      <c r="Q39" s="539"/>
    </row>
    <row r="40" spans="2:20" ht="13.15" customHeight="1" x14ac:dyDescent="0.2">
      <c r="B40" s="26"/>
      <c r="C40" s="1000"/>
      <c r="D40" s="1260"/>
      <c r="E40" s="1000"/>
      <c r="F40" s="1076"/>
      <c r="G40" s="1000"/>
      <c r="H40" s="1262">
        <v>0</v>
      </c>
      <c r="I40" s="1262">
        <f t="shared" si="8"/>
        <v>0</v>
      </c>
      <c r="J40" s="1262">
        <f t="shared" si="8"/>
        <v>0</v>
      </c>
      <c r="K40" s="1262">
        <f t="shared" si="8"/>
        <v>0</v>
      </c>
      <c r="L40" s="1262">
        <f>K40</f>
        <v>0</v>
      </c>
      <c r="M40" s="1262">
        <f t="shared" si="9"/>
        <v>0</v>
      </c>
      <c r="N40" s="1262">
        <f t="shared" si="9"/>
        <v>0</v>
      </c>
      <c r="O40" s="1262">
        <f t="shared" si="9"/>
        <v>0</v>
      </c>
      <c r="P40" s="1000"/>
      <c r="Q40" s="539"/>
    </row>
    <row r="41" spans="2:20" ht="13.15" customHeight="1" x14ac:dyDescent="0.2">
      <c r="B41" s="26"/>
      <c r="C41" s="1000"/>
      <c r="D41" s="1075"/>
      <c r="E41" s="1000"/>
      <c r="F41" s="1076"/>
      <c r="G41" s="1000"/>
      <c r="H41" s="1274">
        <f t="shared" ref="H41:N41" si="10">SUM(H36:H40)</f>
        <v>0</v>
      </c>
      <c r="I41" s="1274">
        <f t="shared" si="10"/>
        <v>0</v>
      </c>
      <c r="J41" s="1274">
        <f t="shared" si="10"/>
        <v>0</v>
      </c>
      <c r="K41" s="1274">
        <f t="shared" si="10"/>
        <v>0</v>
      </c>
      <c r="L41" s="1274">
        <f t="shared" si="10"/>
        <v>0</v>
      </c>
      <c r="M41" s="1274">
        <f t="shared" si="10"/>
        <v>0</v>
      </c>
      <c r="N41" s="1274">
        <f t="shared" si="10"/>
        <v>0</v>
      </c>
      <c r="O41" s="1274">
        <f t="shared" ref="O41" si="11">SUM(O36:O40)</f>
        <v>0</v>
      </c>
      <c r="P41" s="1000"/>
      <c r="Q41" s="539"/>
    </row>
    <row r="42" spans="2:20" ht="13.15" customHeight="1" x14ac:dyDescent="0.2">
      <c r="B42" s="26"/>
      <c r="C42" s="1000"/>
      <c r="D42" s="1075"/>
      <c r="E42" s="1000"/>
      <c r="F42" s="1076"/>
      <c r="G42" s="1000"/>
      <c r="H42" s="1256"/>
      <c r="I42" s="1076"/>
      <c r="J42" s="1076"/>
      <c r="K42" s="1076"/>
      <c r="L42" s="1076"/>
      <c r="M42" s="1076"/>
      <c r="N42" s="1076"/>
      <c r="O42" s="1076"/>
      <c r="P42" s="1000"/>
      <c r="Q42" s="539"/>
    </row>
    <row r="43" spans="2:20" ht="13.15" customHeight="1" x14ac:dyDescent="0.2">
      <c r="B43" s="26"/>
      <c r="C43" s="1000"/>
      <c r="D43" s="1075"/>
      <c r="E43" s="1000"/>
      <c r="F43" s="1076"/>
      <c r="G43" s="1000"/>
      <c r="H43" s="1255" t="e">
        <f>#REF!+H41</f>
        <v>#REF!</v>
      </c>
      <c r="I43" s="1255">
        <f t="shared" ref="I43:O43" si="12">I31+I32+I33+I41</f>
        <v>0</v>
      </c>
      <c r="J43" s="1255">
        <f t="shared" si="12"/>
        <v>0</v>
      </c>
      <c r="K43" s="1255">
        <f t="shared" si="12"/>
        <v>0</v>
      </c>
      <c r="L43" s="1255">
        <f t="shared" si="12"/>
        <v>0</v>
      </c>
      <c r="M43" s="1255">
        <f t="shared" si="12"/>
        <v>0</v>
      </c>
      <c r="N43" s="1255">
        <f t="shared" si="12"/>
        <v>0</v>
      </c>
      <c r="O43" s="1255">
        <f t="shared" si="12"/>
        <v>0</v>
      </c>
      <c r="P43" s="1000"/>
      <c r="Q43" s="539"/>
    </row>
    <row r="44" spans="2:20" ht="13.15" customHeight="1" x14ac:dyDescent="0.2">
      <c r="B44" s="26"/>
      <c r="C44" s="1000"/>
      <c r="D44" s="1038"/>
      <c r="E44" s="1037"/>
      <c r="F44" s="1039"/>
      <c r="G44" s="1037"/>
      <c r="H44" s="1250"/>
      <c r="I44" s="1039"/>
      <c r="J44" s="1039"/>
      <c r="K44" s="1039"/>
      <c r="L44" s="1039"/>
      <c r="M44" s="1039"/>
      <c r="N44" s="1039"/>
      <c r="O44" s="1039"/>
      <c r="P44" s="1000"/>
      <c r="Q44" s="539"/>
    </row>
    <row r="45" spans="2:20" ht="13.15" customHeight="1" x14ac:dyDescent="0.2">
      <c r="B45" s="26"/>
      <c r="C45" s="1000"/>
      <c r="D45" s="1075"/>
      <c r="E45" s="1000"/>
      <c r="F45" s="1076"/>
      <c r="G45" s="1000"/>
      <c r="H45" s="1256"/>
      <c r="I45" s="1076"/>
      <c r="J45" s="1076"/>
      <c r="K45" s="1076"/>
      <c r="L45" s="1076"/>
      <c r="M45" s="1076"/>
      <c r="N45" s="1076"/>
      <c r="O45" s="1076"/>
      <c r="P45" s="1000"/>
      <c r="Q45" s="539"/>
    </row>
    <row r="46" spans="2:20" ht="13.15" customHeight="1" x14ac:dyDescent="0.2">
      <c r="B46" s="26"/>
      <c r="C46" s="1000"/>
      <c r="D46" s="1075" t="s">
        <v>173</v>
      </c>
      <c r="E46" s="1000"/>
      <c r="F46" s="1076"/>
      <c r="G46" s="1000"/>
      <c r="H46" s="1255" t="e">
        <f t="shared" ref="H46:O46" si="13">H26+H43</f>
        <v>#REF!</v>
      </c>
      <c r="I46" s="1255">
        <f t="shared" si="13"/>
        <v>0</v>
      </c>
      <c r="J46" s="1255">
        <f t="shared" si="13"/>
        <v>0</v>
      </c>
      <c r="K46" s="1255">
        <f t="shared" si="13"/>
        <v>0</v>
      </c>
      <c r="L46" s="1255">
        <f t="shared" si="13"/>
        <v>0</v>
      </c>
      <c r="M46" s="1255">
        <f t="shared" si="13"/>
        <v>0</v>
      </c>
      <c r="N46" s="1255">
        <f t="shared" si="13"/>
        <v>0</v>
      </c>
      <c r="O46" s="1255">
        <f t="shared" si="13"/>
        <v>0</v>
      </c>
      <c r="P46" s="1000"/>
      <c r="Q46" s="539"/>
    </row>
    <row r="47" spans="2:20" ht="13.15" customHeight="1" x14ac:dyDescent="0.2">
      <c r="B47" s="26"/>
      <c r="C47" s="1000"/>
      <c r="D47" s="1075"/>
      <c r="E47" s="1000"/>
      <c r="F47" s="1076"/>
      <c r="G47" s="1000"/>
      <c r="H47" s="1076"/>
      <c r="I47" s="1076"/>
      <c r="J47" s="1076"/>
      <c r="K47" s="1076"/>
      <c r="L47" s="1076"/>
      <c r="M47" s="1076"/>
      <c r="N47" s="1076"/>
      <c r="O47" s="1076"/>
      <c r="P47" s="1000"/>
      <c r="Q47" s="539"/>
    </row>
    <row r="48" spans="2:20" ht="13.15" customHeight="1" x14ac:dyDescent="0.2">
      <c r="B48" s="26"/>
      <c r="C48" s="209"/>
      <c r="D48" s="229"/>
      <c r="E48" s="209"/>
      <c r="F48" s="210"/>
      <c r="G48" s="209"/>
      <c r="H48" s="210"/>
      <c r="I48" s="210"/>
      <c r="J48" s="210"/>
      <c r="K48" s="210"/>
      <c r="L48" s="210"/>
      <c r="M48" s="210"/>
      <c r="N48" s="210"/>
      <c r="O48" s="210"/>
      <c r="P48" s="209"/>
      <c r="Q48" s="30"/>
    </row>
    <row r="49" spans="2:17" ht="13.15" customHeight="1" x14ac:dyDescent="0.2">
      <c r="B49" s="26"/>
      <c r="C49" s="1037"/>
      <c r="D49" s="1038"/>
      <c r="E49" s="1037"/>
      <c r="F49" s="1039"/>
      <c r="G49" s="1037"/>
      <c r="H49" s="1039"/>
      <c r="I49" s="1039"/>
      <c r="J49" s="1039"/>
      <c r="K49" s="1039"/>
      <c r="L49" s="1039"/>
      <c r="M49" s="1039"/>
      <c r="N49" s="1039"/>
      <c r="O49" s="1039"/>
      <c r="P49" s="1037"/>
      <c r="Q49" s="539"/>
    </row>
    <row r="50" spans="2:17" ht="13.15" customHeight="1" x14ac:dyDescent="0.2">
      <c r="B50" s="26"/>
      <c r="C50" s="1037"/>
      <c r="D50" s="1049" t="s">
        <v>324</v>
      </c>
      <c r="E50" s="1037"/>
      <c r="F50" s="1039"/>
      <c r="G50" s="1037"/>
      <c r="H50" s="1039"/>
      <c r="I50" s="1039"/>
      <c r="J50" s="1039"/>
      <c r="K50" s="1039"/>
      <c r="L50" s="1039"/>
      <c r="M50" s="1039"/>
      <c r="N50" s="1039"/>
      <c r="O50" s="1039"/>
      <c r="P50" s="1037"/>
      <c r="Q50" s="539"/>
    </row>
    <row r="51" spans="2:17" ht="13.15" customHeight="1" x14ac:dyDescent="0.2">
      <c r="B51" s="26"/>
      <c r="C51" s="1037"/>
      <c r="D51" s="1038"/>
      <c r="E51" s="1037"/>
      <c r="F51" s="1039"/>
      <c r="G51" s="1037"/>
      <c r="H51" s="1039"/>
      <c r="I51" s="1039"/>
      <c r="J51" s="1039"/>
      <c r="K51" s="1039"/>
      <c r="L51" s="1039"/>
      <c r="M51" s="1039"/>
      <c r="N51" s="1039"/>
      <c r="O51" s="1039"/>
      <c r="P51" s="1037"/>
      <c r="Q51" s="539"/>
    </row>
    <row r="52" spans="2:17" ht="13.15" customHeight="1" x14ac:dyDescent="0.2">
      <c r="B52" s="26"/>
      <c r="C52" s="1037"/>
      <c r="D52" s="1075" t="s">
        <v>106</v>
      </c>
      <c r="E52" s="1037"/>
      <c r="F52" s="1039"/>
      <c r="G52" s="1037"/>
      <c r="H52" s="1039"/>
      <c r="I52" s="1039"/>
      <c r="J52" s="1039"/>
      <c r="K52" s="1039"/>
      <c r="L52" s="1039"/>
      <c r="M52" s="1039"/>
      <c r="N52" s="1039"/>
      <c r="O52" s="1039"/>
      <c r="P52" s="1037"/>
      <c r="Q52" s="539"/>
    </row>
    <row r="53" spans="2:17" ht="13.15" customHeight="1" x14ac:dyDescent="0.2">
      <c r="B53" s="26"/>
      <c r="C53" s="1037"/>
      <c r="D53" s="1260" t="s">
        <v>333</v>
      </c>
      <c r="E53" s="1037"/>
      <c r="F53" s="1039"/>
      <c r="G53" s="1037"/>
      <c r="H53" s="1253">
        <v>0</v>
      </c>
      <c r="I53" s="1253">
        <f t="shared" ref="I53:L57" si="14">H53</f>
        <v>0</v>
      </c>
      <c r="J53" s="1253">
        <f t="shared" si="14"/>
        <v>0</v>
      </c>
      <c r="K53" s="1253">
        <f t="shared" si="14"/>
        <v>0</v>
      </c>
      <c r="L53" s="1253">
        <f t="shared" si="14"/>
        <v>0</v>
      </c>
      <c r="M53" s="1253">
        <f t="shared" ref="M53:O57" si="15">L53</f>
        <v>0</v>
      </c>
      <c r="N53" s="1253">
        <f t="shared" si="15"/>
        <v>0</v>
      </c>
      <c r="O53" s="1253">
        <f t="shared" si="15"/>
        <v>0</v>
      </c>
      <c r="P53" s="1037"/>
      <c r="Q53" s="539"/>
    </row>
    <row r="54" spans="2:17" ht="13.15" customHeight="1" x14ac:dyDescent="0.2">
      <c r="B54" s="26"/>
      <c r="C54" s="1037"/>
      <c r="D54" s="1252"/>
      <c r="E54" s="1037"/>
      <c r="F54" s="1039"/>
      <c r="G54" s="1037"/>
      <c r="H54" s="1253">
        <v>0</v>
      </c>
      <c r="I54" s="1253">
        <f t="shared" si="14"/>
        <v>0</v>
      </c>
      <c r="J54" s="1253">
        <f t="shared" si="14"/>
        <v>0</v>
      </c>
      <c r="K54" s="1253">
        <f t="shared" si="14"/>
        <v>0</v>
      </c>
      <c r="L54" s="1253">
        <f t="shared" si="14"/>
        <v>0</v>
      </c>
      <c r="M54" s="1253">
        <f t="shared" si="15"/>
        <v>0</v>
      </c>
      <c r="N54" s="1253">
        <f t="shared" si="15"/>
        <v>0</v>
      </c>
      <c r="O54" s="1253">
        <f t="shared" si="15"/>
        <v>0</v>
      </c>
      <c r="P54" s="1037"/>
      <c r="Q54" s="539"/>
    </row>
    <row r="55" spans="2:17" ht="13.15" customHeight="1" x14ac:dyDescent="0.2">
      <c r="B55" s="26"/>
      <c r="C55" s="1037"/>
      <c r="D55" s="1252"/>
      <c r="E55" s="1037"/>
      <c r="F55" s="1039"/>
      <c r="G55" s="1037"/>
      <c r="H55" s="1253">
        <v>0</v>
      </c>
      <c r="I55" s="1253">
        <f t="shared" si="14"/>
        <v>0</v>
      </c>
      <c r="J55" s="1253">
        <f t="shared" si="14"/>
        <v>0</v>
      </c>
      <c r="K55" s="1253">
        <f t="shared" si="14"/>
        <v>0</v>
      </c>
      <c r="L55" s="1253">
        <f t="shared" si="14"/>
        <v>0</v>
      </c>
      <c r="M55" s="1253">
        <f t="shared" si="15"/>
        <v>0</v>
      </c>
      <c r="N55" s="1253">
        <f t="shared" si="15"/>
        <v>0</v>
      </c>
      <c r="O55" s="1253">
        <f t="shared" si="15"/>
        <v>0</v>
      </c>
      <c r="P55" s="1037"/>
      <c r="Q55" s="539"/>
    </row>
    <row r="56" spans="2:17" ht="13.15" customHeight="1" x14ac:dyDescent="0.2">
      <c r="B56" s="26"/>
      <c r="C56" s="1037"/>
      <c r="D56" s="1252"/>
      <c r="E56" s="1037"/>
      <c r="F56" s="1039"/>
      <c r="G56" s="1037"/>
      <c r="H56" s="1253">
        <v>0</v>
      </c>
      <c r="I56" s="1253">
        <f t="shared" si="14"/>
        <v>0</v>
      </c>
      <c r="J56" s="1253">
        <f t="shared" si="14"/>
        <v>0</v>
      </c>
      <c r="K56" s="1253">
        <f t="shared" si="14"/>
        <v>0</v>
      </c>
      <c r="L56" s="1253">
        <f t="shared" si="14"/>
        <v>0</v>
      </c>
      <c r="M56" s="1253">
        <f t="shared" si="15"/>
        <v>0</v>
      </c>
      <c r="N56" s="1253">
        <f t="shared" si="15"/>
        <v>0</v>
      </c>
      <c r="O56" s="1253">
        <f t="shared" si="15"/>
        <v>0</v>
      </c>
      <c r="P56" s="1037"/>
      <c r="Q56" s="539"/>
    </row>
    <row r="57" spans="2:17" ht="13.15" customHeight="1" x14ac:dyDescent="0.2">
      <c r="B57" s="26"/>
      <c r="C57" s="1037"/>
      <c r="D57" s="1252"/>
      <c r="E57" s="1037"/>
      <c r="F57" s="1039"/>
      <c r="G57" s="1037"/>
      <c r="H57" s="1253">
        <v>0</v>
      </c>
      <c r="I57" s="1253">
        <f t="shared" si="14"/>
        <v>0</v>
      </c>
      <c r="J57" s="1253">
        <f t="shared" si="14"/>
        <v>0</v>
      </c>
      <c r="K57" s="1253">
        <f t="shared" si="14"/>
        <v>0</v>
      </c>
      <c r="L57" s="1253">
        <f>K57</f>
        <v>0</v>
      </c>
      <c r="M57" s="1253">
        <f t="shared" si="15"/>
        <v>0</v>
      </c>
      <c r="N57" s="1253">
        <f t="shared" si="15"/>
        <v>0</v>
      </c>
      <c r="O57" s="1253">
        <f t="shared" si="15"/>
        <v>0</v>
      </c>
      <c r="P57" s="1037"/>
      <c r="Q57" s="539"/>
    </row>
    <row r="58" spans="2:17" ht="13.15" customHeight="1" x14ac:dyDescent="0.2">
      <c r="B58" s="26"/>
      <c r="C58" s="1037"/>
      <c r="D58" s="1038"/>
      <c r="E58" s="1037"/>
      <c r="F58" s="1039"/>
      <c r="G58" s="1037"/>
      <c r="H58" s="1255">
        <f t="shared" ref="H58:N58" si="16">SUM(H53:H57)</f>
        <v>0</v>
      </c>
      <c r="I58" s="1255">
        <f t="shared" si="16"/>
        <v>0</v>
      </c>
      <c r="J58" s="1255">
        <f t="shared" si="16"/>
        <v>0</v>
      </c>
      <c r="K58" s="1255">
        <f t="shared" si="16"/>
        <v>0</v>
      </c>
      <c r="L58" s="1255">
        <f t="shared" si="16"/>
        <v>0</v>
      </c>
      <c r="M58" s="1255">
        <f t="shared" si="16"/>
        <v>0</v>
      </c>
      <c r="N58" s="1255">
        <f t="shared" si="16"/>
        <v>0</v>
      </c>
      <c r="O58" s="1255">
        <f t="shared" ref="O58" si="17">SUM(O53:O57)</f>
        <v>0</v>
      </c>
      <c r="P58" s="1037"/>
      <c r="Q58" s="539"/>
    </row>
    <row r="59" spans="2:17" ht="13.15" customHeight="1" x14ac:dyDescent="0.2">
      <c r="B59" s="26"/>
      <c r="C59" s="1037"/>
      <c r="D59" s="1038"/>
      <c r="E59" s="1037"/>
      <c r="F59" s="1039"/>
      <c r="G59" s="1037"/>
      <c r="H59" s="1250"/>
      <c r="I59" s="1039"/>
      <c r="J59" s="1039"/>
      <c r="K59" s="1039"/>
      <c r="L59" s="1039"/>
      <c r="M59" s="1039"/>
      <c r="N59" s="1039"/>
      <c r="O59" s="1039"/>
      <c r="P59" s="1037"/>
      <c r="Q59" s="539"/>
    </row>
    <row r="60" spans="2:17" ht="13.15" customHeight="1" x14ac:dyDescent="0.2">
      <c r="B60" s="26"/>
      <c r="C60" s="1037"/>
      <c r="D60" s="1075"/>
      <c r="E60" s="1000"/>
      <c r="F60" s="1076"/>
      <c r="G60" s="1000"/>
      <c r="H60" s="1076"/>
      <c r="I60" s="1076"/>
      <c r="J60" s="1076"/>
      <c r="K60" s="1076"/>
      <c r="L60" s="1076"/>
      <c r="M60" s="1076"/>
      <c r="N60" s="1076"/>
      <c r="O60" s="1076"/>
      <c r="P60" s="1037"/>
      <c r="Q60" s="539"/>
    </row>
    <row r="61" spans="2:17" ht="13.15" customHeight="1" x14ac:dyDescent="0.2">
      <c r="B61" s="26"/>
      <c r="C61" s="1037"/>
      <c r="D61" s="1075" t="s">
        <v>107</v>
      </c>
      <c r="E61" s="1037"/>
      <c r="F61" s="1039"/>
      <c r="G61" s="1037"/>
      <c r="H61" s="1039"/>
      <c r="I61" s="1039"/>
      <c r="J61" s="1039"/>
      <c r="K61" s="1039"/>
      <c r="L61" s="1039"/>
      <c r="M61" s="1039"/>
      <c r="N61" s="1039"/>
      <c r="O61" s="1039"/>
      <c r="P61" s="1037"/>
      <c r="Q61" s="539"/>
    </row>
    <row r="62" spans="2:17" ht="13.15" customHeight="1" x14ac:dyDescent="0.2">
      <c r="B62" s="26"/>
      <c r="C62" s="1037"/>
      <c r="D62" s="1252" t="s">
        <v>333</v>
      </c>
      <c r="E62" s="1037"/>
      <c r="F62" s="1039"/>
      <c r="G62" s="1037"/>
      <c r="H62" s="1253">
        <v>0</v>
      </c>
      <c r="I62" s="1253">
        <f t="shared" ref="I62:K66" si="18">H62</f>
        <v>0</v>
      </c>
      <c r="J62" s="1253">
        <f t="shared" si="18"/>
        <v>0</v>
      </c>
      <c r="K62" s="1253">
        <f t="shared" si="18"/>
        <v>0</v>
      </c>
      <c r="L62" s="1253">
        <f t="shared" ref="L62:O66" si="19">K62</f>
        <v>0</v>
      </c>
      <c r="M62" s="1253">
        <f t="shared" si="19"/>
        <v>0</v>
      </c>
      <c r="N62" s="1253">
        <f t="shared" si="19"/>
        <v>0</v>
      </c>
      <c r="O62" s="1253">
        <f t="shared" si="19"/>
        <v>0</v>
      </c>
      <c r="P62" s="1037"/>
      <c r="Q62" s="539"/>
    </row>
    <row r="63" spans="2:17" ht="13.15" customHeight="1" x14ac:dyDescent="0.2">
      <c r="B63" s="26"/>
      <c r="C63" s="1037"/>
      <c r="D63" s="1252"/>
      <c r="E63" s="1037"/>
      <c r="F63" s="1039"/>
      <c r="G63" s="1037"/>
      <c r="H63" s="1253">
        <v>0</v>
      </c>
      <c r="I63" s="1253">
        <f t="shared" si="18"/>
        <v>0</v>
      </c>
      <c r="J63" s="1253">
        <f t="shared" si="18"/>
        <v>0</v>
      </c>
      <c r="K63" s="1253">
        <f t="shared" si="18"/>
        <v>0</v>
      </c>
      <c r="L63" s="1253">
        <f t="shared" si="19"/>
        <v>0</v>
      </c>
      <c r="M63" s="1253">
        <f t="shared" si="19"/>
        <v>0</v>
      </c>
      <c r="N63" s="1253">
        <f t="shared" si="19"/>
        <v>0</v>
      </c>
      <c r="O63" s="1253">
        <f t="shared" si="19"/>
        <v>0</v>
      </c>
      <c r="P63" s="1037"/>
      <c r="Q63" s="539"/>
    </row>
    <row r="64" spans="2:17" ht="13.15" customHeight="1" x14ac:dyDescent="0.2">
      <c r="B64" s="26"/>
      <c r="C64" s="1037"/>
      <c r="D64" s="1252"/>
      <c r="E64" s="1037"/>
      <c r="F64" s="1039"/>
      <c r="G64" s="1037"/>
      <c r="H64" s="1253">
        <v>0</v>
      </c>
      <c r="I64" s="1253">
        <f t="shared" si="18"/>
        <v>0</v>
      </c>
      <c r="J64" s="1253">
        <f t="shared" si="18"/>
        <v>0</v>
      </c>
      <c r="K64" s="1253">
        <f t="shared" si="18"/>
        <v>0</v>
      </c>
      <c r="L64" s="1253">
        <f t="shared" si="19"/>
        <v>0</v>
      </c>
      <c r="M64" s="1253">
        <f t="shared" si="19"/>
        <v>0</v>
      </c>
      <c r="N64" s="1253">
        <f t="shared" si="19"/>
        <v>0</v>
      </c>
      <c r="O64" s="1253">
        <f t="shared" si="19"/>
        <v>0</v>
      </c>
      <c r="P64" s="1037"/>
      <c r="Q64" s="539"/>
    </row>
    <row r="65" spans="2:17" ht="13.15" customHeight="1" x14ac:dyDescent="0.2">
      <c r="B65" s="26"/>
      <c r="C65" s="1037"/>
      <c r="D65" s="1252"/>
      <c r="E65" s="1037"/>
      <c r="F65" s="1039"/>
      <c r="G65" s="1037"/>
      <c r="H65" s="1253">
        <v>0</v>
      </c>
      <c r="I65" s="1253">
        <f t="shared" si="18"/>
        <v>0</v>
      </c>
      <c r="J65" s="1253">
        <f t="shared" si="18"/>
        <v>0</v>
      </c>
      <c r="K65" s="1253">
        <f t="shared" si="18"/>
        <v>0</v>
      </c>
      <c r="L65" s="1253">
        <f t="shared" si="19"/>
        <v>0</v>
      </c>
      <c r="M65" s="1253">
        <f t="shared" si="19"/>
        <v>0</v>
      </c>
      <c r="N65" s="1253">
        <f t="shared" si="19"/>
        <v>0</v>
      </c>
      <c r="O65" s="1253">
        <f t="shared" si="19"/>
        <v>0</v>
      </c>
      <c r="P65" s="1037"/>
      <c r="Q65" s="539"/>
    </row>
    <row r="66" spans="2:17" ht="13.15" customHeight="1" x14ac:dyDescent="0.2">
      <c r="B66" s="26"/>
      <c r="C66" s="1037"/>
      <c r="D66" s="1252"/>
      <c r="E66" s="1037"/>
      <c r="F66" s="1039"/>
      <c r="G66" s="1037"/>
      <c r="H66" s="1253">
        <v>0</v>
      </c>
      <c r="I66" s="1253">
        <f t="shared" si="18"/>
        <v>0</v>
      </c>
      <c r="J66" s="1253">
        <f t="shared" si="18"/>
        <v>0</v>
      </c>
      <c r="K66" s="1253">
        <f t="shared" si="18"/>
        <v>0</v>
      </c>
      <c r="L66" s="1253">
        <f t="shared" si="19"/>
        <v>0</v>
      </c>
      <c r="M66" s="1253">
        <f t="shared" si="19"/>
        <v>0</v>
      </c>
      <c r="N66" s="1253">
        <f t="shared" si="19"/>
        <v>0</v>
      </c>
      <c r="O66" s="1253">
        <f t="shared" si="19"/>
        <v>0</v>
      </c>
      <c r="P66" s="1037"/>
      <c r="Q66" s="539"/>
    </row>
    <row r="67" spans="2:17" ht="13.15" customHeight="1" x14ac:dyDescent="0.2">
      <c r="B67" s="26"/>
      <c r="C67" s="1037"/>
      <c r="D67" s="1038"/>
      <c r="E67" s="1037"/>
      <c r="F67" s="1039"/>
      <c r="G67" s="1037"/>
      <c r="H67" s="1255">
        <f t="shared" ref="H67:N67" si="20">SUM(H62:H66)</f>
        <v>0</v>
      </c>
      <c r="I67" s="1255">
        <f t="shared" si="20"/>
        <v>0</v>
      </c>
      <c r="J67" s="1255">
        <f t="shared" si="20"/>
        <v>0</v>
      </c>
      <c r="K67" s="1255">
        <f t="shared" si="20"/>
        <v>0</v>
      </c>
      <c r="L67" s="1255">
        <f t="shared" si="20"/>
        <v>0</v>
      </c>
      <c r="M67" s="1255">
        <f t="shared" si="20"/>
        <v>0</v>
      </c>
      <c r="N67" s="1255">
        <f t="shared" si="20"/>
        <v>0</v>
      </c>
      <c r="O67" s="1255">
        <f t="shared" ref="O67" si="21">SUM(O62:O66)</f>
        <v>0</v>
      </c>
      <c r="P67" s="1037"/>
      <c r="Q67" s="539"/>
    </row>
    <row r="68" spans="2:17" ht="13.15" customHeight="1" x14ac:dyDescent="0.2">
      <c r="B68" s="26"/>
      <c r="C68" s="1037"/>
      <c r="D68" s="1038"/>
      <c r="E68" s="1037"/>
      <c r="F68" s="1039"/>
      <c r="G68" s="1037"/>
      <c r="H68" s="1250"/>
      <c r="I68" s="1039"/>
      <c r="J68" s="1039"/>
      <c r="K68" s="1039"/>
      <c r="L68" s="1039"/>
      <c r="M68" s="1039"/>
      <c r="N68" s="1039"/>
      <c r="O68" s="1039"/>
      <c r="P68" s="1037"/>
      <c r="Q68" s="539"/>
    </row>
    <row r="69" spans="2:17" ht="13.15" customHeight="1" x14ac:dyDescent="0.2">
      <c r="B69" s="26"/>
      <c r="C69" s="1037"/>
      <c r="D69" s="1075"/>
      <c r="E69" s="1000"/>
      <c r="F69" s="1076"/>
      <c r="G69" s="1000"/>
      <c r="H69" s="1256"/>
      <c r="I69" s="1076"/>
      <c r="J69" s="1076"/>
      <c r="K69" s="1076"/>
      <c r="L69" s="1076"/>
      <c r="M69" s="1076"/>
      <c r="N69" s="1076"/>
      <c r="O69" s="1076"/>
      <c r="P69" s="1037"/>
      <c r="Q69" s="539"/>
    </row>
    <row r="70" spans="2:17" ht="13.15" customHeight="1" x14ac:dyDescent="0.2">
      <c r="B70" s="26"/>
      <c r="C70" s="1037"/>
      <c r="D70" s="1075" t="s">
        <v>173</v>
      </c>
      <c r="E70" s="1037"/>
      <c r="F70" s="1039"/>
      <c r="G70" s="1037"/>
      <c r="H70" s="1255">
        <f t="shared" ref="H70:N70" si="22">H58+H67</f>
        <v>0</v>
      </c>
      <c r="I70" s="1255">
        <f t="shared" si="22"/>
        <v>0</v>
      </c>
      <c r="J70" s="1255">
        <f t="shared" si="22"/>
        <v>0</v>
      </c>
      <c r="K70" s="1255">
        <f t="shared" si="22"/>
        <v>0</v>
      </c>
      <c r="L70" s="1255">
        <f t="shared" si="22"/>
        <v>0</v>
      </c>
      <c r="M70" s="1255">
        <f t="shared" si="22"/>
        <v>0</v>
      </c>
      <c r="N70" s="1255">
        <f t="shared" si="22"/>
        <v>0</v>
      </c>
      <c r="O70" s="1255">
        <f t="shared" ref="O70" si="23">O58+O67</f>
        <v>0</v>
      </c>
      <c r="P70" s="1037"/>
      <c r="Q70" s="539"/>
    </row>
    <row r="71" spans="2:17" ht="13.15" customHeight="1" x14ac:dyDescent="0.2">
      <c r="B71" s="26"/>
      <c r="C71" s="1037"/>
      <c r="D71" s="1038"/>
      <c r="E71" s="1037"/>
      <c r="F71" s="1039"/>
      <c r="G71" s="1037"/>
      <c r="H71" s="1250"/>
      <c r="I71" s="1039"/>
      <c r="J71" s="1039"/>
      <c r="K71" s="1039"/>
      <c r="L71" s="1039"/>
      <c r="M71" s="1039"/>
      <c r="N71" s="1039"/>
      <c r="O71" s="1039"/>
      <c r="P71" s="1037"/>
      <c r="Q71" s="539"/>
    </row>
    <row r="72" spans="2:17" ht="13.15" customHeight="1" x14ac:dyDescent="0.2">
      <c r="B72" s="26"/>
      <c r="C72" s="209"/>
      <c r="D72" s="229"/>
      <c r="E72" s="209"/>
      <c r="F72" s="210"/>
      <c r="G72" s="209"/>
      <c r="H72" s="210"/>
      <c r="I72" s="210"/>
      <c r="J72" s="210"/>
      <c r="K72" s="210"/>
      <c r="L72" s="210"/>
      <c r="M72" s="210"/>
      <c r="N72" s="210"/>
      <c r="O72" s="210"/>
      <c r="P72" s="209"/>
      <c r="Q72" s="30"/>
    </row>
    <row r="73" spans="2:17" ht="13.15" customHeight="1" x14ac:dyDescent="0.2">
      <c r="B73" s="26"/>
      <c r="C73" s="1037"/>
      <c r="D73" s="1038"/>
      <c r="E73" s="1037"/>
      <c r="F73" s="1039"/>
      <c r="G73" s="1037"/>
      <c r="H73" s="1039"/>
      <c r="I73" s="1039"/>
      <c r="J73" s="1039"/>
      <c r="K73" s="1039"/>
      <c r="L73" s="1039"/>
      <c r="M73" s="1039"/>
      <c r="N73" s="1039"/>
      <c r="O73" s="1039"/>
      <c r="P73" s="1037"/>
      <c r="Q73" s="539"/>
    </row>
    <row r="74" spans="2:17" ht="13.15" customHeight="1" x14ac:dyDescent="0.2">
      <c r="B74" s="26"/>
      <c r="C74" s="1037"/>
      <c r="D74" s="1049" t="s">
        <v>325</v>
      </c>
      <c r="E74" s="1037"/>
      <c r="F74" s="1039"/>
      <c r="G74" s="1037"/>
      <c r="H74" s="1039"/>
      <c r="I74" s="1039"/>
      <c r="J74" s="1039"/>
      <c r="K74" s="1039"/>
      <c r="L74" s="1039"/>
      <c r="M74" s="1039"/>
      <c r="N74" s="1039"/>
      <c r="O74" s="1039"/>
      <c r="P74" s="1037"/>
      <c r="Q74" s="539"/>
    </row>
    <row r="75" spans="2:17" ht="13.15" customHeight="1" x14ac:dyDescent="0.2">
      <c r="B75" s="26"/>
      <c r="C75" s="1037"/>
      <c r="D75" s="1148"/>
      <c r="E75" s="1037"/>
      <c r="F75" s="1039"/>
      <c r="G75" s="1037"/>
      <c r="H75" s="1039"/>
      <c r="I75" s="1039"/>
      <c r="J75" s="1039"/>
      <c r="K75" s="1039"/>
      <c r="L75" s="1039"/>
      <c r="M75" s="1039"/>
      <c r="N75" s="1039"/>
      <c r="O75" s="1039"/>
      <c r="P75" s="1037"/>
      <c r="Q75" s="539"/>
    </row>
    <row r="76" spans="2:17" ht="13.15" customHeight="1" x14ac:dyDescent="0.2">
      <c r="B76" s="26"/>
      <c r="C76" s="1037"/>
      <c r="D76" s="1075" t="s">
        <v>106</v>
      </c>
      <c r="E76" s="1037"/>
      <c r="F76" s="1039"/>
      <c r="G76" s="1037"/>
      <c r="H76" s="1039"/>
      <c r="I76" s="1039"/>
      <c r="J76" s="1039"/>
      <c r="K76" s="1039"/>
      <c r="L76" s="1039"/>
      <c r="M76" s="1039"/>
      <c r="N76" s="1039"/>
      <c r="O76" s="1039"/>
      <c r="P76" s="1037"/>
      <c r="Q76" s="539"/>
    </row>
    <row r="77" spans="2:17" ht="13.15" customHeight="1" x14ac:dyDescent="0.2">
      <c r="B77" s="26"/>
      <c r="C77" s="1037"/>
      <c r="D77" s="1000" t="s">
        <v>433</v>
      </c>
      <c r="E77" s="1037"/>
      <c r="F77" s="1039"/>
      <c r="G77" s="1037"/>
      <c r="H77" s="1346" t="e">
        <f>ROUND(+'geg LO'!F100*(tab!#REF!+tab!#REF!)+'geg LO'!F101*tab!#REF!,0)</f>
        <v>#REF!</v>
      </c>
      <c r="I77" s="1346">
        <f>ROUND(+'geg LO'!G100*(tab!$C$49+tab!$C$50)+'geg LO'!G101*tab!$C$50,0)</f>
        <v>0</v>
      </c>
      <c r="J77" s="1346">
        <f>ROUND(+'geg LO'!H100*(tab!$C$49+tab!$C$50)+'geg LO'!H101*tab!$C$50,0)</f>
        <v>0</v>
      </c>
      <c r="K77" s="1346">
        <f>ROUND(+'geg LO'!I100*(tab!$C$49+tab!$C$50)+'geg LO'!I101*tab!$C$50,0)</f>
        <v>0</v>
      </c>
      <c r="L77" s="1346">
        <f>ROUND(+'geg LO'!J100*(tab!$C$49+tab!$C$50)+'geg LO'!J101*tab!$C$50,0)</f>
        <v>0</v>
      </c>
      <c r="M77" s="1346">
        <f>ROUND(+'geg LO'!K100*(tab!$C$49+tab!$C$50)+'geg LO'!K101*tab!$C$50,0)</f>
        <v>0</v>
      </c>
      <c r="N77" s="1346">
        <f>ROUND(+'geg LO'!L100*(tab!$C$49+tab!$C$50)+'geg LO'!L101*tab!$C$50,0)</f>
        <v>0</v>
      </c>
      <c r="O77" s="1346">
        <f>ROUND(+'geg LO'!M100*(tab!$C$49+tab!$C$50)+'geg LO'!M101*tab!$C$50,0)</f>
        <v>0</v>
      </c>
      <c r="P77" s="1037"/>
      <c r="Q77" s="539"/>
    </row>
    <row r="78" spans="2:17" ht="13.15" customHeight="1" x14ac:dyDescent="0.2">
      <c r="B78" s="26"/>
      <c r="C78" s="1037"/>
      <c r="D78" s="1037" t="s">
        <v>326</v>
      </c>
      <c r="E78" s="1037"/>
      <c r="F78" s="1039"/>
      <c r="G78" s="1037"/>
      <c r="H78" s="1253">
        <v>0</v>
      </c>
      <c r="I78" s="1253">
        <f>H78</f>
        <v>0</v>
      </c>
      <c r="J78" s="1253">
        <f t="shared" ref="J78:L82" si="24">I78</f>
        <v>0</v>
      </c>
      <c r="K78" s="1253">
        <f>J78</f>
        <v>0</v>
      </c>
      <c r="L78" s="1253">
        <f t="shared" si="24"/>
        <v>0</v>
      </c>
      <c r="M78" s="1253">
        <f t="shared" ref="M78:O82" si="25">L78</f>
        <v>0</v>
      </c>
      <c r="N78" s="1253">
        <f t="shared" si="25"/>
        <v>0</v>
      </c>
      <c r="O78" s="1253">
        <f t="shared" si="25"/>
        <v>0</v>
      </c>
      <c r="P78" s="1037"/>
      <c r="Q78" s="539"/>
    </row>
    <row r="79" spans="2:17" ht="13.15" customHeight="1" x14ac:dyDescent="0.2">
      <c r="B79" s="26"/>
      <c r="C79" s="1037"/>
      <c r="D79" s="1252" t="s">
        <v>327</v>
      </c>
      <c r="E79" s="1037"/>
      <c r="F79" s="1039"/>
      <c r="G79" s="1037"/>
      <c r="H79" s="1253">
        <v>0</v>
      </c>
      <c r="I79" s="1253">
        <f>H79</f>
        <v>0</v>
      </c>
      <c r="J79" s="1253">
        <f t="shared" si="24"/>
        <v>0</v>
      </c>
      <c r="K79" s="1253">
        <f>J79</f>
        <v>0</v>
      </c>
      <c r="L79" s="1253">
        <f t="shared" si="24"/>
        <v>0</v>
      </c>
      <c r="M79" s="1253">
        <f t="shared" si="25"/>
        <v>0</v>
      </c>
      <c r="N79" s="1253">
        <f t="shared" si="25"/>
        <v>0</v>
      </c>
      <c r="O79" s="1253">
        <f t="shared" si="25"/>
        <v>0</v>
      </c>
      <c r="P79" s="1037"/>
      <c r="Q79" s="539"/>
    </row>
    <row r="80" spans="2:17" ht="13.15" customHeight="1" x14ac:dyDescent="0.2">
      <c r="B80" s="26"/>
      <c r="C80" s="1037"/>
      <c r="D80" s="1252"/>
      <c r="E80" s="1037"/>
      <c r="F80" s="1039"/>
      <c r="G80" s="1037"/>
      <c r="H80" s="1253">
        <v>0</v>
      </c>
      <c r="I80" s="1253">
        <f>H80</f>
        <v>0</v>
      </c>
      <c r="J80" s="1253">
        <f t="shared" si="24"/>
        <v>0</v>
      </c>
      <c r="K80" s="1253">
        <f>J80</f>
        <v>0</v>
      </c>
      <c r="L80" s="1253">
        <f t="shared" si="24"/>
        <v>0</v>
      </c>
      <c r="M80" s="1253">
        <f t="shared" si="25"/>
        <v>0</v>
      </c>
      <c r="N80" s="1253">
        <f t="shared" si="25"/>
        <v>0</v>
      </c>
      <c r="O80" s="1253">
        <f t="shared" si="25"/>
        <v>0</v>
      </c>
      <c r="P80" s="1037"/>
      <c r="Q80" s="539"/>
    </row>
    <row r="81" spans="2:17" ht="13.15" customHeight="1" x14ac:dyDescent="0.2">
      <c r="B81" s="26"/>
      <c r="C81" s="1037"/>
      <c r="D81" s="1252"/>
      <c r="E81" s="1037"/>
      <c r="F81" s="1039"/>
      <c r="G81" s="1037"/>
      <c r="H81" s="1253">
        <v>0</v>
      </c>
      <c r="I81" s="1253">
        <f>H81</f>
        <v>0</v>
      </c>
      <c r="J81" s="1253">
        <f t="shared" si="24"/>
        <v>0</v>
      </c>
      <c r="K81" s="1253">
        <f>J81</f>
        <v>0</v>
      </c>
      <c r="L81" s="1253">
        <f t="shared" si="24"/>
        <v>0</v>
      </c>
      <c r="M81" s="1253">
        <f t="shared" si="25"/>
        <v>0</v>
      </c>
      <c r="N81" s="1253">
        <f t="shared" si="25"/>
        <v>0</v>
      </c>
      <c r="O81" s="1253">
        <f t="shared" si="25"/>
        <v>0</v>
      </c>
      <c r="P81" s="1037"/>
      <c r="Q81" s="539"/>
    </row>
    <row r="82" spans="2:17" ht="13.15" customHeight="1" x14ac:dyDescent="0.2">
      <c r="B82" s="26"/>
      <c r="C82" s="1037"/>
      <c r="D82" s="1252"/>
      <c r="E82" s="1037"/>
      <c r="F82" s="1039"/>
      <c r="G82" s="1037"/>
      <c r="H82" s="1253">
        <v>0</v>
      </c>
      <c r="I82" s="1253">
        <f>H82</f>
        <v>0</v>
      </c>
      <c r="J82" s="1253">
        <f t="shared" si="24"/>
        <v>0</v>
      </c>
      <c r="K82" s="1253">
        <f>J82</f>
        <v>0</v>
      </c>
      <c r="L82" s="1253">
        <f t="shared" si="24"/>
        <v>0</v>
      </c>
      <c r="M82" s="1253">
        <f t="shared" si="25"/>
        <v>0</v>
      </c>
      <c r="N82" s="1253">
        <f t="shared" si="25"/>
        <v>0</v>
      </c>
      <c r="O82" s="1253">
        <f t="shared" si="25"/>
        <v>0</v>
      </c>
      <c r="P82" s="1037"/>
      <c r="Q82" s="539"/>
    </row>
    <row r="83" spans="2:17" ht="13.15" customHeight="1" x14ac:dyDescent="0.2">
      <c r="B83" s="26"/>
      <c r="C83" s="1037"/>
      <c r="D83" s="1038" t="s">
        <v>268</v>
      </c>
      <c r="E83" s="1037"/>
      <c r="F83" s="1039"/>
      <c r="G83" s="1037"/>
      <c r="H83" s="1347" t="e">
        <f t="shared" ref="H83:N83" si="26">SUM(H77:H82)</f>
        <v>#REF!</v>
      </c>
      <c r="I83" s="1347">
        <f t="shared" si="26"/>
        <v>0</v>
      </c>
      <c r="J83" s="1347">
        <f t="shared" si="26"/>
        <v>0</v>
      </c>
      <c r="K83" s="1347">
        <f t="shared" si="26"/>
        <v>0</v>
      </c>
      <c r="L83" s="1347">
        <f t="shared" si="26"/>
        <v>0</v>
      </c>
      <c r="M83" s="1347">
        <f t="shared" si="26"/>
        <v>0</v>
      </c>
      <c r="N83" s="1347">
        <f t="shared" si="26"/>
        <v>0</v>
      </c>
      <c r="O83" s="1347">
        <f t="shared" ref="O83" si="27">SUM(O77:O82)</f>
        <v>0</v>
      </c>
      <c r="P83" s="1037"/>
      <c r="Q83" s="539"/>
    </row>
    <row r="84" spans="2:17" ht="13.15" customHeight="1" x14ac:dyDescent="0.2">
      <c r="B84" s="26"/>
      <c r="C84" s="1037"/>
      <c r="D84" s="1038"/>
      <c r="E84" s="1037"/>
      <c r="F84" s="1039"/>
      <c r="G84" s="1037"/>
      <c r="H84" s="1250"/>
      <c r="I84" s="1039"/>
      <c r="J84" s="1039"/>
      <c r="K84" s="1039"/>
      <c r="L84" s="1039"/>
      <c r="M84" s="1039"/>
      <c r="N84" s="1039"/>
      <c r="O84" s="1039"/>
      <c r="P84" s="1037"/>
      <c r="Q84" s="539"/>
    </row>
    <row r="85" spans="2:17" ht="13.15" customHeight="1" x14ac:dyDescent="0.2">
      <c r="B85" s="26"/>
      <c r="C85" s="1037"/>
      <c r="D85" s="1075"/>
      <c r="E85" s="1000"/>
      <c r="F85" s="1076"/>
      <c r="G85" s="1000"/>
      <c r="H85" s="1076"/>
      <c r="I85" s="1076"/>
      <c r="J85" s="1076"/>
      <c r="K85" s="1076"/>
      <c r="L85" s="1076"/>
      <c r="M85" s="1076"/>
      <c r="N85" s="1076"/>
      <c r="O85" s="1076"/>
      <c r="P85" s="1037"/>
      <c r="Q85" s="539"/>
    </row>
    <row r="86" spans="2:17" ht="13.15" customHeight="1" x14ac:dyDescent="0.2">
      <c r="B86" s="26"/>
      <c r="C86" s="1037"/>
      <c r="D86" s="1075" t="s">
        <v>107</v>
      </c>
      <c r="E86" s="1037"/>
      <c r="F86" s="1039"/>
      <c r="G86" s="1037"/>
      <c r="H86" s="1149"/>
      <c r="I86" s="1039"/>
      <c r="J86" s="1039"/>
      <c r="K86" s="1039"/>
      <c r="L86" s="1039"/>
      <c r="M86" s="1039"/>
      <c r="N86" s="1039"/>
      <c r="O86" s="1039"/>
      <c r="P86" s="1037"/>
      <c r="Q86" s="539"/>
    </row>
    <row r="87" spans="2:17" ht="13.15" customHeight="1" x14ac:dyDescent="0.2">
      <c r="B87" s="26"/>
      <c r="C87" s="1037"/>
      <c r="D87" s="1037" t="s">
        <v>326</v>
      </c>
      <c r="E87" s="1037"/>
      <c r="F87" s="1039"/>
      <c r="G87" s="1037"/>
      <c r="H87" s="1348">
        <v>0</v>
      </c>
      <c r="I87" s="1348">
        <f t="shared" ref="I87:O87" si="28">+H87</f>
        <v>0</v>
      </c>
      <c r="J87" s="1348">
        <f t="shared" si="28"/>
        <v>0</v>
      </c>
      <c r="K87" s="1348">
        <f t="shared" si="28"/>
        <v>0</v>
      </c>
      <c r="L87" s="1348">
        <f t="shared" si="28"/>
        <v>0</v>
      </c>
      <c r="M87" s="1348">
        <f t="shared" si="28"/>
        <v>0</v>
      </c>
      <c r="N87" s="1348">
        <f t="shared" si="28"/>
        <v>0</v>
      </c>
      <c r="O87" s="1348">
        <f t="shared" si="28"/>
        <v>0</v>
      </c>
      <c r="P87" s="1037"/>
      <c r="Q87" s="539"/>
    </row>
    <row r="88" spans="2:17" ht="13.15" customHeight="1" x14ac:dyDescent="0.2">
      <c r="B88" s="26"/>
      <c r="C88" s="1037"/>
      <c r="D88" s="1252" t="s">
        <v>327</v>
      </c>
      <c r="E88" s="1037"/>
      <c r="F88" s="1039"/>
      <c r="G88" s="1037"/>
      <c r="H88" s="1253">
        <v>0</v>
      </c>
      <c r="I88" s="1253">
        <f t="shared" ref="I88:L91" si="29">H88</f>
        <v>0</v>
      </c>
      <c r="J88" s="1253">
        <f t="shared" si="29"/>
        <v>0</v>
      </c>
      <c r="K88" s="1253">
        <f t="shared" si="29"/>
        <v>0</v>
      </c>
      <c r="L88" s="1253">
        <f t="shared" si="29"/>
        <v>0</v>
      </c>
      <c r="M88" s="1253">
        <f t="shared" ref="M88:O91" si="30">L88</f>
        <v>0</v>
      </c>
      <c r="N88" s="1253">
        <f t="shared" si="30"/>
        <v>0</v>
      </c>
      <c r="O88" s="1253">
        <f t="shared" si="30"/>
        <v>0</v>
      </c>
      <c r="P88" s="1037"/>
      <c r="Q88" s="539"/>
    </row>
    <row r="89" spans="2:17" ht="13.15" customHeight="1" x14ac:dyDescent="0.2">
      <c r="B89" s="26"/>
      <c r="C89" s="1037"/>
      <c r="D89" s="1252"/>
      <c r="E89" s="1037"/>
      <c r="F89" s="1039"/>
      <c r="G89" s="1037"/>
      <c r="H89" s="1253">
        <v>0</v>
      </c>
      <c r="I89" s="1253">
        <f t="shared" si="29"/>
        <v>0</v>
      </c>
      <c r="J89" s="1253">
        <f t="shared" si="29"/>
        <v>0</v>
      </c>
      <c r="K89" s="1253">
        <f t="shared" si="29"/>
        <v>0</v>
      </c>
      <c r="L89" s="1253">
        <f t="shared" si="29"/>
        <v>0</v>
      </c>
      <c r="M89" s="1253">
        <f t="shared" si="30"/>
        <v>0</v>
      </c>
      <c r="N89" s="1253">
        <f t="shared" si="30"/>
        <v>0</v>
      </c>
      <c r="O89" s="1253">
        <f t="shared" si="30"/>
        <v>0</v>
      </c>
      <c r="P89" s="1037"/>
      <c r="Q89" s="539"/>
    </row>
    <row r="90" spans="2:17" ht="13.15" customHeight="1" x14ac:dyDescent="0.2">
      <c r="B90" s="26"/>
      <c r="C90" s="1037"/>
      <c r="D90" s="1252"/>
      <c r="E90" s="1037"/>
      <c r="F90" s="1039"/>
      <c r="G90" s="1037"/>
      <c r="H90" s="1253">
        <v>0</v>
      </c>
      <c r="I90" s="1253">
        <f t="shared" si="29"/>
        <v>0</v>
      </c>
      <c r="J90" s="1253">
        <f t="shared" si="29"/>
        <v>0</v>
      </c>
      <c r="K90" s="1253">
        <f t="shared" si="29"/>
        <v>0</v>
      </c>
      <c r="L90" s="1253">
        <f t="shared" si="29"/>
        <v>0</v>
      </c>
      <c r="M90" s="1253">
        <f t="shared" si="30"/>
        <v>0</v>
      </c>
      <c r="N90" s="1253">
        <f t="shared" si="30"/>
        <v>0</v>
      </c>
      <c r="O90" s="1253">
        <f t="shared" si="30"/>
        <v>0</v>
      </c>
      <c r="P90" s="1037"/>
      <c r="Q90" s="539"/>
    </row>
    <row r="91" spans="2:17" ht="13.15" customHeight="1" x14ac:dyDescent="0.2">
      <c r="B91" s="26"/>
      <c r="C91" s="1037"/>
      <c r="D91" s="1252"/>
      <c r="E91" s="1037"/>
      <c r="F91" s="1039"/>
      <c r="G91" s="1037"/>
      <c r="H91" s="1253">
        <v>0</v>
      </c>
      <c r="I91" s="1253">
        <f t="shared" si="29"/>
        <v>0</v>
      </c>
      <c r="J91" s="1253">
        <f t="shared" si="29"/>
        <v>0</v>
      </c>
      <c r="K91" s="1253">
        <f t="shared" si="29"/>
        <v>0</v>
      </c>
      <c r="L91" s="1253">
        <f>K91</f>
        <v>0</v>
      </c>
      <c r="M91" s="1253">
        <f t="shared" si="30"/>
        <v>0</v>
      </c>
      <c r="N91" s="1253">
        <f t="shared" si="30"/>
        <v>0</v>
      </c>
      <c r="O91" s="1253">
        <f t="shared" si="30"/>
        <v>0</v>
      </c>
      <c r="P91" s="1037"/>
      <c r="Q91" s="539"/>
    </row>
    <row r="92" spans="2:17" ht="13.15" customHeight="1" x14ac:dyDescent="0.2">
      <c r="B92" s="26"/>
      <c r="C92" s="1037"/>
      <c r="D92" s="1038" t="s">
        <v>268</v>
      </c>
      <c r="E92" s="1037"/>
      <c r="F92" s="1039"/>
      <c r="G92" s="1037"/>
      <c r="H92" s="1255">
        <f t="shared" ref="H92:N92" si="31">SUM(H87:H91)</f>
        <v>0</v>
      </c>
      <c r="I92" s="1255">
        <f t="shared" si="31"/>
        <v>0</v>
      </c>
      <c r="J92" s="1255">
        <f t="shared" si="31"/>
        <v>0</v>
      </c>
      <c r="K92" s="1255">
        <f t="shared" si="31"/>
        <v>0</v>
      </c>
      <c r="L92" s="1255">
        <f t="shared" si="31"/>
        <v>0</v>
      </c>
      <c r="M92" s="1255">
        <f t="shared" si="31"/>
        <v>0</v>
      </c>
      <c r="N92" s="1255">
        <f t="shared" si="31"/>
        <v>0</v>
      </c>
      <c r="O92" s="1255">
        <f t="shared" ref="O92" si="32">SUM(O87:O91)</f>
        <v>0</v>
      </c>
      <c r="P92" s="1037"/>
      <c r="Q92" s="539"/>
    </row>
    <row r="93" spans="2:17" ht="13.15" customHeight="1" x14ac:dyDescent="0.2">
      <c r="B93" s="26"/>
      <c r="C93" s="1037"/>
      <c r="D93" s="1038"/>
      <c r="E93" s="1037"/>
      <c r="F93" s="1039"/>
      <c r="G93" s="1037"/>
      <c r="H93" s="1250"/>
      <c r="I93" s="1039"/>
      <c r="J93" s="1039"/>
      <c r="K93" s="1039"/>
      <c r="L93" s="1039"/>
      <c r="M93" s="1039"/>
      <c r="N93" s="1039"/>
      <c r="O93" s="1039"/>
      <c r="P93" s="1037"/>
      <c r="Q93" s="539"/>
    </row>
    <row r="94" spans="2:17" ht="13.15" customHeight="1" x14ac:dyDescent="0.2">
      <c r="B94" s="26"/>
      <c r="C94" s="1037"/>
      <c r="D94" s="1075"/>
      <c r="E94" s="1000"/>
      <c r="F94" s="1076"/>
      <c r="G94" s="1000"/>
      <c r="H94" s="1256"/>
      <c r="I94" s="1076"/>
      <c r="J94" s="1076"/>
      <c r="K94" s="1076"/>
      <c r="L94" s="1076"/>
      <c r="M94" s="1076"/>
      <c r="N94" s="1076"/>
      <c r="O94" s="1076"/>
      <c r="P94" s="1037"/>
      <c r="Q94" s="539"/>
    </row>
    <row r="95" spans="2:17" ht="13.15" customHeight="1" x14ac:dyDescent="0.2">
      <c r="B95" s="26"/>
      <c r="C95" s="1037"/>
      <c r="D95" s="1038"/>
      <c r="E95" s="1037"/>
      <c r="F95" s="1039"/>
      <c r="G95" s="1037"/>
      <c r="H95" s="1255" t="e">
        <f t="shared" ref="H95:N95" si="33">H83+H92</f>
        <v>#REF!</v>
      </c>
      <c r="I95" s="1255">
        <f t="shared" si="33"/>
        <v>0</v>
      </c>
      <c r="J95" s="1255">
        <f t="shared" si="33"/>
        <v>0</v>
      </c>
      <c r="K95" s="1255">
        <f t="shared" si="33"/>
        <v>0</v>
      </c>
      <c r="L95" s="1255">
        <f t="shared" si="33"/>
        <v>0</v>
      </c>
      <c r="M95" s="1255">
        <f t="shared" si="33"/>
        <v>0</v>
      </c>
      <c r="N95" s="1255">
        <f t="shared" si="33"/>
        <v>0</v>
      </c>
      <c r="O95" s="1255">
        <f t="shared" ref="O95" si="34">O83+O92</f>
        <v>0</v>
      </c>
      <c r="P95" s="1037"/>
      <c r="Q95" s="539"/>
    </row>
    <row r="96" spans="2:17" ht="13.15" customHeight="1" x14ac:dyDescent="0.2">
      <c r="B96" s="26"/>
      <c r="C96" s="1037"/>
      <c r="D96" s="1038"/>
      <c r="E96" s="1037"/>
      <c r="F96" s="1039"/>
      <c r="G96" s="1037"/>
      <c r="H96" s="1250"/>
      <c r="I96" s="1039"/>
      <c r="J96" s="1039"/>
      <c r="K96" s="1039"/>
      <c r="L96" s="1039"/>
      <c r="M96" s="1039"/>
      <c r="N96" s="1039"/>
      <c r="O96" s="1039"/>
      <c r="P96" s="1037"/>
      <c r="Q96" s="539"/>
    </row>
    <row r="97" spans="2:17" ht="13.15" customHeight="1" x14ac:dyDescent="0.2">
      <c r="B97" s="26"/>
      <c r="C97" s="209"/>
      <c r="D97" s="229"/>
      <c r="E97" s="209"/>
      <c r="F97" s="210"/>
      <c r="G97" s="209"/>
      <c r="H97" s="210"/>
      <c r="I97" s="210"/>
      <c r="J97" s="210"/>
      <c r="K97" s="210"/>
      <c r="L97" s="210"/>
      <c r="M97" s="210"/>
      <c r="N97" s="210"/>
      <c r="O97" s="210"/>
      <c r="P97" s="209"/>
      <c r="Q97" s="30"/>
    </row>
    <row r="98" spans="2:17" ht="13.15" customHeight="1" x14ac:dyDescent="0.2">
      <c r="B98" s="26"/>
      <c r="C98" s="1037"/>
      <c r="D98" s="1038"/>
      <c r="E98" s="1037"/>
      <c r="F98" s="1039"/>
      <c r="G98" s="1037"/>
      <c r="H98" s="1250"/>
      <c r="I98" s="1039"/>
      <c r="J98" s="1039"/>
      <c r="K98" s="1039"/>
      <c r="L98" s="1039"/>
      <c r="M98" s="1039"/>
      <c r="N98" s="1039"/>
      <c r="O98" s="1039"/>
      <c r="P98" s="1037"/>
      <c r="Q98" s="539"/>
    </row>
    <row r="99" spans="2:17" ht="13.15" customHeight="1" x14ac:dyDescent="0.2">
      <c r="B99" s="26"/>
      <c r="C99" s="1037"/>
      <c r="D99" s="1038" t="s">
        <v>328</v>
      </c>
      <c r="E99" s="1037"/>
      <c r="F99" s="1039"/>
      <c r="G99" s="1037"/>
      <c r="H99" s="1255" t="e">
        <f t="shared" ref="H99:N99" si="35">H46+H70+H95</f>
        <v>#REF!</v>
      </c>
      <c r="I99" s="1255">
        <f t="shared" si="35"/>
        <v>0</v>
      </c>
      <c r="J99" s="1255">
        <f t="shared" si="35"/>
        <v>0</v>
      </c>
      <c r="K99" s="1255">
        <f t="shared" si="35"/>
        <v>0</v>
      </c>
      <c r="L99" s="1255">
        <f t="shared" si="35"/>
        <v>0</v>
      </c>
      <c r="M99" s="1255">
        <f t="shared" si="35"/>
        <v>0</v>
      </c>
      <c r="N99" s="1255">
        <f t="shared" si="35"/>
        <v>0</v>
      </c>
      <c r="O99" s="1255">
        <f t="shared" ref="O99" si="36">O46+O70+O95</f>
        <v>0</v>
      </c>
      <c r="P99" s="1037"/>
      <c r="Q99" s="539"/>
    </row>
    <row r="100" spans="2:17" ht="13.15" customHeight="1" x14ac:dyDescent="0.2">
      <c r="B100" s="26"/>
      <c r="C100" s="1037"/>
      <c r="D100" s="1038"/>
      <c r="E100" s="1037"/>
      <c r="F100" s="1039"/>
      <c r="G100" s="1037"/>
      <c r="H100" s="1250"/>
      <c r="I100" s="1039"/>
      <c r="J100" s="1039"/>
      <c r="K100" s="1039"/>
      <c r="L100" s="1039"/>
      <c r="M100" s="1039"/>
      <c r="N100" s="1039"/>
      <c r="O100" s="1039"/>
      <c r="P100" s="1037"/>
      <c r="Q100" s="539"/>
    </row>
    <row r="101" spans="2:17" ht="13.15" customHeight="1" x14ac:dyDescent="0.2">
      <c r="B101" s="26"/>
      <c r="C101" s="209"/>
      <c r="D101" s="229"/>
      <c r="E101" s="209"/>
      <c r="F101" s="210"/>
      <c r="G101" s="209"/>
      <c r="H101" s="210"/>
      <c r="I101" s="210"/>
      <c r="J101" s="210"/>
      <c r="K101" s="210"/>
      <c r="L101" s="210"/>
      <c r="M101" s="210"/>
      <c r="N101" s="210"/>
      <c r="O101" s="210"/>
      <c r="P101" s="209"/>
      <c r="Q101" s="30"/>
    </row>
    <row r="102" spans="2:17" ht="13.15" customHeight="1" x14ac:dyDescent="0.2">
      <c r="B102" s="211"/>
      <c r="C102" s="220"/>
      <c r="D102" s="230"/>
      <c r="E102" s="220"/>
      <c r="F102" s="221"/>
      <c r="G102" s="220"/>
      <c r="H102" s="221"/>
      <c r="I102" s="221"/>
      <c r="J102" s="221"/>
      <c r="K102" s="221"/>
      <c r="L102" s="221"/>
      <c r="M102" s="221"/>
      <c r="N102" s="221"/>
      <c r="O102" s="221"/>
      <c r="P102" s="220"/>
      <c r="Q102" s="213"/>
    </row>
    <row r="103" spans="2:17" ht="13.15" customHeight="1" x14ac:dyDescent="0.2">
      <c r="B103" s="23"/>
      <c r="C103" s="222"/>
      <c r="D103" s="231"/>
      <c r="E103" s="222"/>
      <c r="F103" s="223"/>
      <c r="G103" s="222"/>
      <c r="H103" s="223"/>
      <c r="I103" s="223"/>
      <c r="J103" s="223"/>
      <c r="K103" s="223"/>
      <c r="L103" s="223"/>
      <c r="M103" s="223"/>
      <c r="N103" s="223"/>
      <c r="O103" s="223"/>
      <c r="P103" s="222"/>
      <c r="Q103" s="25"/>
    </row>
    <row r="104" spans="2:17" ht="13.15" customHeight="1" x14ac:dyDescent="0.2">
      <c r="B104" s="26"/>
      <c r="C104" s="209"/>
      <c r="D104" s="229"/>
      <c r="E104" s="209"/>
      <c r="F104" s="210"/>
      <c r="G104" s="209"/>
      <c r="H104" s="233"/>
      <c r="I104" s="233"/>
      <c r="J104" s="233"/>
      <c r="K104" s="233"/>
      <c r="L104" s="233"/>
      <c r="M104" s="233"/>
      <c r="N104" s="233"/>
      <c r="O104" s="233"/>
      <c r="P104" s="209"/>
      <c r="Q104" s="30"/>
    </row>
    <row r="105" spans="2:17" ht="13.15" customHeight="1" x14ac:dyDescent="0.2">
      <c r="B105" s="26"/>
      <c r="C105" s="209"/>
      <c r="D105" s="229"/>
      <c r="E105" s="209"/>
      <c r="F105" s="210"/>
      <c r="G105" s="209"/>
      <c r="H105" s="660" t="e">
        <f t="shared" ref="H105:O105" si="37">H8</f>
        <v>#REF!</v>
      </c>
      <c r="I105" s="660" t="str">
        <f t="shared" si="37"/>
        <v>2015/16</v>
      </c>
      <c r="J105" s="660" t="str">
        <f t="shared" si="37"/>
        <v>2016/17</v>
      </c>
      <c r="K105" s="660" t="str">
        <f t="shared" si="37"/>
        <v>2017/18</v>
      </c>
      <c r="L105" s="660" t="str">
        <f t="shared" si="37"/>
        <v>2018/19</v>
      </c>
      <c r="M105" s="660" t="str">
        <f t="shared" si="37"/>
        <v>2019/20</v>
      </c>
      <c r="N105" s="660" t="str">
        <f t="shared" si="37"/>
        <v>2020/21</v>
      </c>
      <c r="O105" s="660" t="str">
        <f t="shared" si="37"/>
        <v>2021/22</v>
      </c>
      <c r="P105" s="209"/>
      <c r="Q105" s="30"/>
    </row>
    <row r="106" spans="2:17" ht="13.15" customHeight="1" x14ac:dyDescent="0.2">
      <c r="B106" s="26"/>
      <c r="C106" s="209"/>
      <c r="D106" s="229"/>
      <c r="E106" s="209"/>
      <c r="F106" s="210"/>
      <c r="G106" s="209"/>
      <c r="H106" s="702"/>
      <c r="I106" s="702"/>
      <c r="J106" s="702"/>
      <c r="K106" s="702"/>
      <c r="L106" s="702"/>
      <c r="M106" s="702"/>
      <c r="N106" s="702"/>
      <c r="O106" s="702"/>
      <c r="P106" s="209"/>
      <c r="Q106" s="30"/>
    </row>
    <row r="107" spans="2:17" ht="13.15" customHeight="1" x14ac:dyDescent="0.2">
      <c r="B107" s="26"/>
      <c r="C107" s="1037"/>
      <c r="D107" s="1037"/>
      <c r="E107" s="1037"/>
      <c r="F107" s="1039"/>
      <c r="G107" s="1037"/>
      <c r="H107" s="1039"/>
      <c r="I107" s="1039"/>
      <c r="J107" s="1039"/>
      <c r="K107" s="1039"/>
      <c r="L107" s="1039"/>
      <c r="M107" s="1039"/>
      <c r="N107" s="1039"/>
      <c r="O107" s="1039"/>
      <c r="P107" s="1037"/>
      <c r="Q107" s="30"/>
    </row>
    <row r="108" spans="2:17" ht="13.15" customHeight="1" x14ac:dyDescent="0.2">
      <c r="B108" s="26"/>
      <c r="C108" s="1037"/>
      <c r="D108" s="1049" t="s">
        <v>54</v>
      </c>
      <c r="E108" s="1037"/>
      <c r="F108" s="1039"/>
      <c r="G108" s="1037"/>
      <c r="H108" s="1039"/>
      <c r="I108" s="1039"/>
      <c r="J108" s="1039"/>
      <c r="K108" s="1039"/>
      <c r="L108" s="1039"/>
      <c r="M108" s="1039"/>
      <c r="N108" s="1039"/>
      <c r="O108" s="1039"/>
      <c r="P108" s="1037"/>
      <c r="Q108" s="30"/>
    </row>
    <row r="109" spans="2:17" ht="13.15" customHeight="1" x14ac:dyDescent="0.2">
      <c r="B109" s="26"/>
      <c r="C109" s="1037"/>
      <c r="D109" s="1075"/>
      <c r="E109" s="1037"/>
      <c r="F109" s="1087" t="s">
        <v>376</v>
      </c>
      <c r="G109" s="1037"/>
      <c r="H109" s="1039"/>
      <c r="I109" s="1039"/>
      <c r="J109" s="1039"/>
      <c r="K109" s="1039"/>
      <c r="L109" s="1039"/>
      <c r="M109" s="1039"/>
      <c r="N109" s="1039"/>
      <c r="O109" s="1039"/>
      <c r="P109" s="1037"/>
      <c r="Q109" s="30"/>
    </row>
    <row r="110" spans="2:17" ht="13.15" customHeight="1" x14ac:dyDescent="0.2">
      <c r="B110" s="26"/>
      <c r="C110" s="1037"/>
      <c r="D110" s="1075" t="s">
        <v>651</v>
      </c>
      <c r="E110" s="1037"/>
      <c r="F110" s="1221"/>
      <c r="G110" s="1037"/>
      <c r="H110" s="1349" t="e">
        <f>+'sal pers SWV'!#REF!</f>
        <v>#REF!</v>
      </c>
      <c r="I110" s="1349">
        <f>+'sal pers SWV'!U36</f>
        <v>77086.080000000016</v>
      </c>
      <c r="J110" s="1349">
        <f>+'sal pers SWV'!U69</f>
        <v>81317.52</v>
      </c>
      <c r="K110" s="1349">
        <f>+'sal pers SWV'!U101</f>
        <v>84408.480000000025</v>
      </c>
      <c r="L110" s="1349">
        <f>+'sal pers SWV'!U133</f>
        <v>86780.160000000003</v>
      </c>
      <c r="M110" s="1349">
        <f>+'sal pers SWV'!U165</f>
        <v>86780.160000000003</v>
      </c>
      <c r="N110" s="1349">
        <f>+'sal pers SWV'!U197</f>
        <v>86780.160000000003</v>
      </c>
      <c r="O110" s="1349">
        <f>+'sal pers SWV'!U229</f>
        <v>86780.160000000003</v>
      </c>
      <c r="P110" s="1037"/>
      <c r="Q110" s="30"/>
    </row>
    <row r="111" spans="2:17" ht="13.15" customHeight="1" x14ac:dyDescent="0.2">
      <c r="B111" s="26"/>
      <c r="C111" s="1037"/>
      <c r="D111" s="1075"/>
      <c r="E111" s="1037"/>
      <c r="F111" s="1150"/>
      <c r="G111" s="1151"/>
      <c r="H111" s="1152"/>
      <c r="I111" s="1152"/>
      <c r="J111" s="1152"/>
      <c r="K111" s="1152"/>
      <c r="L111" s="1152"/>
      <c r="M111" s="1152"/>
      <c r="N111" s="1152"/>
      <c r="O111" s="1152"/>
      <c r="P111" s="1037"/>
      <c r="Q111" s="30"/>
    </row>
    <row r="112" spans="2:17" ht="13.15" customHeight="1" x14ac:dyDescent="0.2">
      <c r="B112" s="26"/>
      <c r="C112" s="1037"/>
      <c r="D112" s="1075" t="s">
        <v>106</v>
      </c>
      <c r="E112" s="1037"/>
      <c r="F112" s="1039"/>
      <c r="G112" s="1037"/>
      <c r="H112" s="1039"/>
      <c r="I112" s="1039"/>
      <c r="J112" s="1039"/>
      <c r="K112" s="1039"/>
      <c r="L112" s="1039"/>
      <c r="M112" s="1039"/>
      <c r="N112" s="1039"/>
      <c r="O112" s="1039"/>
      <c r="P112" s="1037"/>
      <c r="Q112" s="30"/>
    </row>
    <row r="113" spans="2:17" ht="13.15" customHeight="1" x14ac:dyDescent="0.2">
      <c r="B113" s="26"/>
      <c r="C113" s="1037"/>
      <c r="D113" s="1056" t="s">
        <v>329</v>
      </c>
      <c r="E113" s="1037"/>
      <c r="F113" s="1039"/>
      <c r="G113" s="1037"/>
      <c r="H113" s="1039"/>
      <c r="I113" s="1039"/>
      <c r="J113" s="1039"/>
      <c r="K113" s="1039"/>
      <c r="L113" s="1039"/>
      <c r="M113" s="1039"/>
      <c r="N113" s="1039"/>
      <c r="O113" s="1039"/>
      <c r="P113" s="1037"/>
      <c r="Q113" s="30"/>
    </row>
    <row r="114" spans="2:17" ht="13.15" customHeight="1" x14ac:dyDescent="0.2">
      <c r="B114" s="26"/>
      <c r="C114" s="1037"/>
      <c r="D114" s="1037" t="s">
        <v>295</v>
      </c>
      <c r="E114" s="1056"/>
      <c r="F114" s="1221"/>
      <c r="G114" s="1056"/>
      <c r="H114" s="1346" t="e">
        <f>+'peild SBO'!F107</f>
        <v>#REF!</v>
      </c>
      <c r="I114" s="1346">
        <f>+'peild SBO'!G107</f>
        <v>0</v>
      </c>
      <c r="J114" s="1346">
        <f>+'peild SBO'!H107</f>
        <v>0</v>
      </c>
      <c r="K114" s="1346">
        <f>+'peild SBO'!I107</f>
        <v>0</v>
      </c>
      <c r="L114" s="1346">
        <f>+'peild SBO'!J107</f>
        <v>0</v>
      </c>
      <c r="M114" s="1346">
        <f>+'peild SBO'!K107</f>
        <v>0</v>
      </c>
      <c r="N114" s="1346">
        <f>+'peild SBO'!L107</f>
        <v>0</v>
      </c>
      <c r="O114" s="1346">
        <f>+'peild SBO'!M107</f>
        <v>0</v>
      </c>
      <c r="P114" s="1037"/>
      <c r="Q114" s="30"/>
    </row>
    <row r="115" spans="2:17" ht="13.15" customHeight="1" x14ac:dyDescent="0.2">
      <c r="B115" s="26"/>
      <c r="C115" s="1037"/>
      <c r="D115" s="1000" t="s">
        <v>432</v>
      </c>
      <c r="E115" s="1037"/>
      <c r="F115" s="1221"/>
      <c r="G115" s="1037"/>
      <c r="H115" s="1346" t="e">
        <f>ROUND(+'geg LO'!F103*(tab!#REF!+tab!#REF!)+'geg LO'!F104*tab!#REF!,0)</f>
        <v>#REF!</v>
      </c>
      <c r="I115" s="1346">
        <f>ROUND(+'geg LO'!G103*(tab!$C$49+tab!$C$50)+'geg LO'!G104*tab!$C$50,0)</f>
        <v>0</v>
      </c>
      <c r="J115" s="1346">
        <f>ROUND(+'geg LO'!H103*(tab!$C$49+tab!$C$50)+'geg LO'!H104*tab!$C$50,0)</f>
        <v>0</v>
      </c>
      <c r="K115" s="1346">
        <f>ROUND(+'geg LO'!I103*(tab!$C$49+tab!$C$50)+'geg LO'!I104*tab!$C$50,0)</f>
        <v>0</v>
      </c>
      <c r="L115" s="1346">
        <f>ROUND(+'geg LO'!J103*(tab!$C$49+tab!$C$50)+'geg LO'!J104*tab!$C$50,0)</f>
        <v>0</v>
      </c>
      <c r="M115" s="1346">
        <f>ROUND(+'geg LO'!K103*(tab!$C$49+tab!$C$50)+'geg LO'!K104*tab!$C$50,0)</f>
        <v>0</v>
      </c>
      <c r="N115" s="1346">
        <f>ROUND(+'geg LO'!L103*(tab!$C$49+tab!$C$50)+'geg LO'!L104*tab!$C$50,0)</f>
        <v>0</v>
      </c>
      <c r="O115" s="1346">
        <f>ROUND(+'geg LO'!M103*(tab!$C$49+tab!$C$50)+'geg LO'!M104*tab!$C$50,0)</f>
        <v>0</v>
      </c>
      <c r="P115" s="1037"/>
      <c r="Q115" s="30"/>
    </row>
    <row r="116" spans="2:17" ht="13.15" customHeight="1" x14ac:dyDescent="0.2">
      <c r="B116" s="26"/>
      <c r="C116" s="1037"/>
      <c r="D116" s="1000" t="s">
        <v>652</v>
      </c>
      <c r="E116" s="1037"/>
      <c r="F116" s="1221"/>
      <c r="G116" s="1037"/>
      <c r="H116" s="1350">
        <v>0</v>
      </c>
      <c r="I116" s="1350">
        <f t="shared" ref="I116:L127" si="38">H116</f>
        <v>0</v>
      </c>
      <c r="J116" s="1350">
        <f t="shared" si="38"/>
        <v>0</v>
      </c>
      <c r="K116" s="1350">
        <f t="shared" si="38"/>
        <v>0</v>
      </c>
      <c r="L116" s="1350">
        <f t="shared" ref="L116:L124" si="39">K116</f>
        <v>0</v>
      </c>
      <c r="M116" s="1350">
        <f t="shared" ref="M116:M127" si="40">L116</f>
        <v>0</v>
      </c>
      <c r="N116" s="1350">
        <f t="shared" ref="N116:O127" si="41">M116</f>
        <v>0</v>
      </c>
      <c r="O116" s="1350">
        <f t="shared" si="41"/>
        <v>0</v>
      </c>
      <c r="P116" s="1037"/>
      <c r="Q116" s="30"/>
    </row>
    <row r="117" spans="2:17" ht="13.15" customHeight="1" x14ac:dyDescent="0.2">
      <c r="B117" s="26"/>
      <c r="C117" s="1037"/>
      <c r="D117" s="1093" t="s">
        <v>968</v>
      </c>
      <c r="E117" s="1037"/>
      <c r="F117" s="1221"/>
      <c r="G117" s="1037"/>
      <c r="H117" s="1350">
        <v>0</v>
      </c>
      <c r="I117" s="1350">
        <f t="shared" si="38"/>
        <v>0</v>
      </c>
      <c r="J117" s="1350">
        <f t="shared" si="38"/>
        <v>0</v>
      </c>
      <c r="K117" s="1350">
        <f t="shared" si="38"/>
        <v>0</v>
      </c>
      <c r="L117" s="1350">
        <f t="shared" si="39"/>
        <v>0</v>
      </c>
      <c r="M117" s="1350">
        <f t="shared" si="40"/>
        <v>0</v>
      </c>
      <c r="N117" s="1350">
        <f t="shared" si="41"/>
        <v>0</v>
      </c>
      <c r="O117" s="1350">
        <f t="shared" si="41"/>
        <v>0</v>
      </c>
      <c r="P117" s="1037"/>
      <c r="Q117" s="30"/>
    </row>
    <row r="118" spans="2:17" ht="13.15" customHeight="1" x14ac:dyDescent="0.2">
      <c r="B118" s="26"/>
      <c r="C118" s="1037"/>
      <c r="D118" s="1252"/>
      <c r="E118" s="1037"/>
      <c r="F118" s="1221"/>
      <c r="G118" s="1037"/>
      <c r="H118" s="1350">
        <v>0</v>
      </c>
      <c r="I118" s="1350">
        <f t="shared" si="38"/>
        <v>0</v>
      </c>
      <c r="J118" s="1350">
        <f t="shared" si="38"/>
        <v>0</v>
      </c>
      <c r="K118" s="1350">
        <f t="shared" si="38"/>
        <v>0</v>
      </c>
      <c r="L118" s="1350">
        <f t="shared" si="39"/>
        <v>0</v>
      </c>
      <c r="M118" s="1350">
        <f t="shared" si="40"/>
        <v>0</v>
      </c>
      <c r="N118" s="1350">
        <f t="shared" si="41"/>
        <v>0</v>
      </c>
      <c r="O118" s="1350">
        <f t="shared" si="41"/>
        <v>0</v>
      </c>
      <c r="P118" s="1037"/>
      <c r="Q118" s="30"/>
    </row>
    <row r="119" spans="2:17" ht="13.15" customHeight="1" x14ac:dyDescent="0.2">
      <c r="B119" s="26"/>
      <c r="C119" s="1037"/>
      <c r="D119" s="1252"/>
      <c r="E119" s="1037"/>
      <c r="F119" s="1221"/>
      <c r="G119" s="1037"/>
      <c r="H119" s="1350">
        <v>0</v>
      </c>
      <c r="I119" s="1350">
        <f t="shared" si="38"/>
        <v>0</v>
      </c>
      <c r="J119" s="1350">
        <f t="shared" si="38"/>
        <v>0</v>
      </c>
      <c r="K119" s="1350">
        <f t="shared" si="38"/>
        <v>0</v>
      </c>
      <c r="L119" s="1350">
        <f t="shared" si="39"/>
        <v>0</v>
      </c>
      <c r="M119" s="1350">
        <f t="shared" si="40"/>
        <v>0</v>
      </c>
      <c r="N119" s="1350">
        <f t="shared" si="41"/>
        <v>0</v>
      </c>
      <c r="O119" s="1350">
        <f t="shared" si="41"/>
        <v>0</v>
      </c>
      <c r="P119" s="1037"/>
      <c r="Q119" s="30"/>
    </row>
    <row r="120" spans="2:17" ht="13.15" customHeight="1" x14ac:dyDescent="0.2">
      <c r="B120" s="26"/>
      <c r="C120" s="1037"/>
      <c r="D120" s="1260"/>
      <c r="E120" s="1037"/>
      <c r="F120" s="1221"/>
      <c r="G120" s="1037"/>
      <c r="H120" s="1350">
        <v>0</v>
      </c>
      <c r="I120" s="1350">
        <f t="shared" si="38"/>
        <v>0</v>
      </c>
      <c r="J120" s="1350">
        <f t="shared" si="38"/>
        <v>0</v>
      </c>
      <c r="K120" s="1350">
        <f t="shared" si="38"/>
        <v>0</v>
      </c>
      <c r="L120" s="1350">
        <f t="shared" si="39"/>
        <v>0</v>
      </c>
      <c r="M120" s="1350">
        <f t="shared" si="40"/>
        <v>0</v>
      </c>
      <c r="N120" s="1350">
        <f t="shared" si="41"/>
        <v>0</v>
      </c>
      <c r="O120" s="1350">
        <f t="shared" si="41"/>
        <v>0</v>
      </c>
      <c r="P120" s="1037"/>
      <c r="Q120" s="30"/>
    </row>
    <row r="121" spans="2:17" ht="13.15" customHeight="1" x14ac:dyDescent="0.2">
      <c r="B121" s="26"/>
      <c r="C121" s="1037"/>
      <c r="D121" s="1252"/>
      <c r="E121" s="1037"/>
      <c r="F121" s="1221"/>
      <c r="G121" s="1037"/>
      <c r="H121" s="1350">
        <v>0</v>
      </c>
      <c r="I121" s="1350">
        <f t="shared" si="38"/>
        <v>0</v>
      </c>
      <c r="J121" s="1350">
        <f t="shared" si="38"/>
        <v>0</v>
      </c>
      <c r="K121" s="1350">
        <f t="shared" si="38"/>
        <v>0</v>
      </c>
      <c r="L121" s="1350">
        <f t="shared" si="39"/>
        <v>0</v>
      </c>
      <c r="M121" s="1350">
        <f t="shared" si="40"/>
        <v>0</v>
      </c>
      <c r="N121" s="1350">
        <f t="shared" si="41"/>
        <v>0</v>
      </c>
      <c r="O121" s="1350">
        <f t="shared" si="41"/>
        <v>0</v>
      </c>
      <c r="P121" s="1037"/>
      <c r="Q121" s="30"/>
    </row>
    <row r="122" spans="2:17" ht="13.15" customHeight="1" x14ac:dyDescent="0.2">
      <c r="B122" s="26"/>
      <c r="C122" s="1037"/>
      <c r="D122" s="1252"/>
      <c r="E122" s="1037"/>
      <c r="F122" s="1221"/>
      <c r="G122" s="1037"/>
      <c r="H122" s="1350">
        <v>0</v>
      </c>
      <c r="I122" s="1350">
        <f t="shared" si="38"/>
        <v>0</v>
      </c>
      <c r="J122" s="1350">
        <f t="shared" si="38"/>
        <v>0</v>
      </c>
      <c r="K122" s="1350">
        <f t="shared" si="38"/>
        <v>0</v>
      </c>
      <c r="L122" s="1350">
        <f t="shared" si="39"/>
        <v>0</v>
      </c>
      <c r="M122" s="1350">
        <f t="shared" si="40"/>
        <v>0</v>
      </c>
      <c r="N122" s="1350">
        <f t="shared" si="41"/>
        <v>0</v>
      </c>
      <c r="O122" s="1350">
        <f t="shared" si="41"/>
        <v>0</v>
      </c>
      <c r="P122" s="1037"/>
      <c r="Q122" s="30"/>
    </row>
    <row r="123" spans="2:17" ht="13.15" customHeight="1" x14ac:dyDescent="0.2">
      <c r="B123" s="26"/>
      <c r="C123" s="1037"/>
      <c r="D123" s="1282"/>
      <c r="E123" s="1037"/>
      <c r="F123" s="1221"/>
      <c r="G123" s="1037"/>
      <c r="H123" s="1253">
        <v>0</v>
      </c>
      <c r="I123" s="1253">
        <f t="shared" si="38"/>
        <v>0</v>
      </c>
      <c r="J123" s="1253">
        <f t="shared" si="38"/>
        <v>0</v>
      </c>
      <c r="K123" s="1253">
        <f t="shared" si="38"/>
        <v>0</v>
      </c>
      <c r="L123" s="1253">
        <f t="shared" si="39"/>
        <v>0</v>
      </c>
      <c r="M123" s="1253">
        <f t="shared" si="40"/>
        <v>0</v>
      </c>
      <c r="N123" s="1253">
        <f t="shared" si="41"/>
        <v>0</v>
      </c>
      <c r="O123" s="1253">
        <f t="shared" si="41"/>
        <v>0</v>
      </c>
      <c r="P123" s="1037"/>
      <c r="Q123" s="30"/>
    </row>
    <row r="124" spans="2:17" ht="13.15" customHeight="1" x14ac:dyDescent="0.2">
      <c r="B124" s="26"/>
      <c r="C124" s="1037"/>
      <c r="D124" s="1252"/>
      <c r="E124" s="1037"/>
      <c r="F124" s="1221"/>
      <c r="G124" s="1037"/>
      <c r="H124" s="1253">
        <v>0</v>
      </c>
      <c r="I124" s="1253">
        <f t="shared" si="38"/>
        <v>0</v>
      </c>
      <c r="J124" s="1253">
        <f t="shared" si="38"/>
        <v>0</v>
      </c>
      <c r="K124" s="1253">
        <f t="shared" si="38"/>
        <v>0</v>
      </c>
      <c r="L124" s="1253">
        <f t="shared" si="39"/>
        <v>0</v>
      </c>
      <c r="M124" s="1253">
        <f t="shared" si="40"/>
        <v>0</v>
      </c>
      <c r="N124" s="1253">
        <f t="shared" si="41"/>
        <v>0</v>
      </c>
      <c r="O124" s="1253">
        <f t="shared" si="41"/>
        <v>0</v>
      </c>
      <c r="P124" s="1037"/>
      <c r="Q124" s="30"/>
    </row>
    <row r="125" spans="2:17" ht="13.15" customHeight="1" x14ac:dyDescent="0.2">
      <c r="B125" s="26"/>
      <c r="C125" s="1037"/>
      <c r="D125" s="1252"/>
      <c r="E125" s="1037"/>
      <c r="F125" s="1221"/>
      <c r="G125" s="1037"/>
      <c r="H125" s="1253">
        <v>0</v>
      </c>
      <c r="I125" s="1253">
        <f t="shared" si="38"/>
        <v>0</v>
      </c>
      <c r="J125" s="1253">
        <f t="shared" si="38"/>
        <v>0</v>
      </c>
      <c r="K125" s="1253">
        <f t="shared" si="38"/>
        <v>0</v>
      </c>
      <c r="L125" s="1253">
        <f t="shared" si="38"/>
        <v>0</v>
      </c>
      <c r="M125" s="1253">
        <f t="shared" si="40"/>
        <v>0</v>
      </c>
      <c r="N125" s="1253">
        <f t="shared" si="41"/>
        <v>0</v>
      </c>
      <c r="O125" s="1253">
        <f t="shared" si="41"/>
        <v>0</v>
      </c>
      <c r="P125" s="1037"/>
      <c r="Q125" s="30"/>
    </row>
    <row r="126" spans="2:17" ht="13.15" customHeight="1" x14ac:dyDescent="0.2">
      <c r="B126" s="26"/>
      <c r="C126" s="1037"/>
      <c r="D126" s="1252"/>
      <c r="E126" s="1037"/>
      <c r="F126" s="1221"/>
      <c r="G126" s="1037"/>
      <c r="H126" s="1253">
        <v>0</v>
      </c>
      <c r="I126" s="1253">
        <f t="shared" si="38"/>
        <v>0</v>
      </c>
      <c r="J126" s="1253">
        <f t="shared" si="38"/>
        <v>0</v>
      </c>
      <c r="K126" s="1253">
        <f t="shared" si="38"/>
        <v>0</v>
      </c>
      <c r="L126" s="1253">
        <f>K126</f>
        <v>0</v>
      </c>
      <c r="M126" s="1253">
        <f t="shared" si="40"/>
        <v>0</v>
      </c>
      <c r="N126" s="1253">
        <f t="shared" si="41"/>
        <v>0</v>
      </c>
      <c r="O126" s="1253">
        <f t="shared" si="41"/>
        <v>0</v>
      </c>
      <c r="P126" s="1037"/>
      <c r="Q126" s="30"/>
    </row>
    <row r="127" spans="2:17" ht="13.15" customHeight="1" x14ac:dyDescent="0.2">
      <c r="B127" s="26"/>
      <c r="C127" s="1037"/>
      <c r="D127" s="1260"/>
      <c r="E127" s="1037"/>
      <c r="F127" s="1221"/>
      <c r="G127" s="1037"/>
      <c r="H127" s="1253">
        <v>0</v>
      </c>
      <c r="I127" s="1253">
        <f t="shared" si="38"/>
        <v>0</v>
      </c>
      <c r="J127" s="1253">
        <f t="shared" si="38"/>
        <v>0</v>
      </c>
      <c r="K127" s="1253">
        <f t="shared" si="38"/>
        <v>0</v>
      </c>
      <c r="L127" s="1253">
        <f>K127</f>
        <v>0</v>
      </c>
      <c r="M127" s="1253">
        <f t="shared" si="40"/>
        <v>0</v>
      </c>
      <c r="N127" s="1253">
        <f t="shared" si="41"/>
        <v>0</v>
      </c>
      <c r="O127" s="1253">
        <f t="shared" si="41"/>
        <v>0</v>
      </c>
      <c r="P127" s="1037"/>
      <c r="Q127" s="30"/>
    </row>
    <row r="128" spans="2:17" ht="13.15" customHeight="1" x14ac:dyDescent="0.2">
      <c r="B128" s="26"/>
      <c r="C128" s="1037"/>
      <c r="D128" s="1037"/>
      <c r="E128" s="1037"/>
      <c r="F128" s="1039"/>
      <c r="G128" s="1037"/>
      <c r="H128" s="1274" t="e">
        <f t="shared" ref="H128:N128" si="42">SUM(H114:H127)</f>
        <v>#REF!</v>
      </c>
      <c r="I128" s="1274">
        <f t="shared" si="42"/>
        <v>0</v>
      </c>
      <c r="J128" s="1274">
        <f t="shared" si="42"/>
        <v>0</v>
      </c>
      <c r="K128" s="1274">
        <f t="shared" si="42"/>
        <v>0</v>
      </c>
      <c r="L128" s="1274">
        <f t="shared" si="42"/>
        <v>0</v>
      </c>
      <c r="M128" s="1274">
        <f t="shared" si="42"/>
        <v>0</v>
      </c>
      <c r="N128" s="1274">
        <f t="shared" si="42"/>
        <v>0</v>
      </c>
      <c r="O128" s="1274">
        <f t="shared" ref="O128" si="43">SUM(O114:O127)</f>
        <v>0</v>
      </c>
      <c r="P128" s="1037"/>
      <c r="Q128" s="30"/>
    </row>
    <row r="129" spans="2:17" ht="13.15" customHeight="1" x14ac:dyDescent="0.2">
      <c r="B129" s="26"/>
      <c r="C129" s="1037"/>
      <c r="D129" s="1038"/>
      <c r="E129" s="1037"/>
      <c r="F129" s="1039"/>
      <c r="G129" s="1037"/>
      <c r="H129" s="1250"/>
      <c r="I129" s="1039"/>
      <c r="J129" s="1039"/>
      <c r="K129" s="1039"/>
      <c r="L129" s="1039"/>
      <c r="M129" s="1039"/>
      <c r="N129" s="1039"/>
      <c r="O129" s="1039"/>
      <c r="P129" s="1037"/>
      <c r="Q129" s="30"/>
    </row>
    <row r="130" spans="2:17" ht="13.15" customHeight="1" x14ac:dyDescent="0.2">
      <c r="B130" s="26"/>
      <c r="C130" s="1037"/>
      <c r="D130" s="1075"/>
      <c r="E130" s="1000"/>
      <c r="F130" s="1076"/>
      <c r="G130" s="1000"/>
      <c r="H130" s="1256"/>
      <c r="I130" s="1076"/>
      <c r="J130" s="1076"/>
      <c r="K130" s="1076"/>
      <c r="L130" s="1076"/>
      <c r="M130" s="1076"/>
      <c r="N130" s="1076"/>
      <c r="O130" s="1076"/>
      <c r="P130" s="1037"/>
      <c r="Q130" s="30"/>
    </row>
    <row r="131" spans="2:17" ht="13.15" customHeight="1" x14ac:dyDescent="0.2">
      <c r="B131" s="26"/>
      <c r="C131" s="1000"/>
      <c r="D131" s="1075" t="s">
        <v>107</v>
      </c>
      <c r="E131" s="1000"/>
      <c r="F131" s="1076"/>
      <c r="G131" s="1000"/>
      <c r="H131" s="1256"/>
      <c r="I131" s="1076"/>
      <c r="J131" s="1076"/>
      <c r="K131" s="1076"/>
      <c r="L131" s="1076"/>
      <c r="M131" s="1076"/>
      <c r="N131" s="1076"/>
      <c r="O131" s="1076"/>
      <c r="P131" s="1000"/>
      <c r="Q131" s="30"/>
    </row>
    <row r="132" spans="2:17" ht="13.15" customHeight="1" x14ac:dyDescent="0.2">
      <c r="B132" s="26"/>
      <c r="C132" s="1000"/>
      <c r="D132" s="1056" t="s">
        <v>329</v>
      </c>
      <c r="E132" s="1000"/>
      <c r="F132" s="1076"/>
      <c r="G132" s="1000"/>
      <c r="H132" s="1256"/>
      <c r="I132" s="1076"/>
      <c r="J132" s="1076"/>
      <c r="K132" s="1076"/>
      <c r="L132" s="1076"/>
      <c r="M132" s="1076"/>
      <c r="N132" s="1076"/>
      <c r="O132" s="1076"/>
      <c r="P132" s="1000"/>
      <c r="Q132" s="30"/>
    </row>
    <row r="133" spans="2:17" ht="13.15" customHeight="1" x14ac:dyDescent="0.2">
      <c r="B133" s="26"/>
      <c r="C133" s="1000"/>
      <c r="D133" s="1000" t="s">
        <v>38</v>
      </c>
      <c r="E133" s="1056"/>
      <c r="F133" s="1124"/>
      <c r="G133" s="1056"/>
      <c r="H133" s="1295">
        <f>'overdr SO'!I14</f>
        <v>0</v>
      </c>
      <c r="I133" s="1295">
        <f>'overdr SO'!J14</f>
        <v>0</v>
      </c>
      <c r="J133" s="1295">
        <f>'overdr SO'!K14</f>
        <v>0</v>
      </c>
      <c r="K133" s="1295">
        <f>'overdr SO'!L14</f>
        <v>0</v>
      </c>
      <c r="L133" s="1295">
        <f>'overdr SO'!M14</f>
        <v>0</v>
      </c>
      <c r="M133" s="1295">
        <f>'overdr SO'!N14</f>
        <v>0</v>
      </c>
      <c r="N133" s="1295">
        <f>'overdr SO'!O14</f>
        <v>0</v>
      </c>
      <c r="O133" s="1295">
        <f>'overdr SO'!P14</f>
        <v>0</v>
      </c>
      <c r="P133" s="1000"/>
      <c r="Q133" s="30"/>
    </row>
    <row r="134" spans="2:17" ht="13.15" customHeight="1" x14ac:dyDescent="0.2">
      <c r="B134" s="26"/>
      <c r="C134" s="1000"/>
      <c r="D134" s="1000" t="s">
        <v>39</v>
      </c>
      <c r="E134" s="1056"/>
      <c r="F134" s="1124"/>
      <c r="G134" s="1056"/>
      <c r="H134" s="1351">
        <f>+'peild SO'!G10</f>
        <v>0</v>
      </c>
      <c r="I134" s="1351">
        <v>0</v>
      </c>
      <c r="J134" s="1351">
        <v>0</v>
      </c>
      <c r="K134" s="1351">
        <f t="shared" ref="K134:O134" si="44">+J134</f>
        <v>0</v>
      </c>
      <c r="L134" s="1351">
        <f t="shared" si="44"/>
        <v>0</v>
      </c>
      <c r="M134" s="1351">
        <f t="shared" si="44"/>
        <v>0</v>
      </c>
      <c r="N134" s="1351">
        <f t="shared" si="44"/>
        <v>0</v>
      </c>
      <c r="O134" s="1351">
        <f t="shared" si="44"/>
        <v>0</v>
      </c>
      <c r="P134" s="1000"/>
      <c r="Q134" s="30"/>
    </row>
    <row r="135" spans="2:17" ht="13.15" customHeight="1" x14ac:dyDescent="0.2">
      <c r="B135" s="26"/>
      <c r="C135" s="1000"/>
      <c r="D135" s="1000" t="s">
        <v>330</v>
      </c>
      <c r="E135" s="1000"/>
      <c r="F135" s="1124"/>
      <c r="G135" s="1000"/>
      <c r="H135" s="1294">
        <v>0</v>
      </c>
      <c r="I135" s="1294">
        <f t="shared" ref="I135:L146" si="45">H135</f>
        <v>0</v>
      </c>
      <c r="J135" s="1294">
        <f t="shared" si="45"/>
        <v>0</v>
      </c>
      <c r="K135" s="1294">
        <f t="shared" si="45"/>
        <v>0</v>
      </c>
      <c r="L135" s="1294">
        <f t="shared" si="45"/>
        <v>0</v>
      </c>
      <c r="M135" s="1294">
        <f t="shared" ref="M135:M146" si="46">L135</f>
        <v>0</v>
      </c>
      <c r="N135" s="1294">
        <f t="shared" ref="N135:O146" si="47">M135</f>
        <v>0</v>
      </c>
      <c r="O135" s="1294">
        <f t="shared" si="47"/>
        <v>0</v>
      </c>
      <c r="P135" s="1000"/>
      <c r="Q135" s="30"/>
    </row>
    <row r="136" spans="2:17" ht="13.15" customHeight="1" x14ac:dyDescent="0.2">
      <c r="B136" s="26"/>
      <c r="C136" s="1000"/>
      <c r="D136" s="1093" t="s">
        <v>968</v>
      </c>
      <c r="E136" s="1000"/>
      <c r="F136" s="1124"/>
      <c r="G136" s="1000"/>
      <c r="H136" s="1294">
        <v>0</v>
      </c>
      <c r="I136" s="1294">
        <f t="shared" si="45"/>
        <v>0</v>
      </c>
      <c r="J136" s="1294">
        <f t="shared" si="45"/>
        <v>0</v>
      </c>
      <c r="K136" s="1294">
        <f t="shared" si="45"/>
        <v>0</v>
      </c>
      <c r="L136" s="1294">
        <f t="shared" si="45"/>
        <v>0</v>
      </c>
      <c r="M136" s="1294">
        <f t="shared" si="46"/>
        <v>0</v>
      </c>
      <c r="N136" s="1294">
        <f t="shared" si="47"/>
        <v>0</v>
      </c>
      <c r="O136" s="1294">
        <f t="shared" si="47"/>
        <v>0</v>
      </c>
      <c r="P136" s="1000"/>
      <c r="Q136" s="30"/>
    </row>
    <row r="137" spans="2:17" ht="13.15" customHeight="1" x14ac:dyDescent="0.2">
      <c r="B137" s="26"/>
      <c r="C137" s="1000"/>
      <c r="D137" s="1000" t="s">
        <v>940</v>
      </c>
      <c r="E137" s="1000"/>
      <c r="F137" s="1124"/>
      <c r="G137" s="1000"/>
      <c r="H137" s="1270">
        <v>0</v>
      </c>
      <c r="I137" s="1352">
        <f>+herbest!I105</f>
        <v>0</v>
      </c>
      <c r="J137" s="1352">
        <f t="shared" ref="J137:O138" si="48">I137</f>
        <v>0</v>
      </c>
      <c r="K137" s="1352">
        <f t="shared" si="48"/>
        <v>0</v>
      </c>
      <c r="L137" s="1352">
        <f t="shared" si="48"/>
        <v>0</v>
      </c>
      <c r="M137" s="1352">
        <f t="shared" si="48"/>
        <v>0</v>
      </c>
      <c r="N137" s="1352">
        <f t="shared" si="48"/>
        <v>0</v>
      </c>
      <c r="O137" s="1352">
        <f t="shared" si="48"/>
        <v>0</v>
      </c>
      <c r="P137" s="1000"/>
      <c r="Q137" s="30"/>
    </row>
    <row r="138" spans="2:17" ht="13.15" customHeight="1" x14ac:dyDescent="0.2">
      <c r="B138" s="26"/>
      <c r="C138" s="1000"/>
      <c r="D138" s="1000" t="s">
        <v>1014</v>
      </c>
      <c r="E138" s="1000"/>
      <c r="F138" s="1124"/>
      <c r="G138" s="1000"/>
      <c r="H138" s="1352" t="e">
        <f>+herbest!#REF!+herbest!#REF!</f>
        <v>#REF!</v>
      </c>
      <c r="I138" s="1352">
        <f>herbest!H20+herbest!H44</f>
        <v>0</v>
      </c>
      <c r="J138" s="1352">
        <f t="shared" si="48"/>
        <v>0</v>
      </c>
      <c r="K138" s="1352">
        <f t="shared" si="48"/>
        <v>0</v>
      </c>
      <c r="L138" s="1352">
        <f t="shared" si="48"/>
        <v>0</v>
      </c>
      <c r="M138" s="1352">
        <f t="shared" si="48"/>
        <v>0</v>
      </c>
      <c r="N138" s="1352">
        <f t="shared" si="48"/>
        <v>0</v>
      </c>
      <c r="O138" s="1352">
        <f t="shared" si="48"/>
        <v>0</v>
      </c>
      <c r="P138" s="1000"/>
      <c r="Q138" s="30"/>
    </row>
    <row r="139" spans="2:17" ht="13.15" customHeight="1" x14ac:dyDescent="0.2">
      <c r="B139" s="26"/>
      <c r="C139" s="1000"/>
      <c r="D139" s="1260"/>
      <c r="E139" s="1000"/>
      <c r="F139" s="1124"/>
      <c r="G139" s="1000"/>
      <c r="H139" s="1294">
        <v>0</v>
      </c>
      <c r="I139" s="1294">
        <f t="shared" si="45"/>
        <v>0</v>
      </c>
      <c r="J139" s="1294">
        <f t="shared" si="45"/>
        <v>0</v>
      </c>
      <c r="K139" s="1294">
        <f t="shared" si="45"/>
        <v>0</v>
      </c>
      <c r="L139" s="1294">
        <f t="shared" si="45"/>
        <v>0</v>
      </c>
      <c r="M139" s="1294">
        <f t="shared" si="46"/>
        <v>0</v>
      </c>
      <c r="N139" s="1294">
        <f t="shared" si="47"/>
        <v>0</v>
      </c>
      <c r="O139" s="1294">
        <f t="shared" si="47"/>
        <v>0</v>
      </c>
      <c r="P139" s="1000"/>
      <c r="Q139" s="30"/>
    </row>
    <row r="140" spans="2:17" ht="13.15" customHeight="1" x14ac:dyDescent="0.2">
      <c r="B140" s="26"/>
      <c r="C140" s="1000"/>
      <c r="D140" s="1260"/>
      <c r="E140" s="1000"/>
      <c r="F140" s="1124"/>
      <c r="G140" s="1000"/>
      <c r="H140" s="1294">
        <v>0</v>
      </c>
      <c r="I140" s="1294">
        <f t="shared" si="45"/>
        <v>0</v>
      </c>
      <c r="J140" s="1294">
        <f t="shared" si="45"/>
        <v>0</v>
      </c>
      <c r="K140" s="1294">
        <f t="shared" si="45"/>
        <v>0</v>
      </c>
      <c r="L140" s="1294">
        <f t="shared" si="45"/>
        <v>0</v>
      </c>
      <c r="M140" s="1294">
        <f t="shared" si="46"/>
        <v>0</v>
      </c>
      <c r="N140" s="1294">
        <f t="shared" si="47"/>
        <v>0</v>
      </c>
      <c r="O140" s="1294">
        <f t="shared" si="47"/>
        <v>0</v>
      </c>
      <c r="P140" s="1000"/>
      <c r="Q140" s="30"/>
    </row>
    <row r="141" spans="2:17" ht="13.15" customHeight="1" x14ac:dyDescent="0.2">
      <c r="B141" s="26"/>
      <c r="C141" s="1000"/>
      <c r="D141" s="1260"/>
      <c r="E141" s="1000"/>
      <c r="F141" s="1124"/>
      <c r="G141" s="1000"/>
      <c r="H141" s="1294">
        <v>0</v>
      </c>
      <c r="I141" s="1294">
        <f t="shared" si="45"/>
        <v>0</v>
      </c>
      <c r="J141" s="1294">
        <f t="shared" si="45"/>
        <v>0</v>
      </c>
      <c r="K141" s="1294">
        <f t="shared" si="45"/>
        <v>0</v>
      </c>
      <c r="L141" s="1294">
        <f t="shared" si="45"/>
        <v>0</v>
      </c>
      <c r="M141" s="1294">
        <f t="shared" si="46"/>
        <v>0</v>
      </c>
      <c r="N141" s="1294">
        <f t="shared" si="47"/>
        <v>0</v>
      </c>
      <c r="O141" s="1294">
        <f t="shared" si="47"/>
        <v>0</v>
      </c>
      <c r="P141" s="1000"/>
      <c r="Q141" s="30"/>
    </row>
    <row r="142" spans="2:17" ht="13.15" customHeight="1" x14ac:dyDescent="0.2">
      <c r="B142" s="26"/>
      <c r="C142" s="1000"/>
      <c r="D142" s="1260"/>
      <c r="E142" s="1000"/>
      <c r="F142" s="1124"/>
      <c r="G142" s="1000"/>
      <c r="H142" s="1294">
        <v>0</v>
      </c>
      <c r="I142" s="1294">
        <f t="shared" si="45"/>
        <v>0</v>
      </c>
      <c r="J142" s="1294">
        <f t="shared" si="45"/>
        <v>0</v>
      </c>
      <c r="K142" s="1294">
        <f t="shared" ref="K142:L143" si="49">J142</f>
        <v>0</v>
      </c>
      <c r="L142" s="1294">
        <f t="shared" si="49"/>
        <v>0</v>
      </c>
      <c r="M142" s="1294">
        <f t="shared" si="46"/>
        <v>0</v>
      </c>
      <c r="N142" s="1294">
        <f t="shared" si="47"/>
        <v>0</v>
      </c>
      <c r="O142" s="1294">
        <f t="shared" si="47"/>
        <v>0</v>
      </c>
      <c r="P142" s="1000"/>
      <c r="Q142" s="30"/>
    </row>
    <row r="143" spans="2:17" ht="13.15" customHeight="1" x14ac:dyDescent="0.2">
      <c r="B143" s="26"/>
      <c r="C143" s="1000"/>
      <c r="D143" s="1260"/>
      <c r="E143" s="1000"/>
      <c r="F143" s="1124"/>
      <c r="G143" s="1000"/>
      <c r="H143" s="1294">
        <v>0</v>
      </c>
      <c r="I143" s="1294">
        <f t="shared" si="45"/>
        <v>0</v>
      </c>
      <c r="J143" s="1294">
        <f t="shared" si="45"/>
        <v>0</v>
      </c>
      <c r="K143" s="1294">
        <f t="shared" si="49"/>
        <v>0</v>
      </c>
      <c r="L143" s="1294">
        <f t="shared" si="49"/>
        <v>0</v>
      </c>
      <c r="M143" s="1294">
        <f t="shared" si="46"/>
        <v>0</v>
      </c>
      <c r="N143" s="1294">
        <f t="shared" si="47"/>
        <v>0</v>
      </c>
      <c r="O143" s="1294">
        <f t="shared" si="47"/>
        <v>0</v>
      </c>
      <c r="P143" s="1000"/>
      <c r="Q143" s="30"/>
    </row>
    <row r="144" spans="2:17" ht="13.15" customHeight="1" x14ac:dyDescent="0.2">
      <c r="B144" s="26"/>
      <c r="C144" s="1000"/>
      <c r="D144" s="1260"/>
      <c r="E144" s="1000"/>
      <c r="F144" s="1124"/>
      <c r="G144" s="1000"/>
      <c r="H144" s="1262">
        <v>0</v>
      </c>
      <c r="I144" s="1262">
        <f t="shared" si="45"/>
        <v>0</v>
      </c>
      <c r="J144" s="1262">
        <f t="shared" si="45"/>
        <v>0</v>
      </c>
      <c r="K144" s="1262">
        <f t="shared" ref="K144:L146" si="50">J144</f>
        <v>0</v>
      </c>
      <c r="L144" s="1262">
        <f t="shared" si="50"/>
        <v>0</v>
      </c>
      <c r="M144" s="1262">
        <f t="shared" si="46"/>
        <v>0</v>
      </c>
      <c r="N144" s="1262">
        <f t="shared" si="47"/>
        <v>0</v>
      </c>
      <c r="O144" s="1262">
        <f t="shared" si="47"/>
        <v>0</v>
      </c>
      <c r="P144" s="1000"/>
      <c r="Q144" s="30"/>
    </row>
    <row r="145" spans="2:17" ht="13.15" customHeight="1" x14ac:dyDescent="0.2">
      <c r="B145" s="26"/>
      <c r="C145" s="1000"/>
      <c r="D145" s="1260"/>
      <c r="E145" s="1000"/>
      <c r="F145" s="1124"/>
      <c r="G145" s="1000"/>
      <c r="H145" s="1262">
        <v>0</v>
      </c>
      <c r="I145" s="1262">
        <f t="shared" si="45"/>
        <v>0</v>
      </c>
      <c r="J145" s="1262">
        <f t="shared" si="45"/>
        <v>0</v>
      </c>
      <c r="K145" s="1262">
        <f t="shared" si="50"/>
        <v>0</v>
      </c>
      <c r="L145" s="1262">
        <f t="shared" si="50"/>
        <v>0</v>
      </c>
      <c r="M145" s="1262">
        <f t="shared" si="46"/>
        <v>0</v>
      </c>
      <c r="N145" s="1262">
        <f t="shared" si="47"/>
        <v>0</v>
      </c>
      <c r="O145" s="1262">
        <f t="shared" si="47"/>
        <v>0</v>
      </c>
      <c r="P145" s="1000"/>
      <c r="Q145" s="30"/>
    </row>
    <row r="146" spans="2:17" ht="13.15" customHeight="1" x14ac:dyDescent="0.2">
      <c r="B146" s="26"/>
      <c r="C146" s="1000"/>
      <c r="D146" s="1260"/>
      <c r="E146" s="1000"/>
      <c r="F146" s="1124"/>
      <c r="G146" s="1000"/>
      <c r="H146" s="1262">
        <v>0</v>
      </c>
      <c r="I146" s="1262">
        <f t="shared" si="45"/>
        <v>0</v>
      </c>
      <c r="J146" s="1262">
        <f t="shared" si="45"/>
        <v>0</v>
      </c>
      <c r="K146" s="1262">
        <f t="shared" si="50"/>
        <v>0</v>
      </c>
      <c r="L146" s="1262">
        <f t="shared" si="50"/>
        <v>0</v>
      </c>
      <c r="M146" s="1262">
        <f t="shared" si="46"/>
        <v>0</v>
      </c>
      <c r="N146" s="1262">
        <f t="shared" si="47"/>
        <v>0</v>
      </c>
      <c r="O146" s="1262">
        <f t="shared" si="47"/>
        <v>0</v>
      </c>
      <c r="P146" s="1000"/>
      <c r="Q146" s="30"/>
    </row>
    <row r="147" spans="2:17" ht="13.15" customHeight="1" x14ac:dyDescent="0.2">
      <c r="B147" s="26"/>
      <c r="C147" s="1000"/>
      <c r="D147" s="1000"/>
      <c r="E147" s="1000"/>
      <c r="F147" s="1076"/>
      <c r="G147" s="1000"/>
      <c r="H147" s="1274" t="e">
        <f t="shared" ref="H147:O147" si="51">SUM(H133:H146)</f>
        <v>#REF!</v>
      </c>
      <c r="I147" s="1274">
        <f t="shared" si="51"/>
        <v>0</v>
      </c>
      <c r="J147" s="1274">
        <f t="shared" si="51"/>
        <v>0</v>
      </c>
      <c r="K147" s="1274">
        <f t="shared" si="51"/>
        <v>0</v>
      </c>
      <c r="L147" s="1274">
        <f t="shared" si="51"/>
        <v>0</v>
      </c>
      <c r="M147" s="1274">
        <f t="shared" si="51"/>
        <v>0</v>
      </c>
      <c r="N147" s="1274">
        <f t="shared" si="51"/>
        <v>0</v>
      </c>
      <c r="O147" s="1274">
        <f t="shared" si="51"/>
        <v>0</v>
      </c>
      <c r="P147" s="1000"/>
      <c r="Q147" s="30"/>
    </row>
    <row r="148" spans="2:17" ht="13.15" customHeight="1" x14ac:dyDescent="0.2">
      <c r="B148" s="26"/>
      <c r="C148" s="1000"/>
      <c r="D148" s="1038"/>
      <c r="E148" s="1037"/>
      <c r="F148" s="1039"/>
      <c r="G148" s="1037"/>
      <c r="H148" s="1250"/>
      <c r="I148" s="1039"/>
      <c r="J148" s="1039"/>
      <c r="K148" s="1039"/>
      <c r="L148" s="1039"/>
      <c r="M148" s="1039"/>
      <c r="N148" s="1039"/>
      <c r="O148" s="1039"/>
      <c r="P148" s="1000"/>
      <c r="Q148" s="30"/>
    </row>
    <row r="149" spans="2:17" ht="13.15" customHeight="1" x14ac:dyDescent="0.2">
      <c r="B149" s="26"/>
      <c r="C149" s="1000"/>
      <c r="D149" s="1038"/>
      <c r="E149" s="1037"/>
      <c r="F149" s="1039"/>
      <c r="G149" s="1037"/>
      <c r="H149" s="1255" t="e">
        <f t="shared" ref="H149:O149" si="52">H110+H128+H147</f>
        <v>#REF!</v>
      </c>
      <c r="I149" s="1255">
        <f t="shared" si="52"/>
        <v>77086.080000000016</v>
      </c>
      <c r="J149" s="1255">
        <f t="shared" si="52"/>
        <v>81317.52</v>
      </c>
      <c r="K149" s="1255">
        <f t="shared" si="52"/>
        <v>84408.480000000025</v>
      </c>
      <c r="L149" s="1255">
        <f t="shared" si="52"/>
        <v>86780.160000000003</v>
      </c>
      <c r="M149" s="1255">
        <f t="shared" si="52"/>
        <v>86780.160000000003</v>
      </c>
      <c r="N149" s="1255">
        <f t="shared" si="52"/>
        <v>86780.160000000003</v>
      </c>
      <c r="O149" s="1255">
        <f t="shared" si="52"/>
        <v>86780.160000000003</v>
      </c>
      <c r="P149" s="1000"/>
      <c r="Q149" s="30"/>
    </row>
    <row r="150" spans="2:17" ht="13.15" customHeight="1" x14ac:dyDescent="0.2">
      <c r="B150" s="26"/>
      <c r="C150" s="1000"/>
      <c r="D150" s="1038"/>
      <c r="E150" s="1037"/>
      <c r="F150" s="1039"/>
      <c r="G150" s="1037"/>
      <c r="H150" s="1250"/>
      <c r="I150" s="1039"/>
      <c r="J150" s="1039"/>
      <c r="K150" s="1039"/>
      <c r="L150" s="1039"/>
      <c r="M150" s="1039"/>
      <c r="N150" s="1039"/>
      <c r="O150" s="1039"/>
      <c r="P150" s="1000"/>
      <c r="Q150" s="30"/>
    </row>
    <row r="151" spans="2:17" ht="13.15" customHeight="1" x14ac:dyDescent="0.2">
      <c r="B151" s="26"/>
      <c r="C151" s="1000"/>
      <c r="D151" s="1038"/>
      <c r="E151" s="1037"/>
      <c r="F151" s="1039"/>
      <c r="G151" s="1037"/>
      <c r="H151" s="1250"/>
      <c r="I151" s="1039"/>
      <c r="J151" s="1039"/>
      <c r="K151" s="1039"/>
      <c r="L151" s="1039"/>
      <c r="M151" s="1039"/>
      <c r="N151" s="1039"/>
      <c r="O151" s="1039"/>
      <c r="P151" s="1000"/>
      <c r="Q151" s="30"/>
    </row>
    <row r="152" spans="2:17" ht="13.15" customHeight="1" x14ac:dyDescent="0.2">
      <c r="B152" s="26"/>
      <c r="C152" s="1000"/>
      <c r="D152" s="1075" t="s">
        <v>688</v>
      </c>
      <c r="E152" s="1000"/>
      <c r="F152" s="1076"/>
      <c r="G152" s="1000"/>
      <c r="H152" s="1256"/>
      <c r="I152" s="1076"/>
      <c r="J152" s="1076"/>
      <c r="K152" s="1076"/>
      <c r="L152" s="1076"/>
      <c r="M152" s="1076"/>
      <c r="N152" s="1076"/>
      <c r="O152" s="1076"/>
      <c r="P152" s="1000"/>
      <c r="Q152" s="30"/>
    </row>
    <row r="153" spans="2:17" ht="13.15" customHeight="1" x14ac:dyDescent="0.2">
      <c r="B153" s="26"/>
      <c r="C153" s="1000"/>
      <c r="D153" s="1353" t="s">
        <v>678</v>
      </c>
      <c r="E153" s="1037"/>
      <c r="F153" s="1124"/>
      <c r="G153" s="1000"/>
      <c r="H153" s="1249" t="e">
        <f>+project!#REF!</f>
        <v>#REF!</v>
      </c>
      <c r="I153" s="1249">
        <f>+project!H17</f>
        <v>0</v>
      </c>
      <c r="J153" s="1249">
        <f>+project!I17</f>
        <v>0</v>
      </c>
      <c r="K153" s="1249">
        <f>+project!J17</f>
        <v>0</v>
      </c>
      <c r="L153" s="1249">
        <f>+project!K17</f>
        <v>0</v>
      </c>
      <c r="M153" s="1249">
        <f>+project!L17</f>
        <v>0</v>
      </c>
      <c r="N153" s="1249">
        <f>+project!M17</f>
        <v>0</v>
      </c>
      <c r="O153" s="1249">
        <f>+project!N17</f>
        <v>0</v>
      </c>
      <c r="P153" s="1000"/>
      <c r="Q153" s="30"/>
    </row>
    <row r="154" spans="2:17" ht="13.15" customHeight="1" x14ac:dyDescent="0.2">
      <c r="B154" s="26"/>
      <c r="C154" s="1000"/>
      <c r="D154" s="1353" t="s">
        <v>679</v>
      </c>
      <c r="E154" s="1000"/>
      <c r="F154" s="1124"/>
      <c r="G154" s="1000"/>
      <c r="H154" s="1249" t="e">
        <f>+project!#REF!</f>
        <v>#REF!</v>
      </c>
      <c r="I154" s="1249">
        <f>+project!H37</f>
        <v>0</v>
      </c>
      <c r="J154" s="1249">
        <f>+project!I37</f>
        <v>0</v>
      </c>
      <c r="K154" s="1249">
        <f>+project!J37</f>
        <v>0</v>
      </c>
      <c r="L154" s="1249">
        <f>+project!K37</f>
        <v>0</v>
      </c>
      <c r="M154" s="1249">
        <f>+project!L37</f>
        <v>0</v>
      </c>
      <c r="N154" s="1249">
        <f>+project!M37</f>
        <v>0</v>
      </c>
      <c r="O154" s="1249">
        <f>+project!N37</f>
        <v>0</v>
      </c>
      <c r="P154" s="1000"/>
      <c r="Q154" s="30"/>
    </row>
    <row r="155" spans="2:17" ht="13.15" customHeight="1" x14ac:dyDescent="0.2">
      <c r="B155" s="26"/>
      <c r="C155" s="1000"/>
      <c r="D155" s="1353" t="s">
        <v>680</v>
      </c>
      <c r="E155" s="1000"/>
      <c r="F155" s="1124"/>
      <c r="G155" s="1000"/>
      <c r="H155" s="1249" t="e">
        <f>+project!#REF!</f>
        <v>#REF!</v>
      </c>
      <c r="I155" s="1249">
        <f>+project!H57</f>
        <v>0</v>
      </c>
      <c r="J155" s="1249">
        <f>+project!I57</f>
        <v>0</v>
      </c>
      <c r="K155" s="1249">
        <f>+project!J57</f>
        <v>0</v>
      </c>
      <c r="L155" s="1249">
        <f>+project!K57</f>
        <v>0</v>
      </c>
      <c r="M155" s="1249">
        <f>+project!L57</f>
        <v>0</v>
      </c>
      <c r="N155" s="1249">
        <f>+project!M57</f>
        <v>0</v>
      </c>
      <c r="O155" s="1249">
        <f>+project!N57</f>
        <v>0</v>
      </c>
      <c r="P155" s="1000"/>
      <c r="Q155" s="30"/>
    </row>
    <row r="156" spans="2:17" ht="13.15" customHeight="1" x14ac:dyDescent="0.2">
      <c r="B156" s="26"/>
      <c r="C156" s="1000"/>
      <c r="D156" s="1353" t="s">
        <v>681</v>
      </c>
      <c r="E156" s="1000"/>
      <c r="F156" s="1124"/>
      <c r="G156" s="1000"/>
      <c r="H156" s="1249" t="e">
        <f>+project!#REF!</f>
        <v>#REF!</v>
      </c>
      <c r="I156" s="1249">
        <f>+project!H77</f>
        <v>0</v>
      </c>
      <c r="J156" s="1249">
        <f>+project!I77</f>
        <v>0</v>
      </c>
      <c r="K156" s="1249">
        <f>+project!J77</f>
        <v>0</v>
      </c>
      <c r="L156" s="1249">
        <f>+project!K77</f>
        <v>0</v>
      </c>
      <c r="M156" s="1249">
        <f>+project!L77</f>
        <v>0</v>
      </c>
      <c r="N156" s="1249">
        <f>+project!M77</f>
        <v>0</v>
      </c>
      <c r="O156" s="1249">
        <f>+project!N77</f>
        <v>0</v>
      </c>
      <c r="P156" s="1000"/>
      <c r="Q156" s="30"/>
    </row>
    <row r="157" spans="2:17" ht="13.15" customHeight="1" x14ac:dyDescent="0.2">
      <c r="B157" s="26"/>
      <c r="C157" s="1000"/>
      <c r="D157" s="1353" t="s">
        <v>682</v>
      </c>
      <c r="E157" s="1000"/>
      <c r="F157" s="1124"/>
      <c r="G157" s="1000"/>
      <c r="H157" s="1249" t="e">
        <f>+project!#REF!</f>
        <v>#REF!</v>
      </c>
      <c r="I157" s="1249">
        <f>+project!H97</f>
        <v>0</v>
      </c>
      <c r="J157" s="1249">
        <f>+project!I97</f>
        <v>0</v>
      </c>
      <c r="K157" s="1249">
        <f>+project!J97</f>
        <v>0</v>
      </c>
      <c r="L157" s="1249">
        <f>+project!K97</f>
        <v>0</v>
      </c>
      <c r="M157" s="1249">
        <f>+project!L97</f>
        <v>0</v>
      </c>
      <c r="N157" s="1249">
        <f>+project!M97</f>
        <v>0</v>
      </c>
      <c r="O157" s="1249">
        <f>+project!N97</f>
        <v>0</v>
      </c>
      <c r="P157" s="1000"/>
      <c r="Q157" s="30"/>
    </row>
    <row r="158" spans="2:17" ht="13.15" customHeight="1" x14ac:dyDescent="0.2">
      <c r="B158" s="26"/>
      <c r="C158" s="1000"/>
      <c r="D158" s="1353" t="s">
        <v>683</v>
      </c>
      <c r="E158" s="1000"/>
      <c r="F158" s="1124"/>
      <c r="G158" s="1000"/>
      <c r="H158" s="1249" t="e">
        <f>+project!#REF!</f>
        <v>#REF!</v>
      </c>
      <c r="I158" s="1249">
        <f>+project!H121</f>
        <v>0</v>
      </c>
      <c r="J158" s="1249">
        <f>+project!I121</f>
        <v>0</v>
      </c>
      <c r="K158" s="1249">
        <f>+project!J121</f>
        <v>0</v>
      </c>
      <c r="L158" s="1249">
        <f>+project!K121</f>
        <v>0</v>
      </c>
      <c r="M158" s="1249">
        <f>+project!L121</f>
        <v>0</v>
      </c>
      <c r="N158" s="1249">
        <f>+project!M121</f>
        <v>0</v>
      </c>
      <c r="O158" s="1249">
        <f>+project!N121</f>
        <v>0</v>
      </c>
      <c r="P158" s="1000"/>
      <c r="Q158" s="30"/>
    </row>
    <row r="159" spans="2:17" ht="13.15" customHeight="1" x14ac:dyDescent="0.2">
      <c r="B159" s="26"/>
      <c r="C159" s="1000"/>
      <c r="D159" s="1353" t="s">
        <v>684</v>
      </c>
      <c r="E159" s="1000"/>
      <c r="F159" s="1124"/>
      <c r="G159" s="1000"/>
      <c r="H159" s="1249" t="e">
        <f>+project!#REF!</f>
        <v>#REF!</v>
      </c>
      <c r="I159" s="1249">
        <f>+project!H141</f>
        <v>0</v>
      </c>
      <c r="J159" s="1249">
        <f>+project!I141</f>
        <v>0</v>
      </c>
      <c r="K159" s="1249">
        <f>+project!J141</f>
        <v>0</v>
      </c>
      <c r="L159" s="1249">
        <f>+project!K141</f>
        <v>0</v>
      </c>
      <c r="M159" s="1249">
        <f>+project!L141</f>
        <v>0</v>
      </c>
      <c r="N159" s="1249">
        <f>+project!M141</f>
        <v>0</v>
      </c>
      <c r="O159" s="1249">
        <f>+project!N141</f>
        <v>0</v>
      </c>
      <c r="P159" s="1000"/>
      <c r="Q159" s="30"/>
    </row>
    <row r="160" spans="2:17" ht="13.15" customHeight="1" x14ac:dyDescent="0.2">
      <c r="B160" s="26"/>
      <c r="C160" s="1000"/>
      <c r="D160" s="1353" t="s">
        <v>685</v>
      </c>
      <c r="E160" s="1000"/>
      <c r="F160" s="1124"/>
      <c r="G160" s="1000"/>
      <c r="H160" s="1249" t="e">
        <f>+project!#REF!</f>
        <v>#REF!</v>
      </c>
      <c r="I160" s="1249">
        <f>+project!H161</f>
        <v>0</v>
      </c>
      <c r="J160" s="1249">
        <f>+project!I161</f>
        <v>0</v>
      </c>
      <c r="K160" s="1249">
        <f>+project!J161</f>
        <v>0</v>
      </c>
      <c r="L160" s="1249">
        <f>+project!K161</f>
        <v>0</v>
      </c>
      <c r="M160" s="1249">
        <f>+project!L161</f>
        <v>0</v>
      </c>
      <c r="N160" s="1249">
        <f>+project!M161</f>
        <v>0</v>
      </c>
      <c r="O160" s="1249">
        <f>+project!N161</f>
        <v>0</v>
      </c>
      <c r="P160" s="1000"/>
      <c r="Q160" s="30"/>
    </row>
    <row r="161" spans="2:19" ht="13.15" customHeight="1" x14ac:dyDescent="0.2">
      <c r="B161" s="26"/>
      <c r="C161" s="1000"/>
      <c r="D161" s="1353" t="s">
        <v>686</v>
      </c>
      <c r="E161" s="1000"/>
      <c r="F161" s="1124"/>
      <c r="G161" s="1000"/>
      <c r="H161" s="1249" t="e">
        <f>+project!#REF!</f>
        <v>#REF!</v>
      </c>
      <c r="I161" s="1249">
        <f>+project!H181</f>
        <v>0</v>
      </c>
      <c r="J161" s="1249">
        <f>+project!I181</f>
        <v>0</v>
      </c>
      <c r="K161" s="1249">
        <f>+project!J181</f>
        <v>0</v>
      </c>
      <c r="L161" s="1249">
        <f>+project!K181</f>
        <v>0</v>
      </c>
      <c r="M161" s="1249">
        <f>+project!L181</f>
        <v>0</v>
      </c>
      <c r="N161" s="1249">
        <f>+project!M181</f>
        <v>0</v>
      </c>
      <c r="O161" s="1249">
        <f>+project!N181</f>
        <v>0</v>
      </c>
      <c r="P161" s="1000"/>
      <c r="Q161" s="30"/>
    </row>
    <row r="162" spans="2:19" ht="13.15" customHeight="1" x14ac:dyDescent="0.2">
      <c r="B162" s="26"/>
      <c r="C162" s="1000"/>
      <c r="D162" s="1353" t="s">
        <v>687</v>
      </c>
      <c r="E162" s="1000"/>
      <c r="F162" s="1124"/>
      <c r="G162" s="1000"/>
      <c r="H162" s="1249" t="e">
        <f>+project!#REF!</f>
        <v>#REF!</v>
      </c>
      <c r="I162" s="1249">
        <f>+project!H201</f>
        <v>0</v>
      </c>
      <c r="J162" s="1249">
        <f>+project!I201</f>
        <v>0</v>
      </c>
      <c r="K162" s="1249">
        <f>+project!J201</f>
        <v>0</v>
      </c>
      <c r="L162" s="1249">
        <f>+project!K201</f>
        <v>0</v>
      </c>
      <c r="M162" s="1249">
        <f>+project!L201</f>
        <v>0</v>
      </c>
      <c r="N162" s="1249">
        <f>+project!M201</f>
        <v>0</v>
      </c>
      <c r="O162" s="1249">
        <f>+project!N201</f>
        <v>0</v>
      </c>
      <c r="P162" s="1000"/>
      <c r="Q162" s="30"/>
    </row>
    <row r="163" spans="2:19" ht="13.15" customHeight="1" x14ac:dyDescent="0.2">
      <c r="B163" s="26"/>
      <c r="C163" s="1000"/>
      <c r="D163" s="1000"/>
      <c r="E163" s="1000"/>
      <c r="F163" s="1076"/>
      <c r="G163" s="1000"/>
      <c r="H163" s="1274" t="e">
        <f t="shared" ref="H163:N163" si="53">SUM(H153:H162)</f>
        <v>#REF!</v>
      </c>
      <c r="I163" s="1274">
        <f t="shared" si="53"/>
        <v>0</v>
      </c>
      <c r="J163" s="1274">
        <f t="shared" si="53"/>
        <v>0</v>
      </c>
      <c r="K163" s="1274">
        <f t="shared" si="53"/>
        <v>0</v>
      </c>
      <c r="L163" s="1274">
        <f t="shared" si="53"/>
        <v>0</v>
      </c>
      <c r="M163" s="1274">
        <f t="shared" si="53"/>
        <v>0</v>
      </c>
      <c r="N163" s="1274">
        <f t="shared" si="53"/>
        <v>0</v>
      </c>
      <c r="O163" s="1274">
        <f t="shared" ref="O163" si="54">SUM(O153:O162)</f>
        <v>0</v>
      </c>
      <c r="P163" s="1000"/>
      <c r="Q163" s="30"/>
    </row>
    <row r="164" spans="2:19" ht="13.15" customHeight="1" x14ac:dyDescent="0.2">
      <c r="B164" s="26"/>
      <c r="C164" s="1037"/>
      <c r="D164" s="1038"/>
      <c r="E164" s="1037"/>
      <c r="F164" s="1039"/>
      <c r="G164" s="1037"/>
      <c r="H164" s="1250"/>
      <c r="I164" s="1039"/>
      <c r="J164" s="1039"/>
      <c r="K164" s="1039"/>
      <c r="L164" s="1039"/>
      <c r="M164" s="1039"/>
      <c r="N164" s="1039"/>
      <c r="O164" s="1039"/>
      <c r="P164" s="1037"/>
      <c r="Q164" s="30"/>
    </row>
    <row r="165" spans="2:19" ht="13.15" customHeight="1" x14ac:dyDescent="0.2">
      <c r="B165" s="26"/>
      <c r="C165" s="1037"/>
      <c r="D165" s="1075"/>
      <c r="E165" s="1000"/>
      <c r="F165" s="1076"/>
      <c r="G165" s="1000"/>
      <c r="H165" s="1256"/>
      <c r="I165" s="1076"/>
      <c r="J165" s="1076"/>
      <c r="K165" s="1076"/>
      <c r="L165" s="1076"/>
      <c r="M165" s="1076"/>
      <c r="N165" s="1076"/>
      <c r="O165" s="1076"/>
      <c r="P165" s="1037"/>
      <c r="Q165" s="30"/>
    </row>
    <row r="166" spans="2:19" ht="13.15" customHeight="1" x14ac:dyDescent="0.2">
      <c r="B166" s="26"/>
      <c r="C166" s="1037"/>
      <c r="D166" s="1038" t="s">
        <v>331</v>
      </c>
      <c r="E166" s="1037"/>
      <c r="F166" s="1039"/>
      <c r="G166" s="1037"/>
      <c r="H166" s="1255" t="e">
        <f>H149+H163</f>
        <v>#REF!</v>
      </c>
      <c r="I166" s="1255">
        <f t="shared" ref="I166:N166" si="55">I149+I163</f>
        <v>77086.080000000016</v>
      </c>
      <c r="J166" s="1255">
        <f t="shared" si="55"/>
        <v>81317.52</v>
      </c>
      <c r="K166" s="1255">
        <f t="shared" si="55"/>
        <v>84408.480000000025</v>
      </c>
      <c r="L166" s="1255">
        <f t="shared" si="55"/>
        <v>86780.160000000003</v>
      </c>
      <c r="M166" s="1255">
        <f t="shared" si="55"/>
        <v>86780.160000000003</v>
      </c>
      <c r="N166" s="1255">
        <f t="shared" si="55"/>
        <v>86780.160000000003</v>
      </c>
      <c r="O166" s="1255">
        <f t="shared" ref="O166" si="56">O149+O163</f>
        <v>86780.160000000003</v>
      </c>
      <c r="P166" s="1037"/>
      <c r="Q166" s="30"/>
    </row>
    <row r="167" spans="2:19" ht="13.15" customHeight="1" x14ac:dyDescent="0.2">
      <c r="B167" s="26"/>
      <c r="C167" s="1037"/>
      <c r="D167" s="1037"/>
      <c r="E167" s="1037"/>
      <c r="F167" s="1039"/>
      <c r="G167" s="1037"/>
      <c r="H167" s="1039"/>
      <c r="I167" s="1039"/>
      <c r="J167" s="1039"/>
      <c r="K167" s="1039"/>
      <c r="L167" s="1039"/>
      <c r="M167" s="1039"/>
      <c r="N167" s="1039"/>
      <c r="O167" s="1039"/>
      <c r="P167" s="1037"/>
      <c r="Q167" s="30"/>
    </row>
    <row r="168" spans="2:19" ht="13.15" customHeight="1" x14ac:dyDescent="0.2">
      <c r="B168" s="26"/>
      <c r="C168" s="209"/>
      <c r="D168" s="229"/>
      <c r="E168" s="209"/>
      <c r="F168" s="210"/>
      <c r="G168" s="209"/>
      <c r="H168" s="210"/>
      <c r="I168" s="210"/>
      <c r="J168" s="210"/>
      <c r="K168" s="210"/>
      <c r="L168" s="210"/>
      <c r="M168" s="210"/>
      <c r="N168" s="210"/>
      <c r="O168" s="210"/>
      <c r="P168" s="209"/>
      <c r="Q168" s="30"/>
    </row>
    <row r="169" spans="2:19" ht="13.15" customHeight="1" x14ac:dyDescent="0.2">
      <c r="B169" s="26"/>
      <c r="C169" s="209"/>
      <c r="D169" s="229"/>
      <c r="E169" s="209"/>
      <c r="F169" s="210"/>
      <c r="G169" s="209"/>
      <c r="H169" s="210"/>
      <c r="I169" s="210"/>
      <c r="J169" s="210"/>
      <c r="K169" s="210"/>
      <c r="L169" s="210"/>
      <c r="M169" s="210"/>
      <c r="N169" s="210"/>
      <c r="O169" s="210"/>
      <c r="P169" s="209"/>
      <c r="Q169" s="30"/>
    </row>
    <row r="170" spans="2:19" ht="13.15" customHeight="1" x14ac:dyDescent="0.2">
      <c r="B170" s="26"/>
      <c r="C170" s="1037"/>
      <c r="D170" s="1037"/>
      <c r="E170" s="1037"/>
      <c r="F170" s="1039"/>
      <c r="G170" s="1037"/>
      <c r="H170" s="1250"/>
      <c r="I170" s="1039"/>
      <c r="J170" s="1039"/>
      <c r="K170" s="1039"/>
      <c r="L170" s="1039"/>
      <c r="M170" s="1039"/>
      <c r="N170" s="1039"/>
      <c r="O170" s="1039"/>
      <c r="P170" s="1037"/>
      <c r="Q170" s="30"/>
    </row>
    <row r="171" spans="2:19" ht="13.15" customHeight="1" x14ac:dyDescent="0.2">
      <c r="B171" s="26"/>
      <c r="C171" s="1037"/>
      <c r="D171" s="1049" t="s">
        <v>332</v>
      </c>
      <c r="E171" s="1037"/>
      <c r="F171" s="1039"/>
      <c r="G171" s="1037"/>
      <c r="H171" s="1255" t="e">
        <f t="shared" ref="H171:O171" si="57">H99-H166</f>
        <v>#REF!</v>
      </c>
      <c r="I171" s="1255">
        <f t="shared" si="57"/>
        <v>-77086.080000000016</v>
      </c>
      <c r="J171" s="1255">
        <f t="shared" si="57"/>
        <v>-81317.52</v>
      </c>
      <c r="K171" s="1255">
        <f t="shared" si="57"/>
        <v>-84408.480000000025</v>
      </c>
      <c r="L171" s="1255">
        <f t="shared" si="57"/>
        <v>-86780.160000000003</v>
      </c>
      <c r="M171" s="1255">
        <f t="shared" si="57"/>
        <v>-86780.160000000003</v>
      </c>
      <c r="N171" s="1255">
        <f t="shared" si="57"/>
        <v>-86780.160000000003</v>
      </c>
      <c r="O171" s="1255">
        <f t="shared" si="57"/>
        <v>-86780.160000000003</v>
      </c>
      <c r="P171" s="1037"/>
      <c r="Q171" s="30"/>
    </row>
    <row r="172" spans="2:19" ht="13.15" customHeight="1" x14ac:dyDescent="0.2">
      <c r="B172" s="26"/>
      <c r="C172" s="1037"/>
      <c r="D172" s="1037"/>
      <c r="E172" s="1037"/>
      <c r="F172" s="1039"/>
      <c r="G172" s="1037"/>
      <c r="H172" s="1250"/>
      <c r="I172" s="1039"/>
      <c r="J172" s="1039"/>
      <c r="K172" s="1039"/>
      <c r="L172" s="1039"/>
      <c r="M172" s="1039"/>
      <c r="N172" s="1039"/>
      <c r="O172" s="1039"/>
      <c r="P172" s="1037"/>
      <c r="Q172" s="30"/>
    </row>
    <row r="173" spans="2:19" ht="13.15" customHeight="1" x14ac:dyDescent="0.2">
      <c r="B173" s="26"/>
      <c r="C173" s="27"/>
      <c r="D173" s="27"/>
      <c r="E173" s="27"/>
      <c r="F173" s="29"/>
      <c r="G173" s="27"/>
      <c r="H173" s="29"/>
      <c r="I173" s="29"/>
      <c r="J173" s="29"/>
      <c r="K173" s="29"/>
      <c r="L173" s="29"/>
      <c r="M173" s="29"/>
      <c r="N173" s="29"/>
      <c r="O173" s="29"/>
      <c r="P173" s="27"/>
      <c r="Q173" s="30"/>
    </row>
    <row r="174" spans="2:19" ht="13.15" customHeight="1" x14ac:dyDescent="0.25">
      <c r="B174" s="211"/>
      <c r="C174" s="194"/>
      <c r="D174" s="194"/>
      <c r="E174" s="194"/>
      <c r="F174" s="212"/>
      <c r="G174" s="194"/>
      <c r="H174" s="212"/>
      <c r="I174" s="232"/>
      <c r="J174" s="232"/>
      <c r="K174" s="232"/>
      <c r="L174" s="232"/>
      <c r="M174" s="232"/>
      <c r="N174" s="232"/>
      <c r="O174" s="232"/>
      <c r="P174" s="36" t="s">
        <v>464</v>
      </c>
      <c r="Q174" s="213"/>
      <c r="R174" s="526"/>
      <c r="S174" s="526"/>
    </row>
    <row r="175" spans="2:19" s="523" customFormat="1" ht="13.15" customHeight="1" x14ac:dyDescent="0.2">
      <c r="B175" s="526"/>
      <c r="C175" s="526"/>
      <c r="D175" s="526"/>
      <c r="E175" s="526"/>
      <c r="F175" s="527"/>
      <c r="G175" s="526"/>
      <c r="H175" s="527"/>
      <c r="I175" s="824"/>
      <c r="J175" s="824"/>
      <c r="K175" s="824"/>
      <c r="L175" s="824"/>
      <c r="M175" s="824"/>
      <c r="N175" s="824"/>
      <c r="O175" s="824"/>
      <c r="P175" s="526"/>
      <c r="Q175" s="526"/>
      <c r="R175" s="526"/>
      <c r="S175" s="526"/>
    </row>
    <row r="176" spans="2:19" s="523" customFormat="1" ht="13.15" customHeight="1" x14ac:dyDescent="0.2">
      <c r="B176" s="526"/>
      <c r="C176" s="526"/>
      <c r="D176" s="526"/>
      <c r="E176" s="526"/>
      <c r="F176" s="527"/>
      <c r="G176" s="526"/>
      <c r="H176" s="527"/>
      <c r="I176" s="527"/>
      <c r="J176" s="527"/>
      <c r="K176" s="527"/>
      <c r="L176" s="527"/>
      <c r="M176" s="527"/>
      <c r="N176" s="527"/>
      <c r="O176" s="527"/>
      <c r="P176" s="526"/>
      <c r="Q176" s="526"/>
      <c r="R176" s="526"/>
      <c r="S176" s="526"/>
    </row>
    <row r="177" spans="2:20" s="523" customFormat="1" ht="13.15" customHeight="1" x14ac:dyDescent="0.2">
      <c r="B177" s="526"/>
      <c r="C177" s="526"/>
      <c r="D177" s="526"/>
      <c r="E177" s="526"/>
      <c r="F177" s="527"/>
      <c r="G177" s="526"/>
      <c r="H177" s="527"/>
      <c r="I177" s="527"/>
      <c r="J177" s="527"/>
      <c r="K177" s="527"/>
      <c r="L177" s="527"/>
      <c r="M177" s="527"/>
      <c r="N177" s="527"/>
      <c r="O177" s="527"/>
      <c r="P177" s="526"/>
      <c r="Q177" s="526"/>
      <c r="R177" s="526"/>
      <c r="S177" s="526"/>
    </row>
    <row r="178" spans="2:20" s="523" customFormat="1" ht="13.15" customHeight="1" x14ac:dyDescent="0.2">
      <c r="B178" s="526"/>
      <c r="C178" s="526"/>
      <c r="D178" s="526"/>
      <c r="E178" s="526"/>
      <c r="F178" s="527"/>
      <c r="G178" s="526"/>
      <c r="H178" s="527"/>
      <c r="I178" s="527"/>
      <c r="J178" s="527"/>
      <c r="K178" s="527"/>
      <c r="L178" s="527"/>
      <c r="M178" s="527"/>
      <c r="N178" s="527"/>
      <c r="O178" s="527"/>
      <c r="P178" s="526"/>
      <c r="Q178" s="526"/>
      <c r="R178" s="526"/>
      <c r="S178" s="526"/>
    </row>
    <row r="179" spans="2:20" s="523" customFormat="1" ht="13.15" customHeight="1" x14ac:dyDescent="0.2">
      <c r="B179" s="526"/>
      <c r="C179" s="526"/>
      <c r="D179" s="825"/>
      <c r="E179" s="825"/>
      <c r="F179" s="826"/>
      <c r="G179" s="825"/>
      <c r="H179" s="827" t="s">
        <v>232</v>
      </c>
      <c r="I179" s="828"/>
      <c r="J179" s="826"/>
      <c r="K179" s="826"/>
      <c r="L179" s="826"/>
      <c r="M179" s="826"/>
      <c r="N179" s="826"/>
      <c r="O179" s="826"/>
      <c r="P179" s="526"/>
      <c r="Q179" s="526"/>
      <c r="R179" s="526"/>
      <c r="S179" s="526"/>
    </row>
    <row r="180" spans="2:20" s="523" customFormat="1" ht="13.15" customHeight="1" x14ac:dyDescent="0.2">
      <c r="B180" s="526"/>
      <c r="C180" s="526"/>
      <c r="D180" s="829" t="s">
        <v>346</v>
      </c>
      <c r="E180" s="825"/>
      <c r="F180" s="826"/>
      <c r="G180" s="825"/>
      <c r="H180" s="827" t="e">
        <f>tab!#REF!</f>
        <v>#REF!</v>
      </c>
      <c r="I180" s="827"/>
      <c r="J180" s="827">
        <f>tab!D4</f>
        <v>2016</v>
      </c>
      <c r="K180" s="827">
        <f>tab!E4</f>
        <v>2017</v>
      </c>
      <c r="L180" s="827">
        <f>tab!F4</f>
        <v>2018</v>
      </c>
      <c r="M180" s="827">
        <f>tab!G4</f>
        <v>2019</v>
      </c>
      <c r="N180" s="827">
        <f>tab!H4</f>
        <v>2020</v>
      </c>
      <c r="O180" s="827">
        <f>tab!I4</f>
        <v>2021</v>
      </c>
      <c r="P180" s="821"/>
      <c r="Q180" s="821"/>
      <c r="R180" s="821"/>
      <c r="S180" s="526"/>
    </row>
    <row r="181" spans="2:20" s="523" customFormat="1" ht="13.15" customHeight="1" x14ac:dyDescent="0.2">
      <c r="B181" s="526"/>
      <c r="C181" s="526"/>
      <c r="D181" s="830" t="s">
        <v>173</v>
      </c>
      <c r="E181" s="825"/>
      <c r="F181" s="826"/>
      <c r="G181" s="825"/>
      <c r="H181" s="825"/>
      <c r="I181" s="826"/>
      <c r="J181" s="826"/>
      <c r="K181" s="826"/>
      <c r="L181" s="826"/>
      <c r="M181" s="826"/>
      <c r="N181" s="826"/>
      <c r="O181" s="826"/>
      <c r="P181" s="821"/>
      <c r="Q181" s="821"/>
      <c r="R181" s="821"/>
      <c r="S181" s="526"/>
    </row>
    <row r="182" spans="2:20" s="523" customFormat="1" ht="13.15" customHeight="1" x14ac:dyDescent="0.2">
      <c r="B182" s="526"/>
      <c r="C182" s="526"/>
      <c r="D182" s="825" t="s">
        <v>347</v>
      </c>
      <c r="E182" s="825"/>
      <c r="F182" s="826"/>
      <c r="G182" s="825"/>
      <c r="H182" s="831" t="e">
        <f>+H189+H196</f>
        <v>#REF!</v>
      </c>
      <c r="I182" s="831"/>
      <c r="J182" s="831">
        <f t="shared" ref="J182:O182" si="58">(7/12*I46)+(5/12*J46)</f>
        <v>0</v>
      </c>
      <c r="K182" s="831">
        <f t="shared" si="58"/>
        <v>0</v>
      </c>
      <c r="L182" s="831">
        <f t="shared" si="58"/>
        <v>0</v>
      </c>
      <c r="M182" s="831">
        <f t="shared" si="58"/>
        <v>0</v>
      </c>
      <c r="N182" s="831">
        <f t="shared" si="58"/>
        <v>0</v>
      </c>
      <c r="O182" s="831">
        <f t="shared" si="58"/>
        <v>0</v>
      </c>
      <c r="P182" s="821"/>
      <c r="Q182" s="821"/>
      <c r="R182" s="821"/>
      <c r="S182" s="526"/>
    </row>
    <row r="183" spans="2:20" s="523" customFormat="1" ht="13.15" customHeight="1" x14ac:dyDescent="0.2">
      <c r="B183" s="526"/>
      <c r="C183" s="526"/>
      <c r="D183" s="825" t="s">
        <v>324</v>
      </c>
      <c r="E183" s="825"/>
      <c r="F183" s="826"/>
      <c r="G183" s="825"/>
      <c r="H183" s="831">
        <f>+H190+H197</f>
        <v>0</v>
      </c>
      <c r="I183" s="831"/>
      <c r="J183" s="831">
        <f t="shared" ref="J183:O183" si="59">(7/12*I70)+(5/12*J70)</f>
        <v>0</v>
      </c>
      <c r="K183" s="831">
        <f t="shared" si="59"/>
        <v>0</v>
      </c>
      <c r="L183" s="831">
        <f t="shared" si="59"/>
        <v>0</v>
      </c>
      <c r="M183" s="831">
        <f t="shared" si="59"/>
        <v>0</v>
      </c>
      <c r="N183" s="831">
        <f t="shared" si="59"/>
        <v>0</v>
      </c>
      <c r="O183" s="831">
        <f t="shared" si="59"/>
        <v>0</v>
      </c>
      <c r="P183" s="821"/>
      <c r="Q183" s="821"/>
      <c r="R183" s="821"/>
      <c r="S183" s="526"/>
    </row>
    <row r="184" spans="2:20" s="523" customFormat="1" ht="13.15" customHeight="1" x14ac:dyDescent="0.2">
      <c r="B184" s="526"/>
      <c r="C184" s="526"/>
      <c r="D184" s="825" t="s">
        <v>341</v>
      </c>
      <c r="E184" s="825"/>
      <c r="F184" s="826"/>
      <c r="G184" s="825"/>
      <c r="H184" s="831">
        <f>+H191+H198</f>
        <v>0</v>
      </c>
      <c r="I184" s="831"/>
      <c r="J184" s="831">
        <f t="shared" ref="J184:N184" si="60">+J191+J198</f>
        <v>0</v>
      </c>
      <c r="K184" s="831">
        <f t="shared" si="60"/>
        <v>0</v>
      </c>
      <c r="L184" s="831">
        <f t="shared" si="60"/>
        <v>0</v>
      </c>
      <c r="M184" s="831">
        <f t="shared" si="60"/>
        <v>0</v>
      </c>
      <c r="N184" s="831">
        <f t="shared" si="60"/>
        <v>0</v>
      </c>
      <c r="O184" s="831">
        <f t="shared" ref="O184" si="61">+O191+O198</f>
        <v>0</v>
      </c>
      <c r="P184" s="821"/>
      <c r="Q184" s="821"/>
      <c r="R184" s="821"/>
      <c r="S184" s="526"/>
    </row>
    <row r="185" spans="2:20" s="523" customFormat="1" ht="13.15" customHeight="1" x14ac:dyDescent="0.2">
      <c r="B185" s="526"/>
      <c r="C185" s="526"/>
      <c r="D185" s="825" t="s">
        <v>222</v>
      </c>
      <c r="E185" s="825"/>
      <c r="F185" s="826"/>
      <c r="G185" s="825"/>
      <c r="H185" s="831" t="e">
        <f>+H192+H199</f>
        <v>#REF!</v>
      </c>
      <c r="I185" s="831"/>
      <c r="J185" s="831">
        <f t="shared" ref="J185:O185" si="62">(7/12*I95)+(5/12*J95)-J184</f>
        <v>0</v>
      </c>
      <c r="K185" s="831">
        <f t="shared" si="62"/>
        <v>0</v>
      </c>
      <c r="L185" s="831">
        <f t="shared" si="62"/>
        <v>0</v>
      </c>
      <c r="M185" s="831">
        <f t="shared" si="62"/>
        <v>0</v>
      </c>
      <c r="N185" s="831">
        <f t="shared" si="62"/>
        <v>0</v>
      </c>
      <c r="O185" s="831">
        <f t="shared" si="62"/>
        <v>0</v>
      </c>
      <c r="P185" s="821"/>
      <c r="Q185" s="821"/>
      <c r="R185" s="821"/>
      <c r="S185" s="526"/>
    </row>
    <row r="186" spans="2:20" s="523" customFormat="1" ht="13.15" customHeight="1" x14ac:dyDescent="0.2">
      <c r="B186" s="526"/>
      <c r="C186" s="526"/>
      <c r="D186" s="825" t="s">
        <v>348</v>
      </c>
      <c r="E186" s="825"/>
      <c r="F186" s="826"/>
      <c r="G186" s="825"/>
      <c r="H186" s="831" t="e">
        <f>5/12*H166</f>
        <v>#REF!</v>
      </c>
      <c r="I186" s="831"/>
      <c r="J186" s="831">
        <f t="shared" ref="J186:O186" si="63">(7/12*I166)+(5/12*J166)</f>
        <v>78849.180000000022</v>
      </c>
      <c r="K186" s="831">
        <f t="shared" si="63"/>
        <v>82605.420000000013</v>
      </c>
      <c r="L186" s="831">
        <f t="shared" si="63"/>
        <v>85396.680000000022</v>
      </c>
      <c r="M186" s="831">
        <f t="shared" si="63"/>
        <v>86780.160000000003</v>
      </c>
      <c r="N186" s="831">
        <f t="shared" si="63"/>
        <v>86780.160000000003</v>
      </c>
      <c r="O186" s="831">
        <f t="shared" si="63"/>
        <v>86780.160000000003</v>
      </c>
      <c r="P186" s="821"/>
      <c r="Q186" s="821"/>
      <c r="R186" s="821"/>
      <c r="S186" s="526"/>
    </row>
    <row r="187" spans="2:20" s="523" customFormat="1" ht="13.15" customHeight="1" x14ac:dyDescent="0.2">
      <c r="B187" s="526"/>
      <c r="C187" s="526"/>
      <c r="D187" s="825"/>
      <c r="E187" s="825"/>
      <c r="F187" s="826"/>
      <c r="G187" s="825"/>
      <c r="H187" s="825"/>
      <c r="I187" s="826"/>
      <c r="J187" s="826"/>
      <c r="K187" s="826"/>
      <c r="L187" s="826"/>
      <c r="M187" s="826"/>
      <c r="N187" s="826"/>
      <c r="O187" s="826"/>
      <c r="P187" s="527"/>
      <c r="Q187" s="526"/>
      <c r="R187" s="526"/>
      <c r="S187" s="526"/>
      <c r="T187" s="526"/>
    </row>
    <row r="188" spans="2:20" s="523" customFormat="1" ht="13.15" customHeight="1" x14ac:dyDescent="0.2">
      <c r="B188" s="526"/>
      <c r="C188" s="526"/>
      <c r="D188" s="830" t="s">
        <v>55</v>
      </c>
      <c r="E188" s="825"/>
      <c r="F188" s="826"/>
      <c r="G188" s="825"/>
      <c r="H188" s="825"/>
      <c r="I188" s="826"/>
      <c r="J188" s="826"/>
      <c r="K188" s="826"/>
      <c r="L188" s="826"/>
      <c r="M188" s="826"/>
      <c r="N188" s="826"/>
      <c r="O188" s="826"/>
      <c r="P188" s="527"/>
      <c r="Q188" s="526"/>
      <c r="R188" s="526"/>
      <c r="S188" s="526"/>
      <c r="T188" s="526"/>
    </row>
    <row r="189" spans="2:20" s="523" customFormat="1" ht="13.15" customHeight="1" x14ac:dyDescent="0.2">
      <c r="B189" s="526"/>
      <c r="C189" s="526"/>
      <c r="D189" s="825" t="s">
        <v>347</v>
      </c>
      <c r="E189" s="825"/>
      <c r="F189" s="826"/>
      <c r="G189" s="825"/>
      <c r="H189" s="831" t="e">
        <f>(5/12*H26)</f>
        <v>#REF!</v>
      </c>
      <c r="I189" s="831"/>
      <c r="J189" s="831">
        <f t="shared" ref="J189:O189" si="64">(7/12*I26)+(5/12*J26)</f>
        <v>0</v>
      </c>
      <c r="K189" s="831">
        <f t="shared" si="64"/>
        <v>0</v>
      </c>
      <c r="L189" s="831">
        <f t="shared" si="64"/>
        <v>0</v>
      </c>
      <c r="M189" s="831">
        <f t="shared" si="64"/>
        <v>0</v>
      </c>
      <c r="N189" s="831">
        <f t="shared" si="64"/>
        <v>0</v>
      </c>
      <c r="O189" s="831">
        <f t="shared" si="64"/>
        <v>0</v>
      </c>
      <c r="P189" s="527"/>
      <c r="Q189" s="526"/>
      <c r="R189" s="526"/>
      <c r="S189" s="526"/>
      <c r="T189" s="526"/>
    </row>
    <row r="190" spans="2:20" s="523" customFormat="1" ht="13.15" customHeight="1" x14ac:dyDescent="0.2">
      <c r="B190" s="526"/>
      <c r="C190" s="526"/>
      <c r="D190" s="825" t="s">
        <v>324</v>
      </c>
      <c r="E190" s="825"/>
      <c r="F190" s="826"/>
      <c r="G190" s="825"/>
      <c r="H190" s="831">
        <f>(5/12*H58)</f>
        <v>0</v>
      </c>
      <c r="I190" s="831"/>
      <c r="J190" s="831">
        <f t="shared" ref="J190:O190" si="65">(7/12*I58)+(5/12*J58)</f>
        <v>0</v>
      </c>
      <c r="K190" s="831">
        <f t="shared" si="65"/>
        <v>0</v>
      </c>
      <c r="L190" s="831">
        <f t="shared" si="65"/>
        <v>0</v>
      </c>
      <c r="M190" s="831">
        <f t="shared" si="65"/>
        <v>0</v>
      </c>
      <c r="N190" s="831">
        <f t="shared" si="65"/>
        <v>0</v>
      </c>
      <c r="O190" s="831">
        <f t="shared" si="65"/>
        <v>0</v>
      </c>
      <c r="P190" s="527"/>
      <c r="Q190" s="526"/>
      <c r="R190" s="526"/>
      <c r="S190" s="526"/>
      <c r="T190" s="526"/>
    </row>
    <row r="191" spans="2:20" s="523" customFormat="1" ht="13.15" customHeight="1" x14ac:dyDescent="0.2">
      <c r="B191" s="526"/>
      <c r="C191" s="526"/>
      <c r="D191" s="825" t="s">
        <v>341</v>
      </c>
      <c r="E191" s="825"/>
      <c r="F191" s="826"/>
      <c r="G191" s="825"/>
      <c r="H191" s="831">
        <f>(5/12*H78)</f>
        <v>0</v>
      </c>
      <c r="I191" s="831"/>
      <c r="J191" s="831">
        <f t="shared" ref="J191:O191" si="66">(7/12*I78)+(5/12*J78)</f>
        <v>0</v>
      </c>
      <c r="K191" s="831">
        <f t="shared" si="66"/>
        <v>0</v>
      </c>
      <c r="L191" s="831">
        <f t="shared" si="66"/>
        <v>0</v>
      </c>
      <c r="M191" s="831">
        <f t="shared" si="66"/>
        <v>0</v>
      </c>
      <c r="N191" s="831">
        <f t="shared" si="66"/>
        <v>0</v>
      </c>
      <c r="O191" s="831">
        <f t="shared" si="66"/>
        <v>0</v>
      </c>
      <c r="P191" s="527"/>
      <c r="Q191" s="526"/>
      <c r="R191" s="526"/>
      <c r="S191" s="526"/>
      <c r="T191" s="526"/>
    </row>
    <row r="192" spans="2:20" s="523" customFormat="1" ht="13.15" customHeight="1" x14ac:dyDescent="0.2">
      <c r="B192" s="526"/>
      <c r="C192" s="526"/>
      <c r="D192" s="825" t="s">
        <v>222</v>
      </c>
      <c r="E192" s="825"/>
      <c r="F192" s="826"/>
      <c r="G192" s="825"/>
      <c r="H192" s="831" t="e">
        <f>(5/12*H83)-H191</f>
        <v>#REF!</v>
      </c>
      <c r="I192" s="831"/>
      <c r="J192" s="831">
        <f t="shared" ref="J192:O192" si="67">(7/12*I83)+(5/12*J83)-J191</f>
        <v>0</v>
      </c>
      <c r="K192" s="831">
        <f t="shared" si="67"/>
        <v>0</v>
      </c>
      <c r="L192" s="831">
        <f t="shared" si="67"/>
        <v>0</v>
      </c>
      <c r="M192" s="831">
        <f t="shared" si="67"/>
        <v>0</v>
      </c>
      <c r="N192" s="831">
        <f t="shared" si="67"/>
        <v>0</v>
      </c>
      <c r="O192" s="831">
        <f t="shared" si="67"/>
        <v>0</v>
      </c>
      <c r="P192" s="527"/>
      <c r="Q192" s="526"/>
      <c r="R192" s="526"/>
      <c r="S192" s="526"/>
      <c r="T192" s="526"/>
    </row>
    <row r="193" spans="2:20" s="523" customFormat="1" ht="13.15" customHeight="1" x14ac:dyDescent="0.2">
      <c r="B193" s="526"/>
      <c r="C193" s="526"/>
      <c r="D193" s="825" t="s">
        <v>348</v>
      </c>
      <c r="E193" s="825"/>
      <c r="F193" s="826"/>
      <c r="G193" s="825"/>
      <c r="H193" s="831" t="e">
        <f>(5/12*H166)</f>
        <v>#REF!</v>
      </c>
      <c r="I193" s="831"/>
      <c r="J193" s="831">
        <f t="shared" ref="J193:O193" si="68">(7/12*I166)+(5/12*J166)</f>
        <v>78849.180000000022</v>
      </c>
      <c r="K193" s="831">
        <f t="shared" si="68"/>
        <v>82605.420000000013</v>
      </c>
      <c r="L193" s="831">
        <f t="shared" si="68"/>
        <v>85396.680000000022</v>
      </c>
      <c r="M193" s="831">
        <f t="shared" si="68"/>
        <v>86780.160000000003</v>
      </c>
      <c r="N193" s="831">
        <f t="shared" si="68"/>
        <v>86780.160000000003</v>
      </c>
      <c r="O193" s="831">
        <f t="shared" si="68"/>
        <v>86780.160000000003</v>
      </c>
      <c r="P193" s="527"/>
      <c r="Q193" s="526"/>
      <c r="R193" s="526"/>
      <c r="S193" s="526"/>
      <c r="T193" s="526"/>
    </row>
    <row r="194" spans="2:20" s="523" customFormat="1" ht="13.15" customHeight="1" x14ac:dyDescent="0.2">
      <c r="B194" s="526"/>
      <c r="C194" s="526"/>
      <c r="D194" s="825"/>
      <c r="E194" s="825"/>
      <c r="F194" s="826"/>
      <c r="G194" s="825"/>
      <c r="H194" s="825"/>
      <c r="I194" s="826"/>
      <c r="J194" s="826"/>
      <c r="K194" s="826"/>
      <c r="L194" s="826"/>
      <c r="M194" s="826"/>
      <c r="N194" s="826"/>
      <c r="O194" s="826"/>
      <c r="P194" s="527"/>
      <c r="Q194" s="526"/>
      <c r="R194" s="526"/>
      <c r="S194" s="526"/>
      <c r="T194" s="526"/>
    </row>
    <row r="195" spans="2:20" s="523" customFormat="1" ht="13.15" customHeight="1" x14ac:dyDescent="0.2">
      <c r="B195" s="526"/>
      <c r="C195" s="526"/>
      <c r="D195" s="830" t="s">
        <v>56</v>
      </c>
      <c r="E195" s="825"/>
      <c r="F195" s="826"/>
      <c r="G195" s="825"/>
      <c r="H195" s="825"/>
      <c r="I195" s="826"/>
      <c r="J195" s="826"/>
      <c r="K195" s="826"/>
      <c r="L195" s="826"/>
      <c r="M195" s="826"/>
      <c r="N195" s="826"/>
      <c r="O195" s="826"/>
      <c r="P195" s="527"/>
      <c r="Q195" s="526"/>
      <c r="R195" s="526"/>
      <c r="S195" s="526"/>
      <c r="T195" s="526"/>
    </row>
    <row r="196" spans="2:20" s="523" customFormat="1" ht="13.15" customHeight="1" x14ac:dyDescent="0.2">
      <c r="B196" s="526"/>
      <c r="C196" s="526"/>
      <c r="D196" s="825" t="s">
        <v>347</v>
      </c>
      <c r="E196" s="825"/>
      <c r="F196" s="826"/>
      <c r="G196" s="825"/>
      <c r="H196" s="832" t="e">
        <f>+H43*5/12</f>
        <v>#REF!</v>
      </c>
      <c r="I196" s="831"/>
      <c r="J196" s="831">
        <f t="shared" ref="J196:O196" si="69">(7/12*I43)+(5/12*J43)</f>
        <v>0</v>
      </c>
      <c r="K196" s="831">
        <f t="shared" si="69"/>
        <v>0</v>
      </c>
      <c r="L196" s="831">
        <f t="shared" si="69"/>
        <v>0</v>
      </c>
      <c r="M196" s="831">
        <f t="shared" si="69"/>
        <v>0</v>
      </c>
      <c r="N196" s="831">
        <f t="shared" si="69"/>
        <v>0</v>
      </c>
      <c r="O196" s="831">
        <f t="shared" si="69"/>
        <v>0</v>
      </c>
      <c r="P196" s="527"/>
      <c r="Q196" s="526"/>
      <c r="R196" s="526"/>
      <c r="S196" s="526"/>
      <c r="T196" s="526"/>
    </row>
    <row r="197" spans="2:20" s="523" customFormat="1" ht="13.15" customHeight="1" x14ac:dyDescent="0.2">
      <c r="B197" s="526"/>
      <c r="C197" s="526"/>
      <c r="D197" s="825" t="s">
        <v>324</v>
      </c>
      <c r="E197" s="825"/>
      <c r="F197" s="826"/>
      <c r="G197" s="825"/>
      <c r="H197" s="832">
        <f>+H67*5/12</f>
        <v>0</v>
      </c>
      <c r="I197" s="831"/>
      <c r="J197" s="831">
        <f t="shared" ref="J197:O197" si="70">(7/12*I67)+(5/12*J67)</f>
        <v>0</v>
      </c>
      <c r="K197" s="831">
        <f t="shared" si="70"/>
        <v>0</v>
      </c>
      <c r="L197" s="831">
        <f t="shared" si="70"/>
        <v>0</v>
      </c>
      <c r="M197" s="831">
        <f t="shared" si="70"/>
        <v>0</v>
      </c>
      <c r="N197" s="831">
        <f t="shared" si="70"/>
        <v>0</v>
      </c>
      <c r="O197" s="831">
        <f t="shared" si="70"/>
        <v>0</v>
      </c>
      <c r="P197" s="527"/>
      <c r="Q197" s="526"/>
      <c r="R197" s="526"/>
      <c r="S197" s="526"/>
      <c r="T197" s="526"/>
    </row>
    <row r="198" spans="2:20" s="523" customFormat="1" ht="13.15" customHeight="1" x14ac:dyDescent="0.2">
      <c r="B198" s="526"/>
      <c r="C198" s="526"/>
      <c r="D198" s="825" t="s">
        <v>341</v>
      </c>
      <c r="E198" s="825"/>
      <c r="F198" s="826"/>
      <c r="G198" s="825"/>
      <c r="H198" s="832">
        <f>5/12*H87</f>
        <v>0</v>
      </c>
      <c r="I198" s="831"/>
      <c r="J198" s="831">
        <f t="shared" ref="J198:O198" si="71">(7/12*I87)+(5/12*J87)</f>
        <v>0</v>
      </c>
      <c r="K198" s="831">
        <f t="shared" si="71"/>
        <v>0</v>
      </c>
      <c r="L198" s="831">
        <f t="shared" si="71"/>
        <v>0</v>
      </c>
      <c r="M198" s="831">
        <f t="shared" si="71"/>
        <v>0</v>
      </c>
      <c r="N198" s="831">
        <f t="shared" si="71"/>
        <v>0</v>
      </c>
      <c r="O198" s="831">
        <f t="shared" si="71"/>
        <v>0</v>
      </c>
      <c r="P198" s="527"/>
      <c r="Q198" s="526"/>
      <c r="R198" s="526"/>
      <c r="S198" s="526"/>
      <c r="T198" s="526"/>
    </row>
    <row r="199" spans="2:20" s="523" customFormat="1" ht="13.15" customHeight="1" x14ac:dyDescent="0.2">
      <c r="B199" s="526"/>
      <c r="C199" s="526"/>
      <c r="D199" s="825" t="s">
        <v>222</v>
      </c>
      <c r="E199" s="825"/>
      <c r="F199" s="826"/>
      <c r="G199" s="825"/>
      <c r="H199" s="832">
        <f>5/12*H92-H198</f>
        <v>0</v>
      </c>
      <c r="I199" s="832"/>
      <c r="J199" s="832">
        <f t="shared" ref="J199:O199" si="72">7/12*I92+5/12*J92-J198</f>
        <v>0</v>
      </c>
      <c r="K199" s="832">
        <f t="shared" si="72"/>
        <v>0</v>
      </c>
      <c r="L199" s="832">
        <f t="shared" si="72"/>
        <v>0</v>
      </c>
      <c r="M199" s="832">
        <f t="shared" si="72"/>
        <v>0</v>
      </c>
      <c r="N199" s="832">
        <f t="shared" si="72"/>
        <v>0</v>
      </c>
      <c r="O199" s="832">
        <f t="shared" si="72"/>
        <v>0</v>
      </c>
      <c r="P199" s="527"/>
      <c r="Q199" s="526"/>
      <c r="R199" s="526"/>
      <c r="S199" s="526"/>
      <c r="T199" s="526"/>
    </row>
    <row r="200" spans="2:20" s="523" customFormat="1" ht="13.15" customHeight="1" x14ac:dyDescent="0.2">
      <c r="B200" s="526"/>
      <c r="C200" s="526"/>
      <c r="D200" s="825" t="s">
        <v>348</v>
      </c>
      <c r="E200" s="825"/>
      <c r="F200" s="826"/>
      <c r="G200" s="825"/>
      <c r="H200" s="832" t="e">
        <f>5/12*(H149+H163)</f>
        <v>#REF!</v>
      </c>
      <c r="I200" s="832"/>
      <c r="J200" s="832">
        <f t="shared" ref="J200:O200" si="73">7/12*(I149+I163)+5/12*(J149+J163)</f>
        <v>78849.180000000022</v>
      </c>
      <c r="K200" s="832">
        <f t="shared" si="73"/>
        <v>82605.420000000013</v>
      </c>
      <c r="L200" s="832">
        <f t="shared" si="73"/>
        <v>85396.680000000022</v>
      </c>
      <c r="M200" s="832">
        <f t="shared" si="73"/>
        <v>86780.160000000003</v>
      </c>
      <c r="N200" s="832">
        <f t="shared" si="73"/>
        <v>86780.160000000003</v>
      </c>
      <c r="O200" s="832">
        <f t="shared" si="73"/>
        <v>86780.160000000003</v>
      </c>
      <c r="P200" s="527"/>
      <c r="Q200" s="526"/>
      <c r="R200" s="526"/>
      <c r="S200" s="526"/>
      <c r="T200" s="526"/>
    </row>
    <row r="201" spans="2:20" s="523" customFormat="1" ht="13.15" customHeight="1" x14ac:dyDescent="0.2">
      <c r="B201" s="526"/>
      <c r="C201" s="526"/>
      <c r="D201" s="825"/>
      <c r="E201" s="825"/>
      <c r="F201" s="826"/>
      <c r="G201" s="825"/>
      <c r="H201" s="826"/>
      <c r="I201" s="826"/>
      <c r="J201" s="826"/>
      <c r="K201" s="826"/>
      <c r="L201" s="826"/>
      <c r="M201" s="826"/>
      <c r="N201" s="826"/>
      <c r="O201" s="826"/>
      <c r="P201" s="526"/>
      <c r="Q201" s="526"/>
      <c r="R201" s="526"/>
      <c r="S201" s="526"/>
    </row>
    <row r="202" spans="2:20" s="523" customFormat="1" ht="13.15" customHeight="1" x14ac:dyDescent="0.2">
      <c r="B202" s="526"/>
      <c r="C202" s="526"/>
      <c r="D202" s="830"/>
      <c r="E202" s="825"/>
      <c r="F202" s="826"/>
      <c r="G202" s="825"/>
      <c r="H202" s="826"/>
      <c r="I202" s="826"/>
      <c r="J202" s="826"/>
      <c r="K202" s="826"/>
      <c r="L202" s="826"/>
      <c r="M202" s="826"/>
      <c r="N202" s="826"/>
      <c r="O202" s="826"/>
      <c r="P202" s="526"/>
      <c r="Q202" s="526"/>
      <c r="R202" s="526"/>
      <c r="S202" s="526"/>
    </row>
    <row r="203" spans="2:20" s="523" customFormat="1" ht="13.15" customHeight="1" x14ac:dyDescent="0.2">
      <c r="B203" s="526"/>
      <c r="C203" s="526"/>
      <c r="D203" s="825" t="s">
        <v>892</v>
      </c>
      <c r="E203" s="825"/>
      <c r="F203" s="826"/>
      <c r="G203" s="825"/>
      <c r="H203" s="831" t="e">
        <f>+(H110)*5/12</f>
        <v>#REF!</v>
      </c>
      <c r="I203" s="831"/>
      <c r="J203" s="831">
        <f t="shared" ref="J203:O203" si="74">(I110)*7/12+(J110)*5/12</f>
        <v>78849.180000000008</v>
      </c>
      <c r="K203" s="831">
        <f t="shared" si="74"/>
        <v>82605.420000000013</v>
      </c>
      <c r="L203" s="831">
        <f t="shared" si="74"/>
        <v>85396.680000000022</v>
      </c>
      <c r="M203" s="831">
        <f t="shared" si="74"/>
        <v>86780.160000000003</v>
      </c>
      <c r="N203" s="831">
        <f t="shared" si="74"/>
        <v>86780.160000000003</v>
      </c>
      <c r="O203" s="831">
        <f t="shared" si="74"/>
        <v>86780.160000000003</v>
      </c>
      <c r="P203" s="526"/>
      <c r="Q203" s="526"/>
      <c r="R203" s="526"/>
      <c r="S203" s="526"/>
    </row>
    <row r="204" spans="2:20" s="523" customFormat="1" ht="13.15" customHeight="1" x14ac:dyDescent="0.2">
      <c r="B204" s="526"/>
      <c r="C204" s="526"/>
      <c r="D204" s="825" t="s">
        <v>751</v>
      </c>
      <c r="E204" s="825"/>
      <c r="F204" s="826"/>
      <c r="G204" s="825"/>
      <c r="H204" s="831" t="e">
        <f>5/12*H99</f>
        <v>#REF!</v>
      </c>
      <c r="I204" s="831"/>
      <c r="J204" s="831">
        <f t="shared" ref="J204:O204" si="75">7/12*I99+5/12*J99</f>
        <v>0</v>
      </c>
      <c r="K204" s="831">
        <f t="shared" si="75"/>
        <v>0</v>
      </c>
      <c r="L204" s="831">
        <f t="shared" si="75"/>
        <v>0</v>
      </c>
      <c r="M204" s="831">
        <f t="shared" si="75"/>
        <v>0</v>
      </c>
      <c r="N204" s="831">
        <f t="shared" si="75"/>
        <v>0</v>
      </c>
      <c r="O204" s="831">
        <f t="shared" si="75"/>
        <v>0</v>
      </c>
      <c r="P204" s="526"/>
      <c r="Q204" s="526"/>
      <c r="R204" s="526"/>
      <c r="S204" s="526"/>
    </row>
    <row r="205" spans="2:20" s="523" customFormat="1" ht="13.15" customHeight="1" x14ac:dyDescent="0.2">
      <c r="B205" s="526"/>
      <c r="C205" s="526"/>
      <c r="D205" s="825" t="s">
        <v>752</v>
      </c>
      <c r="E205" s="825"/>
      <c r="F205" s="826"/>
      <c r="G205" s="825"/>
      <c r="H205" s="831" t="e">
        <f>5/12*H166</f>
        <v>#REF!</v>
      </c>
      <c r="I205" s="831"/>
      <c r="J205" s="831">
        <f t="shared" ref="J205:O205" si="76">7/12*I166+5/12*J166</f>
        <v>78849.180000000022</v>
      </c>
      <c r="K205" s="831">
        <f t="shared" si="76"/>
        <v>82605.420000000013</v>
      </c>
      <c r="L205" s="831">
        <f t="shared" si="76"/>
        <v>85396.680000000022</v>
      </c>
      <c r="M205" s="831">
        <f t="shared" si="76"/>
        <v>86780.160000000003</v>
      </c>
      <c r="N205" s="831">
        <f t="shared" si="76"/>
        <v>86780.160000000003</v>
      </c>
      <c r="O205" s="831">
        <f t="shared" si="76"/>
        <v>86780.160000000003</v>
      </c>
      <c r="P205" s="526"/>
      <c r="Q205" s="526"/>
      <c r="R205" s="526"/>
      <c r="S205" s="526"/>
    </row>
    <row r="206" spans="2:20" s="523" customFormat="1" ht="13.15" customHeight="1" x14ac:dyDescent="0.2">
      <c r="B206" s="526"/>
      <c r="C206" s="526"/>
      <c r="D206" s="825"/>
      <c r="E206" s="825"/>
      <c r="F206" s="826"/>
      <c r="G206" s="825"/>
      <c r="H206" s="831"/>
      <c r="I206" s="831"/>
      <c r="J206" s="831"/>
      <c r="K206" s="831"/>
      <c r="L206" s="826"/>
      <c r="M206" s="826"/>
      <c r="N206" s="826"/>
      <c r="O206" s="826"/>
      <c r="P206" s="526"/>
      <c r="Q206" s="526"/>
      <c r="R206" s="526"/>
      <c r="S206" s="526"/>
    </row>
    <row r="207" spans="2:20" s="523" customFormat="1" ht="13.15" customHeight="1" x14ac:dyDescent="0.2">
      <c r="B207" s="526"/>
      <c r="C207" s="526"/>
      <c r="D207" s="833"/>
      <c r="E207" s="833"/>
      <c r="F207" s="834"/>
      <c r="G207" s="833"/>
      <c r="H207" s="835"/>
      <c r="I207" s="835"/>
      <c r="J207" s="835"/>
      <c r="K207" s="835"/>
      <c r="L207" s="527"/>
      <c r="M207" s="527"/>
      <c r="N207" s="527"/>
      <c r="O207" s="527"/>
      <c r="P207" s="526"/>
      <c r="Q207" s="526"/>
      <c r="R207" s="526"/>
      <c r="S207" s="526"/>
    </row>
    <row r="208" spans="2:20" s="523" customFormat="1" ht="13.15" customHeight="1" x14ac:dyDescent="0.2">
      <c r="B208" s="526"/>
      <c r="C208" s="526"/>
      <c r="D208" s="526"/>
      <c r="E208" s="526"/>
      <c r="F208" s="527"/>
      <c r="G208" s="526"/>
      <c r="H208" s="824"/>
      <c r="I208" s="824"/>
      <c r="J208" s="824"/>
      <c r="K208" s="824"/>
      <c r="L208" s="527"/>
      <c r="M208" s="527"/>
      <c r="N208" s="527"/>
      <c r="O208" s="527"/>
      <c r="P208" s="526"/>
      <c r="Q208" s="526"/>
      <c r="R208" s="526"/>
      <c r="S208" s="526"/>
    </row>
    <row r="209" spans="2:19" s="523" customFormat="1" ht="13.15" customHeight="1" x14ac:dyDescent="0.2">
      <c r="B209" s="526"/>
      <c r="C209" s="526"/>
      <c r="D209" s="526"/>
      <c r="E209" s="526"/>
      <c r="F209" s="527"/>
      <c r="G209" s="526"/>
      <c r="H209" s="824"/>
      <c r="I209" s="824"/>
      <c r="J209" s="824"/>
      <c r="K209" s="824"/>
      <c r="L209" s="527"/>
      <c r="M209" s="527"/>
      <c r="N209" s="527"/>
      <c r="O209" s="527"/>
      <c r="P209" s="526"/>
      <c r="Q209" s="526"/>
      <c r="R209" s="526"/>
      <c r="S209" s="526"/>
    </row>
    <row r="210" spans="2:19" s="523" customFormat="1" ht="13.15" customHeight="1" x14ac:dyDescent="0.2">
      <c r="B210" s="526"/>
      <c r="C210" s="526"/>
      <c r="D210" s="526"/>
      <c r="E210" s="526"/>
      <c r="F210" s="527"/>
      <c r="G210" s="526"/>
      <c r="H210" s="824"/>
      <c r="I210" s="824"/>
      <c r="J210" s="824"/>
      <c r="K210" s="824"/>
      <c r="L210" s="527"/>
      <c r="M210" s="527"/>
      <c r="N210" s="527"/>
      <c r="O210" s="527"/>
      <c r="P210" s="526"/>
      <c r="Q210" s="526"/>
      <c r="R210" s="526"/>
      <c r="S210" s="526"/>
    </row>
    <row r="211" spans="2:19" s="523" customFormat="1" ht="13.15" customHeight="1" x14ac:dyDescent="0.2">
      <c r="B211" s="526"/>
      <c r="C211" s="526"/>
      <c r="D211" s="526"/>
      <c r="E211" s="526"/>
      <c r="F211" s="527"/>
      <c r="G211" s="526"/>
      <c r="H211" s="527"/>
      <c r="I211" s="527"/>
      <c r="J211" s="527"/>
      <c r="K211" s="527"/>
      <c r="L211" s="527"/>
      <c r="M211" s="527"/>
      <c r="N211" s="527"/>
      <c r="O211" s="527"/>
      <c r="P211" s="526"/>
      <c r="Q211" s="526"/>
      <c r="R211" s="526"/>
      <c r="S211" s="526"/>
    </row>
    <row r="212" spans="2:19" s="523" customFormat="1" ht="13.15" customHeight="1" x14ac:dyDescent="0.2">
      <c r="B212" s="526"/>
      <c r="C212" s="526"/>
      <c r="D212" s="526"/>
      <c r="E212" s="526"/>
      <c r="F212" s="527"/>
      <c r="G212" s="526"/>
      <c r="H212" s="527"/>
      <c r="I212" s="527"/>
      <c r="J212" s="527"/>
      <c r="K212" s="527"/>
      <c r="L212" s="527"/>
      <c r="M212" s="527"/>
      <c r="N212" s="527"/>
      <c r="O212" s="527"/>
      <c r="P212" s="526"/>
      <c r="Q212" s="526"/>
      <c r="R212" s="526"/>
      <c r="S212" s="526"/>
    </row>
    <row r="213" spans="2:19" s="523" customFormat="1" ht="13.15" customHeight="1" x14ac:dyDescent="0.2">
      <c r="B213" s="526"/>
      <c r="C213" s="526"/>
      <c r="D213" s="526"/>
      <c r="E213" s="526"/>
      <c r="F213" s="527"/>
      <c r="G213" s="526"/>
      <c r="H213" s="527"/>
      <c r="I213" s="527"/>
      <c r="J213" s="527"/>
      <c r="K213" s="527"/>
      <c r="L213" s="527"/>
      <c r="M213" s="527"/>
      <c r="N213" s="527"/>
      <c r="O213" s="527"/>
      <c r="P213" s="526"/>
      <c r="Q213" s="526"/>
      <c r="R213" s="526"/>
      <c r="S213" s="526"/>
    </row>
    <row r="214" spans="2:19" s="523" customFormat="1" ht="13.15" customHeight="1" x14ac:dyDescent="0.2">
      <c r="B214" s="526"/>
      <c r="C214" s="526"/>
      <c r="D214" s="526"/>
      <c r="E214" s="526"/>
      <c r="F214" s="527"/>
      <c r="G214" s="526"/>
      <c r="H214" s="527"/>
      <c r="I214" s="527"/>
      <c r="J214" s="527"/>
      <c r="K214" s="527"/>
      <c r="L214" s="527"/>
      <c r="M214" s="527"/>
      <c r="N214" s="527"/>
      <c r="O214" s="527"/>
      <c r="P214" s="526"/>
      <c r="Q214" s="526"/>
      <c r="R214" s="526"/>
      <c r="S214" s="526"/>
    </row>
    <row r="215" spans="2:19" s="523" customFormat="1" ht="13.15" customHeight="1" x14ac:dyDescent="0.2">
      <c r="B215" s="526"/>
      <c r="C215" s="526"/>
      <c r="D215" s="526"/>
      <c r="E215" s="526"/>
      <c r="F215" s="527"/>
      <c r="G215" s="526"/>
      <c r="H215" s="527"/>
      <c r="I215" s="527"/>
      <c r="J215" s="527"/>
      <c r="K215" s="527"/>
      <c r="L215" s="527"/>
      <c r="M215" s="527"/>
      <c r="N215" s="527"/>
      <c r="O215" s="527"/>
      <c r="P215" s="526"/>
      <c r="Q215" s="526"/>
      <c r="R215" s="526"/>
      <c r="S215" s="526"/>
    </row>
    <row r="216" spans="2:19" s="523" customFormat="1" ht="13.15" customHeight="1" x14ac:dyDescent="0.2">
      <c r="B216" s="526"/>
      <c r="C216" s="526"/>
      <c r="D216" s="526"/>
      <c r="E216" s="526"/>
      <c r="F216" s="527"/>
      <c r="G216" s="526"/>
      <c r="H216" s="527"/>
      <c r="I216" s="527"/>
      <c r="J216" s="527"/>
      <c r="K216" s="527"/>
      <c r="L216" s="527"/>
      <c r="M216" s="527"/>
      <c r="N216" s="527"/>
      <c r="O216" s="527"/>
      <c r="P216" s="526"/>
      <c r="Q216" s="526"/>
      <c r="R216" s="526"/>
      <c r="S216" s="526"/>
    </row>
    <row r="217" spans="2:19" s="523" customFormat="1" ht="13.15" customHeight="1" x14ac:dyDescent="0.2">
      <c r="B217" s="526"/>
      <c r="C217" s="526"/>
      <c r="D217" s="526"/>
      <c r="E217" s="526"/>
      <c r="F217" s="527"/>
      <c r="G217" s="526"/>
      <c r="H217" s="527"/>
      <c r="I217" s="527"/>
      <c r="J217" s="527"/>
      <c r="K217" s="527"/>
      <c r="L217" s="527"/>
      <c r="M217" s="527"/>
      <c r="N217" s="527"/>
      <c r="O217" s="527"/>
      <c r="P217" s="526"/>
      <c r="Q217" s="526"/>
      <c r="R217" s="526"/>
      <c r="S217" s="526"/>
    </row>
    <row r="218" spans="2:19" s="523" customFormat="1" ht="13.15" customHeight="1" x14ac:dyDescent="0.2">
      <c r="B218" s="526"/>
      <c r="C218" s="526"/>
      <c r="D218" s="526"/>
      <c r="E218" s="526"/>
      <c r="F218" s="527"/>
      <c r="G218" s="526"/>
      <c r="H218" s="527"/>
      <c r="I218" s="527"/>
      <c r="J218" s="527"/>
      <c r="K218" s="527"/>
      <c r="L218" s="527"/>
      <c r="M218" s="527"/>
      <c r="N218" s="527"/>
      <c r="O218" s="527"/>
      <c r="P218" s="526"/>
      <c r="Q218" s="526"/>
      <c r="R218" s="526"/>
      <c r="S218" s="526"/>
    </row>
    <row r="219" spans="2:19" s="523" customFormat="1" ht="13.15" customHeight="1" x14ac:dyDescent="0.2">
      <c r="B219" s="526"/>
      <c r="C219" s="526"/>
      <c r="D219" s="526"/>
      <c r="E219" s="526"/>
      <c r="F219" s="527"/>
      <c r="G219" s="526"/>
      <c r="H219" s="527"/>
      <c r="I219" s="527"/>
      <c r="J219" s="527"/>
      <c r="K219" s="527"/>
      <c r="L219" s="527"/>
      <c r="M219" s="527"/>
      <c r="N219" s="527"/>
      <c r="O219" s="527"/>
      <c r="P219" s="526"/>
      <c r="Q219" s="526"/>
      <c r="R219" s="526"/>
      <c r="S219" s="526"/>
    </row>
    <row r="220" spans="2:19" s="523" customFormat="1" ht="13.15" customHeight="1" x14ac:dyDescent="0.2">
      <c r="B220" s="526"/>
      <c r="C220" s="526"/>
      <c r="D220" s="526"/>
      <c r="E220" s="526"/>
      <c r="F220" s="527"/>
      <c r="G220" s="526"/>
      <c r="H220" s="527"/>
      <c r="I220" s="527"/>
      <c r="J220" s="527"/>
      <c r="K220" s="527"/>
      <c r="L220" s="527"/>
      <c r="M220" s="527"/>
      <c r="N220" s="527"/>
      <c r="O220" s="527"/>
      <c r="P220" s="526"/>
      <c r="Q220" s="526"/>
      <c r="R220" s="526"/>
      <c r="S220" s="526"/>
    </row>
    <row r="221" spans="2:19" s="523" customFormat="1" ht="13.15" customHeight="1" x14ac:dyDescent="0.2">
      <c r="B221" s="526"/>
      <c r="C221" s="526"/>
      <c r="D221" s="526"/>
      <c r="E221" s="526"/>
      <c r="F221" s="527"/>
      <c r="G221" s="526"/>
      <c r="H221" s="527"/>
      <c r="I221" s="527"/>
      <c r="J221" s="527"/>
      <c r="K221" s="527"/>
      <c r="L221" s="527"/>
      <c r="M221" s="527"/>
      <c r="N221" s="527"/>
      <c r="O221" s="527"/>
      <c r="P221" s="526"/>
      <c r="Q221" s="526"/>
      <c r="R221" s="526"/>
      <c r="S221" s="526"/>
    </row>
    <row r="222" spans="2:19" s="523" customFormat="1" ht="13.15" customHeight="1" x14ac:dyDescent="0.2">
      <c r="B222" s="526"/>
      <c r="C222" s="526"/>
      <c r="D222" s="526"/>
      <c r="E222" s="526"/>
      <c r="F222" s="527"/>
      <c r="G222" s="526"/>
      <c r="H222" s="527"/>
      <c r="I222" s="527"/>
      <c r="J222" s="527"/>
      <c r="K222" s="527"/>
      <c r="L222" s="527"/>
      <c r="M222" s="527"/>
      <c r="N222" s="527"/>
      <c r="O222" s="527"/>
      <c r="P222" s="526"/>
      <c r="Q222" s="526"/>
      <c r="R222" s="526"/>
      <c r="S222" s="526"/>
    </row>
    <row r="223" spans="2:19" s="523" customFormat="1" ht="13.15" customHeight="1" x14ac:dyDescent="0.2">
      <c r="B223" s="526"/>
      <c r="C223" s="526"/>
      <c r="D223" s="526"/>
      <c r="E223" s="526"/>
      <c r="F223" s="527"/>
      <c r="G223" s="526"/>
      <c r="H223" s="527"/>
      <c r="I223" s="527"/>
      <c r="J223" s="527"/>
      <c r="K223" s="527"/>
      <c r="L223" s="527"/>
      <c r="M223" s="527"/>
      <c r="N223" s="527"/>
      <c r="O223" s="527"/>
      <c r="P223" s="526"/>
      <c r="Q223" s="526"/>
      <c r="R223" s="526"/>
      <c r="S223" s="526"/>
    </row>
    <row r="224" spans="2:19" s="523" customFormat="1" ht="13.15" customHeight="1" x14ac:dyDescent="0.2">
      <c r="B224" s="526"/>
      <c r="C224" s="526"/>
      <c r="D224" s="526"/>
      <c r="E224" s="526"/>
      <c r="F224" s="527"/>
      <c r="G224" s="526"/>
      <c r="H224" s="527"/>
      <c r="I224" s="527"/>
      <c r="J224" s="527"/>
      <c r="K224" s="527"/>
      <c r="L224" s="527"/>
      <c r="M224" s="527"/>
      <c r="N224" s="527"/>
      <c r="O224" s="527"/>
      <c r="P224" s="526"/>
      <c r="Q224" s="526"/>
      <c r="R224" s="526"/>
      <c r="S224" s="526"/>
    </row>
    <row r="225" spans="2:19" s="523" customFormat="1" ht="13.15" customHeight="1" x14ac:dyDescent="0.2">
      <c r="B225" s="526"/>
      <c r="C225" s="526"/>
      <c r="D225" s="526"/>
      <c r="E225" s="526"/>
      <c r="F225" s="527"/>
      <c r="G225" s="526"/>
      <c r="H225" s="527"/>
      <c r="I225" s="527"/>
      <c r="J225" s="527"/>
      <c r="K225" s="527"/>
      <c r="L225" s="527"/>
      <c r="M225" s="527"/>
      <c r="N225" s="527"/>
      <c r="O225" s="527"/>
      <c r="P225" s="526"/>
      <c r="Q225" s="526"/>
      <c r="R225" s="526"/>
      <c r="S225" s="526"/>
    </row>
    <row r="226" spans="2:19" s="523" customFormat="1" ht="13.15" customHeight="1" x14ac:dyDescent="0.2">
      <c r="B226" s="526"/>
      <c r="C226" s="526"/>
      <c r="D226" s="526"/>
      <c r="E226" s="526"/>
      <c r="F226" s="527"/>
      <c r="G226" s="526"/>
      <c r="H226" s="527"/>
      <c r="I226" s="527"/>
      <c r="J226" s="527"/>
      <c r="K226" s="527"/>
      <c r="L226" s="527"/>
      <c r="M226" s="527"/>
      <c r="N226" s="527"/>
      <c r="O226" s="527"/>
      <c r="P226" s="526"/>
      <c r="Q226" s="526"/>
      <c r="R226" s="526"/>
      <c r="S226" s="526"/>
    </row>
    <row r="227" spans="2:19" s="523" customFormat="1" ht="13.15" customHeight="1" x14ac:dyDescent="0.2">
      <c r="B227" s="526"/>
      <c r="C227" s="526"/>
      <c r="D227" s="526"/>
      <c r="E227" s="526"/>
      <c r="F227" s="527"/>
      <c r="G227" s="526"/>
      <c r="H227" s="527"/>
      <c r="I227" s="527"/>
      <c r="J227" s="527"/>
      <c r="K227" s="527"/>
      <c r="L227" s="527"/>
      <c r="M227" s="527"/>
      <c r="N227" s="527"/>
      <c r="O227" s="527"/>
      <c r="P227" s="526"/>
      <c r="Q227" s="526"/>
      <c r="R227" s="526"/>
      <c r="S227" s="526"/>
    </row>
    <row r="228" spans="2:19" s="523" customFormat="1" ht="13.15" customHeight="1" x14ac:dyDescent="0.2">
      <c r="B228" s="526"/>
      <c r="C228" s="526"/>
      <c r="D228" s="526"/>
      <c r="E228" s="526"/>
      <c r="F228" s="527"/>
      <c r="G228" s="526"/>
      <c r="H228" s="527"/>
      <c r="I228" s="527"/>
      <c r="J228" s="527"/>
      <c r="K228" s="527"/>
      <c r="L228" s="527"/>
      <c r="M228" s="527"/>
      <c r="N228" s="527"/>
      <c r="O228" s="527"/>
      <c r="P228" s="526"/>
      <c r="Q228" s="526"/>
      <c r="R228" s="526"/>
      <c r="S228" s="526"/>
    </row>
    <row r="229" spans="2:19" s="523" customFormat="1" ht="13.15" customHeight="1" x14ac:dyDescent="0.2">
      <c r="B229" s="526"/>
      <c r="C229" s="526"/>
      <c r="D229" s="526"/>
      <c r="E229" s="526"/>
      <c r="F229" s="527"/>
      <c r="G229" s="526"/>
      <c r="H229" s="527"/>
      <c r="I229" s="527"/>
      <c r="J229" s="527"/>
      <c r="K229" s="527"/>
      <c r="L229" s="527"/>
      <c r="M229" s="527"/>
      <c r="N229" s="527"/>
      <c r="O229" s="527"/>
      <c r="P229" s="526"/>
      <c r="Q229" s="526"/>
      <c r="R229" s="526"/>
      <c r="S229" s="526"/>
    </row>
    <row r="230" spans="2:19" s="523" customFormat="1" ht="13.15" customHeight="1" x14ac:dyDescent="0.2">
      <c r="B230" s="526"/>
      <c r="C230" s="526"/>
      <c r="D230" s="526"/>
      <c r="E230" s="526"/>
      <c r="F230" s="527"/>
      <c r="G230" s="526"/>
      <c r="H230" s="527"/>
      <c r="I230" s="527"/>
      <c r="J230" s="527"/>
      <c r="K230" s="527"/>
      <c r="L230" s="527"/>
      <c r="M230" s="527"/>
      <c r="N230" s="527"/>
      <c r="O230" s="527"/>
      <c r="P230" s="526"/>
      <c r="Q230" s="526"/>
      <c r="R230" s="526"/>
      <c r="S230" s="526"/>
    </row>
    <row r="231" spans="2:19" s="523" customFormat="1" ht="13.15" customHeight="1" x14ac:dyDescent="0.2">
      <c r="B231" s="526"/>
      <c r="C231" s="526"/>
      <c r="D231" s="526"/>
      <c r="E231" s="526"/>
      <c r="F231" s="527"/>
      <c r="G231" s="526"/>
      <c r="H231" s="527"/>
      <c r="I231" s="527"/>
      <c r="J231" s="527"/>
      <c r="K231" s="527"/>
      <c r="L231" s="527"/>
      <c r="M231" s="527"/>
      <c r="N231" s="527"/>
      <c r="O231" s="527"/>
      <c r="P231" s="526"/>
      <c r="Q231" s="526"/>
      <c r="R231" s="526"/>
      <c r="S231" s="526"/>
    </row>
    <row r="232" spans="2:19" s="523" customFormat="1" ht="13.15" customHeight="1" x14ac:dyDescent="0.2">
      <c r="B232" s="526"/>
      <c r="C232" s="526"/>
      <c r="D232" s="526"/>
      <c r="E232" s="526"/>
      <c r="F232" s="527"/>
      <c r="G232" s="526"/>
      <c r="H232" s="527"/>
      <c r="I232" s="527"/>
      <c r="J232" s="527"/>
      <c r="K232" s="527"/>
      <c r="L232" s="527"/>
      <c r="M232" s="527"/>
      <c r="N232" s="527"/>
      <c r="O232" s="527"/>
      <c r="P232" s="526"/>
      <c r="Q232" s="526"/>
      <c r="R232" s="526"/>
      <c r="S232" s="526"/>
    </row>
    <row r="233" spans="2:19" s="523" customFormat="1" ht="13.15" customHeight="1" x14ac:dyDescent="0.2">
      <c r="B233" s="526"/>
      <c r="C233" s="526"/>
      <c r="D233" s="526"/>
      <c r="E233" s="526"/>
      <c r="F233" s="527"/>
      <c r="G233" s="526"/>
      <c r="H233" s="527"/>
      <c r="I233" s="527"/>
      <c r="J233" s="527"/>
      <c r="K233" s="527"/>
      <c r="L233" s="527"/>
      <c r="M233" s="527"/>
      <c r="N233" s="527"/>
      <c r="O233" s="527"/>
      <c r="P233" s="526"/>
      <c r="Q233" s="526"/>
      <c r="R233" s="526"/>
      <c r="S233" s="526"/>
    </row>
    <row r="234" spans="2:19" s="523" customFormat="1" ht="13.15" customHeight="1" x14ac:dyDescent="0.2">
      <c r="B234" s="526"/>
      <c r="C234" s="526"/>
      <c r="D234" s="526"/>
      <c r="E234" s="526"/>
      <c r="F234" s="527"/>
      <c r="G234" s="526"/>
      <c r="H234" s="527"/>
      <c r="I234" s="527"/>
      <c r="J234" s="527"/>
      <c r="K234" s="527"/>
      <c r="L234" s="527"/>
      <c r="M234" s="527"/>
      <c r="N234" s="527"/>
      <c r="O234" s="527"/>
      <c r="P234" s="526"/>
      <c r="Q234" s="526"/>
      <c r="R234" s="526"/>
      <c r="S234" s="526"/>
    </row>
    <row r="235" spans="2:19" s="523" customFormat="1" ht="13.15" customHeight="1" x14ac:dyDescent="0.2">
      <c r="B235" s="526"/>
      <c r="C235" s="526"/>
      <c r="D235" s="526"/>
      <c r="E235" s="526"/>
      <c r="F235" s="527"/>
      <c r="G235" s="526"/>
      <c r="H235" s="527"/>
      <c r="I235" s="527"/>
      <c r="J235" s="527"/>
      <c r="K235" s="527"/>
      <c r="L235" s="527"/>
      <c r="M235" s="527"/>
      <c r="N235" s="527"/>
      <c r="O235" s="527"/>
      <c r="P235" s="526"/>
      <c r="Q235" s="526"/>
      <c r="R235" s="526"/>
      <c r="S235" s="526"/>
    </row>
    <row r="236" spans="2:19" s="523" customFormat="1" ht="13.15" customHeight="1" x14ac:dyDescent="0.2">
      <c r="B236" s="526"/>
      <c r="C236" s="526"/>
      <c r="D236" s="526"/>
      <c r="E236" s="526"/>
      <c r="F236" s="527"/>
      <c r="G236" s="526"/>
      <c r="H236" s="527"/>
      <c r="I236" s="527"/>
      <c r="J236" s="527"/>
      <c r="K236" s="527"/>
      <c r="L236" s="527"/>
      <c r="M236" s="527"/>
      <c r="N236" s="527"/>
      <c r="O236" s="527"/>
      <c r="P236" s="526"/>
      <c r="Q236" s="526"/>
      <c r="R236" s="526"/>
      <c r="S236" s="526"/>
    </row>
    <row r="237" spans="2:19" s="523" customFormat="1" ht="13.15" customHeight="1" x14ac:dyDescent="0.2">
      <c r="B237" s="526"/>
      <c r="C237" s="526"/>
      <c r="D237" s="526"/>
      <c r="E237" s="526"/>
      <c r="F237" s="527"/>
      <c r="G237" s="526"/>
      <c r="H237" s="527"/>
      <c r="I237" s="527"/>
      <c r="J237" s="527"/>
      <c r="K237" s="527"/>
      <c r="L237" s="527"/>
      <c r="M237" s="527"/>
      <c r="N237" s="527"/>
      <c r="O237" s="527"/>
      <c r="P237" s="526"/>
      <c r="Q237" s="526"/>
      <c r="R237" s="526"/>
      <c r="S237" s="526"/>
    </row>
    <row r="238" spans="2:19" s="523" customFormat="1" ht="13.15" customHeight="1" x14ac:dyDescent="0.2">
      <c r="B238" s="526"/>
      <c r="C238" s="526"/>
      <c r="D238" s="526"/>
      <c r="E238" s="526"/>
      <c r="F238" s="527"/>
      <c r="G238" s="526"/>
      <c r="H238" s="527"/>
      <c r="I238" s="527"/>
      <c r="J238" s="527"/>
      <c r="K238" s="527"/>
      <c r="L238" s="527"/>
      <c r="M238" s="527"/>
      <c r="N238" s="527"/>
      <c r="O238" s="527"/>
      <c r="P238" s="526"/>
      <c r="Q238" s="526"/>
      <c r="R238" s="526"/>
      <c r="S238" s="526"/>
    </row>
    <row r="239" spans="2:19" s="523" customFormat="1" ht="13.15" customHeight="1" x14ac:dyDescent="0.2">
      <c r="B239" s="526"/>
      <c r="C239" s="526"/>
      <c r="D239" s="526"/>
      <c r="E239" s="526"/>
      <c r="F239" s="527"/>
      <c r="G239" s="526"/>
      <c r="H239" s="527"/>
      <c r="I239" s="527"/>
      <c r="J239" s="527"/>
      <c r="K239" s="527"/>
      <c r="L239" s="527"/>
      <c r="M239" s="527"/>
      <c r="N239" s="527"/>
      <c r="O239" s="527"/>
      <c r="P239" s="526"/>
      <c r="Q239" s="526"/>
      <c r="R239" s="526"/>
      <c r="S239" s="526"/>
    </row>
    <row r="240" spans="2:19" s="523" customFormat="1" ht="13.15" customHeight="1" x14ac:dyDescent="0.2">
      <c r="B240" s="526"/>
      <c r="C240" s="526"/>
      <c r="D240" s="526"/>
      <c r="E240" s="526"/>
      <c r="F240" s="527"/>
      <c r="G240" s="526"/>
      <c r="H240" s="527"/>
      <c r="I240" s="527"/>
      <c r="J240" s="527"/>
      <c r="K240" s="527"/>
      <c r="L240" s="527"/>
      <c r="M240" s="527"/>
      <c r="N240" s="527"/>
      <c r="O240" s="527"/>
      <c r="P240" s="526"/>
      <c r="Q240" s="526"/>
      <c r="R240" s="526"/>
      <c r="S240" s="526"/>
    </row>
    <row r="241" spans="2:19" s="523" customFormat="1" ht="13.15" customHeight="1" x14ac:dyDescent="0.2">
      <c r="B241" s="526"/>
      <c r="C241" s="526"/>
      <c r="D241" s="526"/>
      <c r="E241" s="526"/>
      <c r="F241" s="527"/>
      <c r="G241" s="526"/>
      <c r="H241" s="527"/>
      <c r="I241" s="527"/>
      <c r="J241" s="527"/>
      <c r="K241" s="527"/>
      <c r="L241" s="527"/>
      <c r="M241" s="527"/>
      <c r="N241" s="527"/>
      <c r="O241" s="527"/>
      <c r="P241" s="526"/>
      <c r="Q241" s="526"/>
      <c r="R241" s="526"/>
      <c r="S241" s="526"/>
    </row>
    <row r="242" spans="2:19" s="523" customFormat="1" ht="13.15" customHeight="1" x14ac:dyDescent="0.2">
      <c r="B242" s="526"/>
      <c r="C242" s="526"/>
      <c r="D242" s="526"/>
      <c r="E242" s="526"/>
      <c r="F242" s="527"/>
      <c r="G242" s="526"/>
      <c r="H242" s="527"/>
      <c r="I242" s="527"/>
      <c r="J242" s="527"/>
      <c r="K242" s="527"/>
      <c r="L242" s="527"/>
      <c r="M242" s="527"/>
      <c r="N242" s="527"/>
      <c r="O242" s="527"/>
      <c r="P242" s="526"/>
      <c r="Q242" s="526"/>
      <c r="R242" s="526"/>
      <c r="S242" s="526"/>
    </row>
    <row r="243" spans="2:19" s="523" customFormat="1" ht="13.15" customHeight="1" x14ac:dyDescent="0.2">
      <c r="B243" s="526"/>
      <c r="C243" s="526"/>
      <c r="D243" s="526"/>
      <c r="E243" s="526"/>
      <c r="F243" s="527"/>
      <c r="G243" s="526"/>
      <c r="H243" s="527"/>
      <c r="I243" s="527"/>
      <c r="J243" s="527"/>
      <c r="K243" s="527"/>
      <c r="L243" s="527"/>
      <c r="M243" s="527"/>
      <c r="N243" s="527"/>
      <c r="O243" s="527"/>
      <c r="P243" s="526"/>
      <c r="Q243" s="526"/>
      <c r="R243" s="526"/>
      <c r="S243" s="526"/>
    </row>
    <row r="244" spans="2:19" s="523" customFormat="1" ht="13.15" customHeight="1" x14ac:dyDescent="0.2">
      <c r="B244" s="526"/>
      <c r="C244" s="526"/>
      <c r="D244" s="526"/>
      <c r="E244" s="526"/>
      <c r="F244" s="527"/>
      <c r="G244" s="526"/>
      <c r="H244" s="527"/>
      <c r="I244" s="527"/>
      <c r="J244" s="527"/>
      <c r="K244" s="527"/>
      <c r="L244" s="527"/>
      <c r="M244" s="527"/>
      <c r="N244" s="527"/>
      <c r="O244" s="527"/>
      <c r="P244" s="526"/>
      <c r="Q244" s="526"/>
      <c r="R244" s="526"/>
      <c r="S244" s="526"/>
    </row>
    <row r="245" spans="2:19" s="523" customFormat="1" ht="13.15" customHeight="1" x14ac:dyDescent="0.2">
      <c r="B245" s="526"/>
      <c r="C245" s="526"/>
      <c r="D245" s="526"/>
      <c r="E245" s="526"/>
      <c r="F245" s="527"/>
      <c r="G245" s="526"/>
      <c r="H245" s="527"/>
      <c r="I245" s="527"/>
      <c r="J245" s="527"/>
      <c r="K245" s="527"/>
      <c r="L245" s="527"/>
      <c r="M245" s="527"/>
      <c r="N245" s="527"/>
      <c r="O245" s="527"/>
      <c r="P245" s="526"/>
      <c r="Q245" s="526"/>
      <c r="R245" s="526"/>
      <c r="S245" s="526"/>
    </row>
    <row r="246" spans="2:19" s="523" customFormat="1" ht="13.15" customHeight="1" x14ac:dyDescent="0.2">
      <c r="B246" s="526"/>
      <c r="C246" s="526"/>
      <c r="D246" s="526"/>
      <c r="E246" s="526"/>
      <c r="F246" s="527"/>
      <c r="G246" s="526"/>
      <c r="H246" s="527"/>
      <c r="I246" s="527"/>
      <c r="J246" s="527"/>
      <c r="K246" s="527"/>
      <c r="L246" s="527"/>
      <c r="M246" s="527"/>
      <c r="N246" s="527"/>
      <c r="O246" s="527"/>
      <c r="P246" s="526"/>
      <c r="Q246" s="526"/>
      <c r="R246" s="526"/>
      <c r="S246" s="526"/>
    </row>
    <row r="247" spans="2:19" s="523" customFormat="1" ht="13.15" customHeight="1" x14ac:dyDescent="0.2">
      <c r="B247" s="526"/>
      <c r="C247" s="526"/>
      <c r="D247" s="526"/>
      <c r="E247" s="526"/>
      <c r="F247" s="527"/>
      <c r="G247" s="526"/>
      <c r="H247" s="527"/>
      <c r="I247" s="527"/>
      <c r="J247" s="527"/>
      <c r="K247" s="527"/>
      <c r="L247" s="527"/>
      <c r="M247" s="527"/>
      <c r="N247" s="527"/>
      <c r="O247" s="527"/>
      <c r="P247" s="526"/>
      <c r="Q247" s="526"/>
      <c r="R247" s="526"/>
      <c r="S247" s="526"/>
    </row>
    <row r="248" spans="2:19" s="523" customFormat="1" ht="13.15" customHeight="1" x14ac:dyDescent="0.2">
      <c r="B248" s="526"/>
      <c r="C248" s="526"/>
      <c r="D248" s="526"/>
      <c r="E248" s="526"/>
      <c r="F248" s="527"/>
      <c r="G248" s="526"/>
      <c r="H248" s="527"/>
      <c r="I248" s="527"/>
      <c r="J248" s="527"/>
      <c r="K248" s="527"/>
      <c r="L248" s="527"/>
      <c r="M248" s="527"/>
      <c r="N248" s="527"/>
      <c r="O248" s="527"/>
      <c r="P248" s="526"/>
      <c r="Q248" s="526"/>
      <c r="R248" s="526"/>
      <c r="S248" s="526"/>
    </row>
    <row r="249" spans="2:19" s="523" customFormat="1" ht="13.15" customHeight="1" x14ac:dyDescent="0.2">
      <c r="B249" s="526"/>
      <c r="C249" s="526"/>
      <c r="D249" s="526"/>
      <c r="E249" s="526"/>
      <c r="F249" s="527"/>
      <c r="G249" s="526"/>
      <c r="H249" s="527"/>
      <c r="I249" s="527"/>
      <c r="J249" s="527"/>
      <c r="K249" s="527"/>
      <c r="L249" s="527"/>
      <c r="M249" s="527"/>
      <c r="N249" s="527"/>
      <c r="O249" s="527"/>
      <c r="P249" s="526"/>
      <c r="Q249" s="526"/>
      <c r="R249" s="526"/>
      <c r="S249" s="526"/>
    </row>
    <row r="250" spans="2:19" s="523" customFormat="1" ht="13.15" customHeight="1" x14ac:dyDescent="0.2">
      <c r="B250" s="526"/>
      <c r="C250" s="526"/>
      <c r="D250" s="526"/>
      <c r="E250" s="526"/>
      <c r="F250" s="527"/>
      <c r="G250" s="526"/>
      <c r="H250" s="527"/>
      <c r="I250" s="527"/>
      <c r="J250" s="527"/>
      <c r="K250" s="527"/>
      <c r="L250" s="527"/>
      <c r="M250" s="527"/>
      <c r="N250" s="527"/>
      <c r="O250" s="527"/>
      <c r="P250" s="526"/>
      <c r="Q250" s="526"/>
      <c r="R250" s="526"/>
      <c r="S250" s="526"/>
    </row>
    <row r="251" spans="2:19" s="523" customFormat="1" ht="13.15" customHeight="1" x14ac:dyDescent="0.2">
      <c r="B251" s="526"/>
      <c r="C251" s="526"/>
      <c r="D251" s="526"/>
      <c r="E251" s="526"/>
      <c r="F251" s="527"/>
      <c r="G251" s="526"/>
      <c r="H251" s="527"/>
      <c r="I251" s="527"/>
      <c r="J251" s="527"/>
      <c r="K251" s="527"/>
      <c r="L251" s="527"/>
      <c r="M251" s="527"/>
      <c r="N251" s="527"/>
      <c r="O251" s="527"/>
      <c r="P251" s="526"/>
      <c r="Q251" s="526"/>
      <c r="R251" s="526"/>
      <c r="S251" s="526"/>
    </row>
    <row r="252" spans="2:19" s="523" customFormat="1" ht="13.15" customHeight="1" x14ac:dyDescent="0.2">
      <c r="B252" s="526"/>
      <c r="C252" s="526"/>
      <c r="D252" s="526"/>
      <c r="E252" s="526"/>
      <c r="F252" s="527"/>
      <c r="G252" s="526"/>
      <c r="H252" s="527"/>
      <c r="I252" s="527"/>
      <c r="J252" s="527"/>
      <c r="K252" s="527"/>
      <c r="L252" s="527"/>
      <c r="M252" s="527"/>
      <c r="N252" s="527"/>
      <c r="O252" s="527"/>
      <c r="P252" s="526"/>
      <c r="Q252" s="526"/>
      <c r="R252" s="526"/>
      <c r="S252" s="526"/>
    </row>
    <row r="253" spans="2:19" s="523" customFormat="1" ht="13.15" customHeight="1" x14ac:dyDescent="0.2">
      <c r="B253" s="526"/>
      <c r="C253" s="526"/>
      <c r="D253" s="526"/>
      <c r="E253" s="526"/>
      <c r="F253" s="527"/>
      <c r="G253" s="526"/>
      <c r="H253" s="527"/>
      <c r="I253" s="527"/>
      <c r="J253" s="527"/>
      <c r="K253" s="527"/>
      <c r="L253" s="527"/>
      <c r="M253" s="527"/>
      <c r="N253" s="527"/>
      <c r="O253" s="527"/>
      <c r="P253" s="526"/>
      <c r="Q253" s="526"/>
      <c r="R253" s="526"/>
      <c r="S253" s="526"/>
    </row>
    <row r="254" spans="2:19" s="523" customFormat="1" ht="13.15" customHeight="1" x14ac:dyDescent="0.2">
      <c r="B254" s="526"/>
      <c r="C254" s="526"/>
      <c r="D254" s="526"/>
      <c r="E254" s="526"/>
      <c r="F254" s="527"/>
      <c r="G254" s="526"/>
      <c r="H254" s="527"/>
      <c r="I254" s="527"/>
      <c r="J254" s="527"/>
      <c r="K254" s="527"/>
      <c r="L254" s="527"/>
      <c r="M254" s="527"/>
      <c r="N254" s="527"/>
      <c r="O254" s="527"/>
      <c r="P254" s="526"/>
      <c r="Q254" s="526"/>
      <c r="R254" s="526"/>
      <c r="S254" s="526"/>
    </row>
    <row r="255" spans="2:19" s="523" customFormat="1" ht="13.15" customHeight="1" x14ac:dyDescent="0.2">
      <c r="B255" s="526"/>
      <c r="C255" s="526"/>
      <c r="D255" s="526"/>
      <c r="E255" s="526"/>
      <c r="F255" s="527"/>
      <c r="G255" s="526"/>
      <c r="H255" s="527"/>
      <c r="I255" s="527"/>
      <c r="J255" s="527"/>
      <c r="K255" s="527"/>
      <c r="L255" s="527"/>
      <c r="M255" s="527"/>
      <c r="N255" s="527"/>
      <c r="O255" s="527"/>
      <c r="P255" s="526"/>
      <c r="Q255" s="526"/>
      <c r="R255" s="526"/>
      <c r="S255" s="526"/>
    </row>
    <row r="256" spans="2:19" s="523" customFormat="1" ht="13.15" customHeight="1" x14ac:dyDescent="0.2">
      <c r="B256" s="526"/>
      <c r="C256" s="526"/>
      <c r="D256" s="526"/>
      <c r="E256" s="526"/>
      <c r="F256" s="527"/>
      <c r="G256" s="526"/>
      <c r="H256" s="527"/>
      <c r="I256" s="527"/>
      <c r="J256" s="527"/>
      <c r="K256" s="527"/>
      <c r="L256" s="527"/>
      <c r="M256" s="527"/>
      <c r="N256" s="527"/>
      <c r="O256" s="527"/>
      <c r="P256" s="526"/>
      <c r="Q256" s="526"/>
      <c r="R256" s="526"/>
      <c r="S256" s="526"/>
    </row>
    <row r="257" spans="2:19" s="523" customFormat="1" ht="13.15" customHeight="1" x14ac:dyDescent="0.2">
      <c r="B257" s="526"/>
      <c r="C257" s="526"/>
      <c r="D257" s="526"/>
      <c r="E257" s="526"/>
      <c r="F257" s="527"/>
      <c r="G257" s="526"/>
      <c r="H257" s="527"/>
      <c r="I257" s="527"/>
      <c r="J257" s="527"/>
      <c r="K257" s="527"/>
      <c r="L257" s="527"/>
      <c r="M257" s="527"/>
      <c r="N257" s="527"/>
      <c r="O257" s="527"/>
      <c r="P257" s="526"/>
      <c r="Q257" s="526"/>
      <c r="R257" s="526"/>
      <c r="S257" s="526"/>
    </row>
    <row r="258" spans="2:19" s="523" customFormat="1" ht="13.15" customHeight="1" x14ac:dyDescent="0.2">
      <c r="B258" s="526"/>
      <c r="C258" s="526"/>
      <c r="D258" s="526"/>
      <c r="E258" s="526"/>
      <c r="F258" s="527"/>
      <c r="G258" s="526"/>
      <c r="H258" s="527"/>
      <c r="I258" s="527"/>
      <c r="J258" s="527"/>
      <c r="K258" s="527"/>
      <c r="L258" s="527"/>
      <c r="M258" s="527"/>
      <c r="N258" s="527"/>
      <c r="O258" s="527"/>
      <c r="P258" s="526"/>
      <c r="Q258" s="526"/>
      <c r="R258" s="526"/>
      <c r="S258" s="526"/>
    </row>
    <row r="259" spans="2:19" s="523" customFormat="1" ht="13.15" customHeight="1" x14ac:dyDescent="0.2">
      <c r="B259" s="526"/>
      <c r="C259" s="526"/>
      <c r="D259" s="526"/>
      <c r="E259" s="526"/>
      <c r="F259" s="527"/>
      <c r="G259" s="526"/>
      <c r="H259" s="527"/>
      <c r="I259" s="527"/>
      <c r="J259" s="527"/>
      <c r="K259" s="527"/>
      <c r="L259" s="527"/>
      <c r="M259" s="527"/>
      <c r="N259" s="527"/>
      <c r="O259" s="527"/>
      <c r="P259" s="526"/>
      <c r="Q259" s="526"/>
      <c r="R259" s="526"/>
      <c r="S259" s="526"/>
    </row>
    <row r="260" spans="2:19" s="523" customFormat="1" ht="13.15" customHeight="1" x14ac:dyDescent="0.2">
      <c r="B260" s="526"/>
      <c r="C260" s="526"/>
      <c r="D260" s="526"/>
      <c r="E260" s="526"/>
      <c r="F260" s="527"/>
      <c r="G260" s="526"/>
      <c r="H260" s="527"/>
      <c r="I260" s="527"/>
      <c r="J260" s="527"/>
      <c r="K260" s="527"/>
      <c r="L260" s="527"/>
      <c r="M260" s="527"/>
      <c r="N260" s="527"/>
      <c r="O260" s="527"/>
      <c r="P260" s="526"/>
      <c r="Q260" s="526"/>
      <c r="R260" s="526"/>
      <c r="S260" s="526"/>
    </row>
    <row r="261" spans="2:19" s="523" customFormat="1" ht="13.15" customHeight="1" x14ac:dyDescent="0.2">
      <c r="B261" s="526"/>
      <c r="C261" s="526"/>
      <c r="D261" s="526"/>
      <c r="E261" s="526"/>
      <c r="F261" s="527"/>
      <c r="G261" s="526"/>
      <c r="H261" s="527"/>
      <c r="I261" s="527"/>
      <c r="J261" s="527"/>
      <c r="K261" s="527"/>
      <c r="L261" s="527"/>
      <c r="M261" s="527"/>
      <c r="N261" s="527"/>
      <c r="O261" s="527"/>
      <c r="P261" s="526"/>
      <c r="Q261" s="526"/>
      <c r="R261" s="526"/>
      <c r="S261" s="526"/>
    </row>
    <row r="262" spans="2:19" s="523" customFormat="1" ht="13.15" customHeight="1" x14ac:dyDescent="0.2">
      <c r="B262" s="526"/>
      <c r="C262" s="526"/>
      <c r="D262" s="526"/>
      <c r="E262" s="526"/>
      <c r="F262" s="527"/>
      <c r="G262" s="526"/>
      <c r="H262" s="527"/>
      <c r="I262" s="527"/>
      <c r="J262" s="527"/>
      <c r="K262" s="527"/>
      <c r="L262" s="527"/>
      <c r="M262" s="527"/>
      <c r="N262" s="527"/>
      <c r="O262" s="527"/>
      <c r="P262" s="526"/>
      <c r="Q262" s="526"/>
      <c r="R262" s="526"/>
      <c r="S262" s="526"/>
    </row>
    <row r="263" spans="2:19" s="523" customFormat="1" ht="13.15" customHeight="1" x14ac:dyDescent="0.2">
      <c r="B263" s="526"/>
      <c r="C263" s="526"/>
      <c r="D263" s="526"/>
      <c r="E263" s="526"/>
      <c r="F263" s="527"/>
      <c r="G263" s="526"/>
      <c r="H263" s="527"/>
      <c r="I263" s="527"/>
      <c r="J263" s="527"/>
      <c r="K263" s="527"/>
      <c r="L263" s="527"/>
      <c r="M263" s="527"/>
      <c r="N263" s="527"/>
      <c r="O263" s="527"/>
      <c r="P263" s="526"/>
      <c r="Q263" s="526"/>
      <c r="R263" s="526"/>
      <c r="S263" s="526"/>
    </row>
    <row r="264" spans="2:19" s="523" customFormat="1" ht="13.15" customHeight="1" x14ac:dyDescent="0.2">
      <c r="B264" s="526"/>
      <c r="C264" s="526"/>
      <c r="D264" s="526"/>
      <c r="E264" s="526"/>
      <c r="F264" s="527"/>
      <c r="G264" s="526"/>
      <c r="H264" s="527"/>
      <c r="I264" s="527"/>
      <c r="J264" s="527"/>
      <c r="K264" s="527"/>
      <c r="L264" s="527"/>
      <c r="M264" s="527"/>
      <c r="N264" s="527"/>
      <c r="O264" s="527"/>
      <c r="P264" s="526"/>
      <c r="Q264" s="526"/>
      <c r="R264" s="526"/>
      <c r="S264" s="526"/>
    </row>
    <row r="265" spans="2:19" s="523" customFormat="1" ht="13.15" customHeight="1" x14ac:dyDescent="0.2">
      <c r="B265" s="526"/>
      <c r="C265" s="526"/>
      <c r="D265" s="526"/>
      <c r="E265" s="526"/>
      <c r="F265" s="527"/>
      <c r="G265" s="526"/>
      <c r="H265" s="527"/>
      <c r="I265" s="527"/>
      <c r="J265" s="527"/>
      <c r="K265" s="527"/>
      <c r="L265" s="527"/>
      <c r="M265" s="527"/>
      <c r="N265" s="527"/>
      <c r="O265" s="527"/>
      <c r="P265" s="526"/>
      <c r="Q265" s="526"/>
      <c r="R265" s="526"/>
      <c r="S265" s="526"/>
    </row>
    <row r="266" spans="2:19" s="523" customFormat="1" ht="13.15" customHeight="1" x14ac:dyDescent="0.2">
      <c r="B266" s="526"/>
      <c r="C266" s="526"/>
      <c r="D266" s="526"/>
      <c r="E266" s="526"/>
      <c r="F266" s="527"/>
      <c r="G266" s="526"/>
      <c r="H266" s="527"/>
      <c r="I266" s="527"/>
      <c r="J266" s="527"/>
      <c r="K266" s="527"/>
      <c r="L266" s="527"/>
      <c r="M266" s="527"/>
      <c r="N266" s="527"/>
      <c r="O266" s="527"/>
      <c r="P266" s="526"/>
      <c r="Q266" s="526"/>
      <c r="R266" s="526"/>
      <c r="S266" s="526"/>
    </row>
    <row r="267" spans="2:19" s="523" customFormat="1" ht="13.15" customHeight="1" x14ac:dyDescent="0.2">
      <c r="B267" s="526"/>
      <c r="C267" s="526"/>
      <c r="D267" s="526"/>
      <c r="E267" s="526"/>
      <c r="F267" s="527"/>
      <c r="G267" s="526"/>
      <c r="H267" s="527"/>
      <c r="I267" s="527"/>
      <c r="J267" s="527"/>
      <c r="K267" s="527"/>
      <c r="L267" s="527"/>
      <c r="M267" s="527"/>
      <c r="N267" s="527"/>
      <c r="O267" s="527"/>
      <c r="P267" s="526"/>
      <c r="Q267" s="526"/>
      <c r="R267" s="526"/>
      <c r="S267" s="526"/>
    </row>
  </sheetData>
  <sheetProtection algorithmName="SHA-512" hashValue="ag0ar3mPAILyTJ22AA9j+1jB0uoC9h46JUX/trlvcBWs1z3hbol4DYamfavK1oq9pq/DsFh9DQSowQ0KJpEt3g==" saltValue="+JpiDHdAxrhB2G66qgjwag==" spinCount="100000" sheet="1" objects="1" scenarios="1"/>
  <phoneticPr fontId="0" type="noConversion"/>
  <pageMargins left="0.75" right="0.75" top="1" bottom="1" header="0.5" footer="0.5"/>
  <pageSetup paperSize="9" scale="51" orientation="portrait" r:id="rId1"/>
  <headerFooter alignWithMargins="0">
    <oddHeader>&amp;L&amp;"Arial,Vet"&amp;9&amp;F&amp;R&amp;"Arial,Vet"&amp;9&amp;A</oddHeader>
    <oddFooter>&amp;L&amp;"Arial,Vet"&amp;9keizer / goedhart&amp;C&amp;"Arial,Vet"&amp;9pagina &amp;P&amp;R&amp;"Arial,Vet"&amp;9&amp;D</oddFooter>
  </headerFooter>
  <rowBreaks count="1" manualBreakCount="1">
    <brk id="102" min="1" max="1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97"/>
  <sheetViews>
    <sheetView showGridLines="0" zoomScaleNormal="100" workbookViewId="0">
      <selection activeCell="G42" sqref="G42"/>
    </sheetView>
  </sheetViews>
  <sheetFormatPr defaultColWidth="9.140625" defaultRowHeight="13.15" customHeight="1" x14ac:dyDescent="0.2"/>
  <cols>
    <col min="1" max="1" width="3.7109375" style="601" customWidth="1"/>
    <col min="2" max="3" width="2.7109375" style="214" customWidth="1"/>
    <col min="4" max="4" width="50.85546875" style="214" customWidth="1"/>
    <col min="5" max="5" width="2.7109375" style="214" customWidth="1"/>
    <col min="6" max="6" width="12.7109375" style="286" hidden="1" customWidth="1"/>
    <col min="7" max="13" width="12.7109375" style="286" customWidth="1"/>
    <col min="14" max="15" width="2.7109375" style="214" customWidth="1"/>
    <col min="16" max="44" width="9.140625" style="601"/>
    <col min="45" max="16384" width="9.140625" style="214"/>
  </cols>
  <sheetData>
    <row r="1" spans="1:44" s="601" customFormat="1" ht="13.15" customHeight="1" x14ac:dyDescent="0.2">
      <c r="F1" s="688"/>
      <c r="G1" s="688"/>
      <c r="H1" s="688"/>
      <c r="I1" s="688"/>
      <c r="J1" s="688"/>
      <c r="K1" s="688"/>
      <c r="L1" s="688"/>
      <c r="M1" s="688"/>
    </row>
    <row r="2" spans="1:44" ht="13.15" customHeight="1" x14ac:dyDescent="0.2">
      <c r="B2" s="82"/>
      <c r="C2" s="83"/>
      <c r="D2" s="83"/>
      <c r="E2" s="83"/>
      <c r="F2" s="149"/>
      <c r="G2" s="149"/>
      <c r="H2" s="149"/>
      <c r="I2" s="149"/>
      <c r="J2" s="149"/>
      <c r="K2" s="149"/>
      <c r="L2" s="149"/>
      <c r="M2" s="968"/>
      <c r="N2" s="83"/>
      <c r="O2" s="461"/>
      <c r="R2" s="476"/>
    </row>
    <row r="3" spans="1:44" ht="13.15" customHeight="1" x14ac:dyDescent="0.2">
      <c r="B3" s="86"/>
      <c r="C3" s="87"/>
      <c r="D3" s="67"/>
      <c r="E3" s="87"/>
      <c r="F3" s="143"/>
      <c r="G3" s="143"/>
      <c r="H3" s="143"/>
      <c r="I3" s="143"/>
      <c r="J3" s="143"/>
      <c r="K3" s="143"/>
      <c r="L3" s="143"/>
      <c r="M3" s="143"/>
      <c r="N3" s="87"/>
      <c r="O3" s="88"/>
    </row>
    <row r="4" spans="1:44" s="198" customFormat="1" ht="18" customHeight="1" x14ac:dyDescent="0.3">
      <c r="A4" s="655"/>
      <c r="B4" s="203"/>
      <c r="C4" s="204" t="s">
        <v>437</v>
      </c>
      <c r="D4" s="204"/>
      <c r="E4" s="204"/>
      <c r="F4" s="282"/>
      <c r="G4" s="282"/>
      <c r="H4" s="282"/>
      <c r="I4" s="282"/>
      <c r="J4" s="282"/>
      <c r="K4" s="282"/>
      <c r="L4" s="282"/>
      <c r="M4" s="282"/>
      <c r="N4" s="204"/>
      <c r="O4" s="206"/>
      <c r="P4" s="655"/>
      <c r="Q4" s="655"/>
      <c r="R4" s="655"/>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row>
    <row r="5" spans="1:44" s="743" customFormat="1" ht="16.899999999999999" customHeight="1" x14ac:dyDescent="0.25">
      <c r="A5" s="761"/>
      <c r="B5" s="258"/>
      <c r="C5" s="741" t="str">
        <f>'geg LO'!G8</f>
        <v>SWV PO Passend Onderwijs</v>
      </c>
      <c r="D5" s="259"/>
      <c r="E5" s="259"/>
      <c r="F5" s="758"/>
      <c r="G5" s="758"/>
      <c r="H5" s="758"/>
      <c r="I5" s="758"/>
      <c r="J5" s="758"/>
      <c r="K5" s="758"/>
      <c r="L5" s="758"/>
      <c r="M5" s="758"/>
      <c r="N5" s="259"/>
      <c r="O5" s="269"/>
      <c r="P5" s="761"/>
      <c r="Q5" s="761"/>
      <c r="R5" s="761"/>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row>
    <row r="6" spans="1:44" ht="13.15" customHeight="1" x14ac:dyDescent="0.2">
      <c r="B6" s="86"/>
      <c r="C6" s="87"/>
      <c r="D6" s="67"/>
      <c r="E6" s="87"/>
      <c r="F6" s="143"/>
      <c r="G6" s="143"/>
      <c r="H6" s="143"/>
      <c r="I6" s="143"/>
      <c r="J6" s="143"/>
      <c r="K6" s="143"/>
      <c r="L6" s="143"/>
      <c r="M6" s="143"/>
      <c r="N6" s="87"/>
      <c r="O6" s="88"/>
    </row>
    <row r="7" spans="1:44" ht="13.15" customHeight="1" thickBot="1" x14ac:dyDescent="0.25">
      <c r="B7" s="86"/>
      <c r="C7" s="87"/>
      <c r="D7" s="67"/>
      <c r="E7" s="87"/>
      <c r="F7" s="143"/>
      <c r="G7" s="143"/>
      <c r="H7" s="143"/>
      <c r="I7" s="143"/>
      <c r="J7" s="143"/>
      <c r="K7" s="143"/>
      <c r="L7" s="143"/>
      <c r="M7" s="143"/>
      <c r="N7" s="87"/>
      <c r="O7" s="517"/>
    </row>
    <row r="8" spans="1:44" ht="13.15" customHeight="1" thickTop="1" x14ac:dyDescent="0.2">
      <c r="B8" s="86"/>
      <c r="C8" s="1153"/>
      <c r="D8" s="1154"/>
      <c r="E8" s="1154"/>
      <c r="F8" s="803"/>
      <c r="G8" s="1159"/>
      <c r="H8" s="1159"/>
      <c r="I8" s="1159"/>
      <c r="J8" s="1159"/>
      <c r="K8" s="1159"/>
      <c r="L8" s="1159"/>
      <c r="M8" s="1159"/>
      <c r="N8" s="1160"/>
      <c r="O8" s="517"/>
    </row>
    <row r="9" spans="1:44" ht="13.15" customHeight="1" x14ac:dyDescent="0.25">
      <c r="B9" s="86"/>
      <c r="C9" s="1155"/>
      <c r="D9" s="1156" t="s">
        <v>824</v>
      </c>
      <c r="E9" s="476"/>
      <c r="F9" s="467"/>
      <c r="G9" s="497"/>
      <c r="H9" s="497"/>
      <c r="I9" s="497"/>
      <c r="J9" s="497"/>
      <c r="K9" s="497"/>
      <c r="L9" s="497"/>
      <c r="M9" s="497"/>
      <c r="N9" s="1161"/>
      <c r="O9" s="517"/>
    </row>
    <row r="10" spans="1:44" ht="13.15" customHeight="1" x14ac:dyDescent="0.2">
      <c r="B10" s="86"/>
      <c r="C10" s="1155"/>
      <c r="D10" s="601"/>
      <c r="E10" s="476"/>
      <c r="F10" s="467"/>
      <c r="G10" s="497"/>
      <c r="H10" s="497"/>
      <c r="I10" s="497"/>
      <c r="J10" s="497"/>
      <c r="K10" s="497"/>
      <c r="L10" s="497"/>
      <c r="M10" s="1120"/>
      <c r="N10" s="1161"/>
      <c r="O10" s="517"/>
    </row>
    <row r="11" spans="1:44" ht="13.15" customHeight="1" x14ac:dyDescent="0.2">
      <c r="B11" s="86"/>
      <c r="C11" s="1155"/>
      <c r="D11" s="1049" t="s">
        <v>820</v>
      </c>
      <c r="E11" s="1000"/>
      <c r="F11" s="1164" t="e">
        <f t="shared" ref="F11:L11" si="0">+F21</f>
        <v>#REF!</v>
      </c>
      <c r="G11" s="1078" t="str">
        <f t="shared" si="0"/>
        <v>2015/16</v>
      </c>
      <c r="H11" s="1078" t="str">
        <f t="shared" si="0"/>
        <v>2016/17</v>
      </c>
      <c r="I11" s="1078" t="str">
        <f t="shared" si="0"/>
        <v>2017/18</v>
      </c>
      <c r="J11" s="1078" t="str">
        <f t="shared" si="0"/>
        <v>2018/19</v>
      </c>
      <c r="K11" s="1078" t="str">
        <f t="shared" si="0"/>
        <v>2019/20</v>
      </c>
      <c r="L11" s="1078" t="str">
        <f t="shared" si="0"/>
        <v>2020/21</v>
      </c>
      <c r="M11" s="1078" t="str">
        <f t="shared" ref="M11" si="1">+M21</f>
        <v>2021/22</v>
      </c>
      <c r="N11" s="1161"/>
      <c r="O11" s="517"/>
    </row>
    <row r="12" spans="1:44" ht="13.15" customHeight="1" x14ac:dyDescent="0.2">
      <c r="B12" s="86"/>
      <c r="C12" s="1155"/>
      <c r="D12" s="1000" t="s">
        <v>821</v>
      </c>
      <c r="E12" s="1000"/>
      <c r="F12" s="1165" t="e">
        <f>+'geg LO'!F40*tab!#REF!</f>
        <v>#REF!</v>
      </c>
      <c r="G12" s="1165">
        <f>+'geg LO'!G40*tab!$C50</f>
        <v>0</v>
      </c>
      <c r="H12" s="1165">
        <f>+'geg LO'!H40*tab!$C50</f>
        <v>0</v>
      </c>
      <c r="I12" s="1165">
        <f>+'geg LO'!I40*tab!$C50</f>
        <v>0</v>
      </c>
      <c r="J12" s="1165">
        <f>+'geg LO'!J40*tab!$C50</f>
        <v>0</v>
      </c>
      <c r="K12" s="1165">
        <f>+'geg LO'!K40*tab!$C50</f>
        <v>0</v>
      </c>
      <c r="L12" s="1165">
        <f>+'geg LO'!L40*tab!$C50</f>
        <v>0</v>
      </c>
      <c r="M12" s="1165">
        <f>+'geg LO'!M40*tab!$C50</f>
        <v>0</v>
      </c>
      <c r="N12" s="1161"/>
      <c r="O12" s="517"/>
    </row>
    <row r="13" spans="1:44" ht="13.15" customHeight="1" x14ac:dyDescent="0.2">
      <c r="B13" s="86"/>
      <c r="C13" s="1155"/>
      <c r="D13" s="1000" t="s">
        <v>822</v>
      </c>
      <c r="E13" s="1000"/>
      <c r="F13" s="1165" t="e">
        <f>5/12*'geg LO'!F40*tab!#REF!+7/12*'geg LO'!G40*tab!C56</f>
        <v>#REF!</v>
      </c>
      <c r="G13" s="1165">
        <f>5/12*'geg LO'!G40*tab!$C56+7/12*'geg LO'!H40*tab!$D56</f>
        <v>0</v>
      </c>
      <c r="H13" s="1165">
        <f>5/12*'geg LO'!H40*tab!$C56+7/12*'geg LO'!I40*tab!$D56</f>
        <v>0</v>
      </c>
      <c r="I13" s="1165">
        <f>5/12*'geg LO'!I40*tab!$C56+7/12*'geg LO'!J40*tab!$D56</f>
        <v>0</v>
      </c>
      <c r="J13" s="1165">
        <f>5/12*'geg LO'!J40*tab!$C56+7/12*'geg LO'!K40*tab!$D56</f>
        <v>0</v>
      </c>
      <c r="K13" s="1165">
        <f>5/12*'geg LO'!K40*tab!$C56+7/12*'geg LO'!L40*tab!$D56</f>
        <v>0</v>
      </c>
      <c r="L13" s="1165">
        <f>'geg LO'!L40*tab!$D56</f>
        <v>0</v>
      </c>
      <c r="M13" s="1165">
        <f>'geg LO'!M40*tab!$D56</f>
        <v>0</v>
      </c>
      <c r="N13" s="1161"/>
      <c r="O13" s="517"/>
    </row>
    <row r="14" spans="1:44" ht="13.15" customHeight="1" x14ac:dyDescent="0.2">
      <c r="B14" s="86"/>
      <c r="C14" s="1155"/>
      <c r="D14" s="1000" t="s">
        <v>823</v>
      </c>
      <c r="E14" s="1000"/>
      <c r="F14" s="1166" t="e">
        <f>SUM(F12:F13)</f>
        <v>#REF!</v>
      </c>
      <c r="G14" s="1166">
        <f t="shared" ref="G14:L14" si="2">SUM(G12:G13)</f>
        <v>0</v>
      </c>
      <c r="H14" s="1166">
        <f t="shared" si="2"/>
        <v>0</v>
      </c>
      <c r="I14" s="1166">
        <f t="shared" si="2"/>
        <v>0</v>
      </c>
      <c r="J14" s="1166">
        <f t="shared" si="2"/>
        <v>0</v>
      </c>
      <c r="K14" s="1166">
        <f t="shared" si="2"/>
        <v>0</v>
      </c>
      <c r="L14" s="1166">
        <f t="shared" si="2"/>
        <v>0</v>
      </c>
      <c r="M14" s="1166">
        <f t="shared" ref="M14" si="3">SUM(M12:M13)</f>
        <v>0</v>
      </c>
      <c r="N14" s="1161"/>
      <c r="O14" s="517"/>
    </row>
    <row r="15" spans="1:44" ht="13.15" customHeight="1" x14ac:dyDescent="0.2">
      <c r="B15" s="86"/>
      <c r="C15" s="1155"/>
      <c r="D15" s="1000"/>
      <c r="E15" s="1000"/>
      <c r="F15" s="1167"/>
      <c r="G15" s="1120"/>
      <c r="H15" s="1120"/>
      <c r="I15" s="1120"/>
      <c r="J15" s="1120"/>
      <c r="K15" s="1120"/>
      <c r="L15" s="1120"/>
      <c r="M15" s="1120"/>
      <c r="N15" s="1161"/>
      <c r="O15" s="517"/>
    </row>
    <row r="16" spans="1:44" ht="13.15" customHeight="1" thickBot="1" x14ac:dyDescent="0.25">
      <c r="B16" s="86"/>
      <c r="C16" s="1157"/>
      <c r="D16" s="1158"/>
      <c r="E16" s="1158"/>
      <c r="F16" s="805"/>
      <c r="G16" s="1162"/>
      <c r="H16" s="1162"/>
      <c r="I16" s="1162"/>
      <c r="J16" s="1162"/>
      <c r="K16" s="1162"/>
      <c r="L16" s="1162"/>
      <c r="M16" s="1162"/>
      <c r="N16" s="1163"/>
      <c r="O16" s="517"/>
    </row>
    <row r="17" spans="1:44" ht="13.15" customHeight="1" thickTop="1" x14ac:dyDescent="0.2">
      <c r="B17" s="86"/>
      <c r="C17" s="87"/>
      <c r="D17" s="67"/>
      <c r="E17" s="87"/>
      <c r="F17" s="143"/>
      <c r="G17" s="143"/>
      <c r="H17" s="143"/>
      <c r="I17" s="143"/>
      <c r="J17" s="143"/>
      <c r="K17" s="143"/>
      <c r="L17" s="143"/>
      <c r="M17" s="143"/>
      <c r="N17" s="87"/>
      <c r="O17" s="517"/>
    </row>
    <row r="18" spans="1:44" ht="13.15" customHeight="1" x14ac:dyDescent="0.2">
      <c r="B18" s="86"/>
      <c r="C18" s="1000"/>
      <c r="D18" s="1148"/>
      <c r="E18" s="1132"/>
      <c r="F18" s="1440"/>
      <c r="G18" s="1168"/>
      <c r="H18" s="1168"/>
      <c r="I18" s="1168"/>
      <c r="J18" s="1168"/>
      <c r="K18" s="1168"/>
      <c r="L18" s="1168"/>
      <c r="M18" s="1168"/>
      <c r="N18" s="1000"/>
      <c r="O18" s="88"/>
    </row>
    <row r="19" spans="1:44" s="196" customFormat="1" ht="13.15" customHeight="1" x14ac:dyDescent="0.2">
      <c r="A19" s="523"/>
      <c r="B19" s="26"/>
      <c r="C19" s="1037"/>
      <c r="D19" s="1049" t="s">
        <v>436</v>
      </c>
      <c r="E19" s="1038"/>
      <c r="F19" s="1441"/>
      <c r="G19" s="1169"/>
      <c r="H19" s="1120"/>
      <c r="I19" s="1169"/>
      <c r="J19" s="1169"/>
      <c r="K19" s="1169"/>
      <c r="L19" s="1169"/>
      <c r="M19" s="1169"/>
      <c r="N19" s="1037"/>
      <c r="O19" s="30"/>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523"/>
      <c r="AM19" s="523"/>
      <c r="AN19" s="523"/>
      <c r="AO19" s="523"/>
      <c r="AP19" s="523"/>
      <c r="AQ19" s="523"/>
      <c r="AR19" s="523"/>
    </row>
    <row r="20" spans="1:44" s="196" customFormat="1" ht="13.15" customHeight="1" x14ac:dyDescent="0.2">
      <c r="A20" s="523"/>
      <c r="B20" s="26"/>
      <c r="C20" s="1037"/>
      <c r="D20" s="1038"/>
      <c r="E20" s="1038"/>
      <c r="F20" s="1441"/>
      <c r="G20" s="1169"/>
      <c r="H20" s="1120"/>
      <c r="I20" s="1169"/>
      <c r="J20" s="1169"/>
      <c r="K20" s="1169"/>
      <c r="L20" s="1169"/>
      <c r="M20" s="1169"/>
      <c r="N20" s="1037"/>
      <c r="O20" s="30"/>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523"/>
      <c r="AM20" s="523"/>
      <c r="AN20" s="523"/>
      <c r="AO20" s="523"/>
      <c r="AP20" s="523"/>
      <c r="AQ20" s="523"/>
      <c r="AR20" s="523"/>
    </row>
    <row r="21" spans="1:44" s="196" customFormat="1" ht="13.15" customHeight="1" x14ac:dyDescent="0.2">
      <c r="A21" s="523"/>
      <c r="B21" s="26"/>
      <c r="C21" s="1037"/>
      <c r="D21" s="1088" t="s">
        <v>636</v>
      </c>
      <c r="E21" s="1038"/>
      <c r="F21" s="1442" t="e">
        <f>+tab!#REF!</f>
        <v>#REF!</v>
      </c>
      <c r="G21" s="1078" t="str">
        <f>+tab!C2</f>
        <v>2015/16</v>
      </c>
      <c r="H21" s="1078" t="str">
        <f>+tab!D2</f>
        <v>2016/17</v>
      </c>
      <c r="I21" s="1078" t="str">
        <f>+tab!E2</f>
        <v>2017/18</v>
      </c>
      <c r="J21" s="1078" t="str">
        <f>+tab!F2</f>
        <v>2018/19</v>
      </c>
      <c r="K21" s="1078" t="str">
        <f>+tab!G2</f>
        <v>2019/20</v>
      </c>
      <c r="L21" s="1078" t="str">
        <f>+tab!H2</f>
        <v>2020/21</v>
      </c>
      <c r="M21" s="1078" t="str">
        <f>+tab!I2</f>
        <v>2021/22</v>
      </c>
      <c r="N21" s="1037"/>
      <c r="O21" s="30"/>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523"/>
      <c r="AM21" s="523"/>
      <c r="AN21" s="523"/>
      <c r="AO21" s="523"/>
      <c r="AP21" s="523"/>
      <c r="AQ21" s="523"/>
      <c r="AR21" s="523"/>
    </row>
    <row r="22" spans="1:44" ht="13.15" customHeight="1" x14ac:dyDescent="0.2">
      <c r="B22" s="86"/>
      <c r="C22" s="1000"/>
      <c r="D22" s="1000" t="s">
        <v>15</v>
      </c>
      <c r="E22" s="1000"/>
      <c r="F22" s="1443" t="e">
        <f t="shared" ref="F22:L22" si="4">+F105</f>
        <v>#REF!</v>
      </c>
      <c r="G22" s="1443">
        <f t="shared" si="4"/>
        <v>0</v>
      </c>
      <c r="H22" s="1443">
        <f t="shared" si="4"/>
        <v>0</v>
      </c>
      <c r="I22" s="1443">
        <f t="shared" si="4"/>
        <v>0</v>
      </c>
      <c r="J22" s="1443">
        <f t="shared" si="4"/>
        <v>0</v>
      </c>
      <c r="K22" s="1443">
        <f t="shared" si="4"/>
        <v>0</v>
      </c>
      <c r="L22" s="1443">
        <f t="shared" si="4"/>
        <v>0</v>
      </c>
      <c r="M22" s="1443">
        <f t="shared" ref="M22" si="5">+M105</f>
        <v>0</v>
      </c>
      <c r="N22" s="1000"/>
      <c r="O22" s="88"/>
    </row>
    <row r="23" spans="1:44" ht="13.15" customHeight="1" x14ac:dyDescent="0.2">
      <c r="B23" s="86"/>
      <c r="C23" s="1000"/>
      <c r="D23" s="1000" t="s">
        <v>776</v>
      </c>
      <c r="E23" s="1000"/>
      <c r="F23" s="1443" t="e">
        <f t="shared" ref="F23:J24" si="6">+F106</f>
        <v>#REF!</v>
      </c>
      <c r="G23" s="1443">
        <f t="shared" si="6"/>
        <v>0</v>
      </c>
      <c r="H23" s="1443">
        <f t="shared" si="6"/>
        <v>0</v>
      </c>
      <c r="I23" s="1443">
        <f t="shared" si="6"/>
        <v>0</v>
      </c>
      <c r="J23" s="1443">
        <f t="shared" si="6"/>
        <v>0</v>
      </c>
      <c r="K23" s="1443">
        <f t="shared" ref="K23:M24" si="7">+K106</f>
        <v>0</v>
      </c>
      <c r="L23" s="1443">
        <f t="shared" si="7"/>
        <v>0</v>
      </c>
      <c r="M23" s="1443">
        <f t="shared" si="7"/>
        <v>0</v>
      </c>
      <c r="N23" s="1000"/>
      <c r="O23" s="88"/>
    </row>
    <row r="24" spans="1:44" ht="13.15" customHeight="1" x14ac:dyDescent="0.2">
      <c r="B24" s="86"/>
      <c r="C24" s="1053"/>
      <c r="D24" s="1075" t="s">
        <v>175</v>
      </c>
      <c r="E24" s="1053"/>
      <c r="F24" s="1444" t="e">
        <f t="shared" si="6"/>
        <v>#REF!</v>
      </c>
      <c r="G24" s="1444">
        <f t="shared" si="6"/>
        <v>0</v>
      </c>
      <c r="H24" s="1444">
        <f t="shared" si="6"/>
        <v>0</v>
      </c>
      <c r="I24" s="1444">
        <f t="shared" si="6"/>
        <v>0</v>
      </c>
      <c r="J24" s="1444">
        <f t="shared" si="6"/>
        <v>0</v>
      </c>
      <c r="K24" s="1444">
        <f t="shared" si="7"/>
        <v>0</v>
      </c>
      <c r="L24" s="1444">
        <f t="shared" si="7"/>
        <v>0</v>
      </c>
      <c r="M24" s="1444">
        <f t="shared" si="7"/>
        <v>0</v>
      </c>
      <c r="N24" s="1053"/>
      <c r="O24" s="88"/>
    </row>
    <row r="25" spans="1:44" ht="13.15" customHeight="1" x14ac:dyDescent="0.2">
      <c r="B25" s="86"/>
      <c r="C25" s="1053"/>
      <c r="D25" s="1075"/>
      <c r="E25" s="1053"/>
      <c r="F25" s="1445"/>
      <c r="G25" s="1170"/>
      <c r="H25" s="1170"/>
      <c r="I25" s="1170"/>
      <c r="J25" s="1170"/>
      <c r="K25" s="1170"/>
      <c r="L25" s="1170"/>
      <c r="M25" s="1170"/>
      <c r="N25" s="1053"/>
      <c r="O25" s="88"/>
    </row>
    <row r="26" spans="1:44" ht="13.15" customHeight="1" x14ac:dyDescent="0.2">
      <c r="B26" s="86"/>
      <c r="C26" s="1053"/>
      <c r="D26" s="1075"/>
      <c r="E26" s="1053"/>
      <c r="F26" s="1445"/>
      <c r="G26" s="1170"/>
      <c r="H26" s="1170"/>
      <c r="I26" s="1170"/>
      <c r="J26" s="1170"/>
      <c r="K26" s="1170"/>
      <c r="L26" s="1170"/>
      <c r="M26" s="1170"/>
      <c r="N26" s="1053"/>
      <c r="O26" s="88"/>
    </row>
    <row r="27" spans="1:44" ht="13.15" customHeight="1" x14ac:dyDescent="0.2">
      <c r="B27" s="86"/>
      <c r="C27" s="1000"/>
      <c r="D27" s="1088" t="s">
        <v>637</v>
      </c>
      <c r="E27" s="1132"/>
      <c r="F27" s="1442" t="s">
        <v>232</v>
      </c>
      <c r="G27" s="1171">
        <f>+tab!C4</f>
        <v>2015</v>
      </c>
      <c r="H27" s="1171">
        <f>+tab!D4</f>
        <v>2016</v>
      </c>
      <c r="I27" s="1171">
        <f>+tab!E4</f>
        <v>2017</v>
      </c>
      <c r="J27" s="1171">
        <f>+tab!F4</f>
        <v>2018</v>
      </c>
      <c r="K27" s="1171">
        <f>+tab!G4</f>
        <v>2019</v>
      </c>
      <c r="L27" s="1171">
        <f>+tab!H4</f>
        <v>2020</v>
      </c>
      <c r="M27" s="1171">
        <f>+tab!I4</f>
        <v>2021</v>
      </c>
      <c r="N27" s="1000"/>
      <c r="O27" s="88"/>
    </row>
    <row r="28" spans="1:44" ht="13.15" customHeight="1" x14ac:dyDescent="0.2">
      <c r="B28" s="86"/>
      <c r="C28" s="1000"/>
      <c r="D28" s="1000" t="s">
        <v>15</v>
      </c>
      <c r="E28" s="1000"/>
      <c r="F28" s="1443">
        <f t="shared" ref="F28:L28" si="8">+F198</f>
        <v>3270.8333333333335</v>
      </c>
      <c r="G28" s="1443">
        <f t="shared" si="8"/>
        <v>0</v>
      </c>
      <c r="H28" s="1443">
        <f t="shared" si="8"/>
        <v>0</v>
      </c>
      <c r="I28" s="1443">
        <f t="shared" si="8"/>
        <v>0</v>
      </c>
      <c r="J28" s="1443">
        <f t="shared" si="8"/>
        <v>0</v>
      </c>
      <c r="K28" s="1443">
        <f t="shared" si="8"/>
        <v>0</v>
      </c>
      <c r="L28" s="1443">
        <f t="shared" si="8"/>
        <v>0</v>
      </c>
      <c r="M28" s="1443">
        <f t="shared" ref="M28" si="9">+M198</f>
        <v>0</v>
      </c>
      <c r="N28" s="1000"/>
      <c r="O28" s="88"/>
    </row>
    <row r="29" spans="1:44" ht="13.15" customHeight="1" x14ac:dyDescent="0.2">
      <c r="B29" s="86"/>
      <c r="C29" s="1000"/>
      <c r="D29" s="1000" t="s">
        <v>776</v>
      </c>
      <c r="E29" s="1000"/>
      <c r="F29" s="1443">
        <f t="shared" ref="F29:J31" si="10">+F199</f>
        <v>2605.4</v>
      </c>
      <c r="G29" s="1443">
        <f t="shared" si="10"/>
        <v>0</v>
      </c>
      <c r="H29" s="1443">
        <f t="shared" si="10"/>
        <v>0</v>
      </c>
      <c r="I29" s="1443">
        <f t="shared" si="10"/>
        <v>0</v>
      </c>
      <c r="J29" s="1443">
        <f t="shared" si="10"/>
        <v>0</v>
      </c>
      <c r="K29" s="1443">
        <f t="shared" ref="K29:L31" si="11">+K199</f>
        <v>0</v>
      </c>
      <c r="L29" s="1443">
        <f t="shared" si="11"/>
        <v>0</v>
      </c>
      <c r="M29" s="1443">
        <f t="shared" ref="M29" si="12">+M199</f>
        <v>0</v>
      </c>
      <c r="N29" s="1000"/>
      <c r="O29" s="88"/>
    </row>
    <row r="30" spans="1:44" ht="13.15" customHeight="1" x14ac:dyDescent="0.2">
      <c r="B30" s="86"/>
      <c r="C30" s="1000"/>
      <c r="D30" s="1000" t="s">
        <v>36</v>
      </c>
      <c r="E30" s="1000"/>
      <c r="F30" s="1443">
        <f t="shared" si="10"/>
        <v>30958.333333333336</v>
      </c>
      <c r="G30" s="1443">
        <f t="shared" si="10"/>
        <v>0</v>
      </c>
      <c r="H30" s="1443">
        <f t="shared" si="10"/>
        <v>0</v>
      </c>
      <c r="I30" s="1443">
        <f t="shared" si="10"/>
        <v>0</v>
      </c>
      <c r="J30" s="1443">
        <f t="shared" si="10"/>
        <v>0</v>
      </c>
      <c r="K30" s="1443">
        <f t="shared" si="11"/>
        <v>0</v>
      </c>
      <c r="L30" s="1443">
        <f t="shared" si="11"/>
        <v>0</v>
      </c>
      <c r="M30" s="1443">
        <f t="shared" ref="M30" si="13">+M200</f>
        <v>0</v>
      </c>
      <c r="N30" s="1000"/>
      <c r="O30" s="88"/>
    </row>
    <row r="31" spans="1:44" ht="13.15" customHeight="1" x14ac:dyDescent="0.2">
      <c r="B31" s="86"/>
      <c r="C31" s="1075"/>
      <c r="D31" s="1075" t="s">
        <v>175</v>
      </c>
      <c r="E31" s="1075"/>
      <c r="F31" s="1444">
        <f t="shared" si="10"/>
        <v>5876.2333333333336</v>
      </c>
      <c r="G31" s="1444">
        <f t="shared" si="10"/>
        <v>0</v>
      </c>
      <c r="H31" s="1444">
        <f t="shared" si="10"/>
        <v>0</v>
      </c>
      <c r="I31" s="1444">
        <f t="shared" si="10"/>
        <v>0</v>
      </c>
      <c r="J31" s="1444">
        <f t="shared" si="10"/>
        <v>0</v>
      </c>
      <c r="K31" s="1444">
        <f t="shared" si="11"/>
        <v>0</v>
      </c>
      <c r="L31" s="1444">
        <f t="shared" si="11"/>
        <v>0</v>
      </c>
      <c r="M31" s="1444">
        <f t="shared" ref="M31" si="14">+M201</f>
        <v>0</v>
      </c>
      <c r="N31" s="1075"/>
      <c r="O31" s="88"/>
    </row>
    <row r="32" spans="1:44" ht="13.15" customHeight="1" x14ac:dyDescent="0.2">
      <c r="B32" s="86"/>
      <c r="C32" s="1000"/>
      <c r="D32" s="1000"/>
      <c r="E32" s="1000"/>
      <c r="F32" s="1446"/>
      <c r="G32" s="1172"/>
      <c r="H32" s="1172"/>
      <c r="I32" s="1172"/>
      <c r="J32" s="1172"/>
      <c r="K32" s="1172"/>
      <c r="L32" s="1172"/>
      <c r="M32" s="1172"/>
      <c r="N32" s="1000"/>
      <c r="O32" s="88"/>
    </row>
    <row r="33" spans="1:44" ht="13.15" customHeight="1" x14ac:dyDescent="0.2">
      <c r="B33" s="86"/>
      <c r="C33" s="87"/>
      <c r="D33" s="69"/>
      <c r="E33" s="53"/>
      <c r="F33" s="70"/>
      <c r="G33" s="70"/>
      <c r="H33" s="70"/>
      <c r="I33" s="70"/>
      <c r="J33" s="70"/>
      <c r="K33" s="70"/>
      <c r="L33" s="70"/>
      <c r="M33" s="70"/>
      <c r="N33" s="87"/>
      <c r="O33" s="88"/>
    </row>
    <row r="34" spans="1:44" ht="13.15" customHeight="1" x14ac:dyDescent="0.2">
      <c r="B34" s="86"/>
      <c r="C34" s="87"/>
      <c r="D34" s="69"/>
      <c r="E34" s="53"/>
      <c r="F34" s="70"/>
      <c r="G34" s="70"/>
      <c r="H34" s="70"/>
      <c r="I34" s="70"/>
      <c r="J34" s="70"/>
      <c r="K34" s="70"/>
      <c r="L34" s="70"/>
      <c r="M34" s="70"/>
      <c r="N34" s="87"/>
      <c r="O34" s="88"/>
    </row>
    <row r="35" spans="1:44" ht="13.15" customHeight="1" x14ac:dyDescent="0.2">
      <c r="B35" s="86"/>
      <c r="C35" s="87"/>
      <c r="D35" s="69"/>
      <c r="E35" s="53"/>
      <c r="F35" s="70"/>
      <c r="G35" s="70"/>
      <c r="H35" s="70"/>
      <c r="I35" s="70"/>
      <c r="J35" s="70"/>
      <c r="K35" s="70"/>
      <c r="L35" s="70"/>
      <c r="M35" s="70"/>
      <c r="N35" s="87"/>
      <c r="O35" s="88"/>
    </row>
    <row r="36" spans="1:44" ht="13.15" customHeight="1" x14ac:dyDescent="0.2">
      <c r="B36" s="86"/>
      <c r="C36" s="87"/>
      <c r="D36" s="793"/>
      <c r="E36" s="659"/>
      <c r="F36" s="806" t="e">
        <f t="shared" ref="F36:L36" si="15">F21</f>
        <v>#REF!</v>
      </c>
      <c r="G36" s="806" t="str">
        <f t="shared" si="15"/>
        <v>2015/16</v>
      </c>
      <c r="H36" s="806" t="str">
        <f t="shared" si="15"/>
        <v>2016/17</v>
      </c>
      <c r="I36" s="806" t="str">
        <f t="shared" si="15"/>
        <v>2017/18</v>
      </c>
      <c r="J36" s="806" t="str">
        <f t="shared" si="15"/>
        <v>2018/19</v>
      </c>
      <c r="K36" s="806" t="str">
        <f t="shared" si="15"/>
        <v>2019/20</v>
      </c>
      <c r="L36" s="806" t="str">
        <f t="shared" si="15"/>
        <v>2020/21</v>
      </c>
      <c r="M36" s="806" t="str">
        <f t="shared" ref="M36" si="16">M21</f>
        <v>2021/22</v>
      </c>
      <c r="N36" s="87"/>
      <c r="O36" s="88"/>
    </row>
    <row r="37" spans="1:44" ht="13.15" customHeight="1" x14ac:dyDescent="0.2">
      <c r="B37" s="86"/>
      <c r="C37" s="87"/>
      <c r="D37" s="793"/>
      <c r="E37" s="659"/>
      <c r="F37" s="807"/>
      <c r="G37" s="807"/>
      <c r="H37" s="807"/>
      <c r="I37" s="807"/>
      <c r="J37" s="807"/>
      <c r="K37" s="807"/>
      <c r="L37" s="807"/>
      <c r="M37" s="807"/>
      <c r="N37" s="87"/>
      <c r="O37" s="88"/>
    </row>
    <row r="38" spans="1:44" ht="13.15" customHeight="1" x14ac:dyDescent="0.2">
      <c r="B38" s="86"/>
      <c r="C38" s="1000"/>
      <c r="D38" s="1049"/>
      <c r="E38" s="1083"/>
      <c r="F38" s="1173"/>
      <c r="G38" s="1173"/>
      <c r="H38" s="1173"/>
      <c r="I38" s="1173"/>
      <c r="J38" s="1173"/>
      <c r="K38" s="1173"/>
      <c r="L38" s="1173"/>
      <c r="M38" s="1173"/>
      <c r="N38" s="1000"/>
      <c r="O38" s="88"/>
    </row>
    <row r="39" spans="1:44" ht="13.15" customHeight="1" x14ac:dyDescent="0.2">
      <c r="B39" s="86"/>
      <c r="C39" s="1000"/>
      <c r="D39" s="1049" t="s">
        <v>338</v>
      </c>
      <c r="E39" s="1083"/>
      <c r="F39" s="1173"/>
      <c r="G39" s="1173"/>
      <c r="H39" s="1173"/>
      <c r="I39" s="1173"/>
      <c r="J39" s="1173"/>
      <c r="K39" s="1173"/>
      <c r="L39" s="1173"/>
      <c r="M39" s="1173"/>
      <c r="N39" s="1000"/>
      <c r="O39" s="88"/>
    </row>
    <row r="40" spans="1:44" ht="13.15" customHeight="1" x14ac:dyDescent="0.2">
      <c r="B40" s="86"/>
      <c r="C40" s="1000"/>
      <c r="D40" s="1174"/>
      <c r="E40" s="1000"/>
      <c r="F40" s="1120"/>
      <c r="G40" s="1120"/>
      <c r="H40" s="1120"/>
      <c r="I40" s="1120"/>
      <c r="J40" s="1120"/>
      <c r="K40" s="1120"/>
      <c r="L40" s="1120"/>
      <c r="M40" s="1120"/>
      <c r="N40" s="1000"/>
      <c r="O40" s="88"/>
    </row>
    <row r="41" spans="1:44" ht="13.15" customHeight="1" x14ac:dyDescent="0.2">
      <c r="B41" s="86"/>
      <c r="C41" s="1000"/>
      <c r="D41" s="1447" t="str">
        <f>'geg LO'!D21</f>
        <v>Naam SBO 1</v>
      </c>
      <c r="E41" s="1000"/>
      <c r="F41" s="1120"/>
      <c r="G41" s="1120"/>
      <c r="H41" s="1120"/>
      <c r="I41" s="1120"/>
      <c r="J41" s="1120"/>
      <c r="K41" s="1120"/>
      <c r="L41" s="1120"/>
      <c r="M41" s="1120"/>
      <c r="N41" s="1000"/>
      <c r="O41" s="88"/>
    </row>
    <row r="42" spans="1:44" ht="13.15" customHeight="1" x14ac:dyDescent="0.2">
      <c r="B42" s="86"/>
      <c r="C42" s="1000"/>
      <c r="D42" s="1000" t="s">
        <v>15</v>
      </c>
      <c r="E42" s="1000"/>
      <c r="F42" s="1443" t="e">
        <f>ROUND(('geg LO'!F60-'geg LO'!F21)*IF('geg LO'!F78="ja",tab!#REF!,tab!#REF!+'geg LO'!F80*tab!#REF!),0)</f>
        <v>#REF!</v>
      </c>
      <c r="G42" s="1443">
        <f>ROUND(('geg LO'!G60-'geg LO'!G21)*IF('geg LO'!G78="ja",tab!$C$49,tab!$C$41+'geg LO'!G80*tab!$C$42),0)</f>
        <v>0</v>
      </c>
      <c r="H42" s="1443">
        <f>ROUND(('geg LO'!H60-'geg LO'!H21)*IF('geg LO'!H78="ja",tab!$C$49,tab!$C$41+'geg LO'!H80*tab!$C$42),0)</f>
        <v>0</v>
      </c>
      <c r="I42" s="1443">
        <f>ROUND(('geg LO'!I60-'geg LO'!I21)*IF('geg LO'!I78="ja",tab!$C$49,tab!$C$41+'geg LO'!I80*tab!$C$42),0)</f>
        <v>0</v>
      </c>
      <c r="J42" s="1443">
        <f>ROUND(('geg LO'!J60-'geg LO'!J21)*IF('geg LO'!J78="ja",tab!$C$49,tab!$C$41+'geg LO'!J80*tab!$C$42),0)</f>
        <v>0</v>
      </c>
      <c r="K42" s="1443">
        <f>ROUND(('geg LO'!K60-'geg LO'!K21)*IF('geg LO'!K78="ja",tab!$C$49,tab!$C$41+'geg LO'!K80*tab!$C$42),0)</f>
        <v>0</v>
      </c>
      <c r="L42" s="1443">
        <f>ROUND(('geg LO'!L60-'geg LO'!L21)*IF('geg LO'!L78="ja",tab!$C$49,tab!$C$41+'geg LO'!L80*tab!$C$42),0)</f>
        <v>0</v>
      </c>
      <c r="M42" s="1443">
        <f>ROUND(('geg LO'!M60-'geg LO'!M21)*IF('geg LO'!M78="ja",tab!$C$49,tab!$C$41+'geg LO'!M80*tab!$C$42),0)</f>
        <v>0</v>
      </c>
      <c r="N42" s="1000"/>
      <c r="O42" s="88"/>
    </row>
    <row r="43" spans="1:44" ht="13.15" customHeight="1" x14ac:dyDescent="0.2">
      <c r="B43" s="86"/>
      <c r="C43" s="1000"/>
      <c r="D43" s="1000" t="s">
        <v>776</v>
      </c>
      <c r="E43" s="1000"/>
      <c r="F43" s="1443" t="e">
        <f>ROUND(('geg LO'!F60-'geg LO'!F42)*IF('geg LO'!F78="ja",tab!#REF!,tab!#REF!+'geg LO'!F80*tab!#REF!),0)</f>
        <v>#REF!</v>
      </c>
      <c r="G43" s="1443">
        <f>ROUND(('geg LO'!G60-'geg LO'!G42)*IF('geg LO'!G78="ja",tab!$C$50,tab!$C$43+'geg LO'!G80*tab!$C$44),0)</f>
        <v>0</v>
      </c>
      <c r="H43" s="1443">
        <f>ROUND(('geg LO'!H60-'geg LO'!H42)*IF('geg LO'!H78="ja",tab!$C$50,tab!$C$43+'geg LO'!H80*tab!$C$44),0)</f>
        <v>0</v>
      </c>
      <c r="I43" s="1443">
        <f>ROUND(('geg LO'!I60-'geg LO'!I42)*IF('geg LO'!I78="ja",tab!$C$50,tab!$C$43+'geg LO'!I80*tab!$C$44),0)</f>
        <v>0</v>
      </c>
      <c r="J43" s="1443">
        <f>ROUND(('geg LO'!J60-'geg LO'!J42)*IF('geg LO'!J78="ja",tab!$C$50,tab!$C$43+'geg LO'!J80*tab!$C$44),0)</f>
        <v>0</v>
      </c>
      <c r="K43" s="1443">
        <f>ROUND(('geg LO'!K60-'geg LO'!K42)*IF('geg LO'!K78="ja",tab!$C$50,tab!$C$43+'geg LO'!K80*tab!$C$44),0)</f>
        <v>0</v>
      </c>
      <c r="L43" s="1443">
        <f>ROUND(('geg LO'!L60-'geg LO'!L42)*IF('geg LO'!L78="ja",tab!$C$50,tab!$C$43+'geg LO'!L80*tab!$C$44),0)</f>
        <v>0</v>
      </c>
      <c r="M43" s="1443">
        <f>ROUND(('geg LO'!M60-'geg LO'!M42)*IF('geg LO'!M78="ja",tab!$C$50,tab!$C$43+'geg LO'!M80*tab!$C$44),0)</f>
        <v>0</v>
      </c>
      <c r="N43" s="1000"/>
      <c r="O43" s="88"/>
    </row>
    <row r="44" spans="1:44" s="199" customFormat="1" ht="13.15" customHeight="1" x14ac:dyDescent="0.2">
      <c r="A44" s="657"/>
      <c r="B44" s="34"/>
      <c r="C44" s="1053"/>
      <c r="D44" s="1075"/>
      <c r="E44" s="1000"/>
      <c r="F44" s="1448" t="e">
        <f t="shared" ref="F44:L44" si="17">SUM(F42:F43)</f>
        <v>#REF!</v>
      </c>
      <c r="G44" s="1448">
        <f t="shared" si="17"/>
        <v>0</v>
      </c>
      <c r="H44" s="1448">
        <f t="shared" si="17"/>
        <v>0</v>
      </c>
      <c r="I44" s="1448">
        <f t="shared" si="17"/>
        <v>0</v>
      </c>
      <c r="J44" s="1448">
        <f t="shared" si="17"/>
        <v>0</v>
      </c>
      <c r="K44" s="1448">
        <f t="shared" si="17"/>
        <v>0</v>
      </c>
      <c r="L44" s="1448">
        <f t="shared" si="17"/>
        <v>0</v>
      </c>
      <c r="M44" s="1448">
        <f t="shared" ref="M44" si="18">SUM(M42:M43)</f>
        <v>0</v>
      </c>
      <c r="N44" s="1053"/>
      <c r="O44" s="35"/>
      <c r="P44" s="657"/>
      <c r="Q44" s="657"/>
      <c r="R44" s="657"/>
      <c r="S44" s="657"/>
      <c r="T44" s="657"/>
      <c r="U44" s="657"/>
      <c r="V44" s="657"/>
      <c r="W44" s="657"/>
      <c r="X44" s="657"/>
      <c r="Y44" s="657"/>
      <c r="Z44" s="657"/>
      <c r="AA44" s="657"/>
      <c r="AB44" s="657"/>
      <c r="AC44" s="657"/>
      <c r="AD44" s="657"/>
      <c r="AE44" s="657"/>
      <c r="AF44" s="657"/>
      <c r="AG44" s="657"/>
      <c r="AH44" s="657"/>
      <c r="AI44" s="657"/>
      <c r="AJ44" s="657"/>
      <c r="AK44" s="657"/>
      <c r="AL44" s="657"/>
      <c r="AM44" s="657"/>
      <c r="AN44" s="657"/>
      <c r="AO44" s="657"/>
      <c r="AP44" s="657"/>
      <c r="AQ44" s="657"/>
      <c r="AR44" s="657"/>
    </row>
    <row r="45" spans="1:44" ht="13.15" customHeight="1" x14ac:dyDescent="0.2">
      <c r="B45" s="86"/>
      <c r="C45" s="1000"/>
      <c r="D45" s="1447" t="str">
        <f>'geg LO'!D22</f>
        <v>Naam SBO 2</v>
      </c>
      <c r="E45" s="1000"/>
      <c r="F45" s="1449"/>
      <c r="G45" s="1120"/>
      <c r="H45" s="1120"/>
      <c r="I45" s="1120"/>
      <c r="J45" s="1120"/>
      <c r="K45" s="1120"/>
      <c r="L45" s="1120"/>
      <c r="M45" s="1120"/>
      <c r="N45" s="1000"/>
      <c r="O45" s="88"/>
    </row>
    <row r="46" spans="1:44" ht="13.15" customHeight="1" x14ac:dyDescent="0.2">
      <c r="B46" s="86"/>
      <c r="C46" s="1000"/>
      <c r="D46" s="1000" t="s">
        <v>15</v>
      </c>
      <c r="E46" s="1000"/>
      <c r="F46" s="1443" t="e">
        <f>ROUND(('geg LO'!F61-'geg LO'!F22)*IF('geg LO'!F78="ja",tab!#REF!,tab!#REF!+'geg LO'!F81*tab!#REF!),0)</f>
        <v>#REF!</v>
      </c>
      <c r="G46" s="1443">
        <f>ROUND(('geg LO'!G61-'geg LO'!G22)*IF('geg LO'!G78="ja",tab!$C$49,tab!$C$41+'geg LO'!G81*tab!$C$42),0)</f>
        <v>0</v>
      </c>
      <c r="H46" s="1443">
        <f>ROUND(('geg LO'!H61-'geg LO'!H22)*IF('geg LO'!H78="ja",tab!$C$49,tab!$C$41+'geg LO'!H81*tab!$C$42),0)</f>
        <v>0</v>
      </c>
      <c r="I46" s="1443">
        <f>ROUND(('geg LO'!I61-'geg LO'!I22)*IF('geg LO'!I78="ja",tab!$C$49,tab!$C$41+'geg LO'!I81*tab!$C$42),0)</f>
        <v>0</v>
      </c>
      <c r="J46" s="1443">
        <f>ROUND(('geg LO'!J61-'geg LO'!J22)*IF('geg LO'!J78="ja",tab!$C$49,tab!$C$41+'geg LO'!J81*tab!$C$42),0)</f>
        <v>0</v>
      </c>
      <c r="K46" s="1443">
        <f>ROUND(('geg LO'!K61-'geg LO'!K22)*IF('geg LO'!K78="ja",tab!$C$49,tab!$C$41+'geg LO'!K81*tab!$C$42),0)</f>
        <v>0</v>
      </c>
      <c r="L46" s="1443">
        <f>ROUND(('geg LO'!L61-'geg LO'!L22)*IF('geg LO'!L78="ja",tab!$C$49,tab!$C$41+'geg LO'!L81*tab!$C$42),0)</f>
        <v>0</v>
      </c>
      <c r="M46" s="1443">
        <f>ROUND(('geg LO'!M61-'geg LO'!M22)*IF('geg LO'!M78="ja",tab!$C$49,tab!$C$41+'geg LO'!M81*tab!$C$42),0)</f>
        <v>0</v>
      </c>
      <c r="N46" s="1000"/>
      <c r="O46" s="88"/>
    </row>
    <row r="47" spans="1:44" ht="13.15" customHeight="1" x14ac:dyDescent="0.2">
      <c r="B47" s="86"/>
      <c r="C47" s="1000"/>
      <c r="D47" s="1000" t="s">
        <v>776</v>
      </c>
      <c r="E47" s="1000"/>
      <c r="F47" s="1443" t="e">
        <f>ROUND(('geg LO'!F61-'geg LO'!F43)*IF('geg LO'!F78="ja",tab!#REF!,tab!#REF!+'geg LO'!F81*tab!#REF!),0)</f>
        <v>#REF!</v>
      </c>
      <c r="G47" s="1443">
        <f>ROUND(('geg LO'!G61-'geg LO'!G43)*IF('geg LO'!G78="ja",tab!$C$50,tab!$C$43+'geg LO'!G81*tab!$C$44),0)</f>
        <v>0</v>
      </c>
      <c r="H47" s="1443">
        <f>ROUND(('geg LO'!H61-'geg LO'!H43)*IF('geg LO'!H78="ja",tab!$C$50,tab!$C$43+'geg LO'!H81*tab!$C$44),0)</f>
        <v>0</v>
      </c>
      <c r="I47" s="1443">
        <f>ROUND(('geg LO'!I61-'geg LO'!I43)*IF('geg LO'!I78="ja",tab!$C$50,tab!$C$43+'geg LO'!I81*tab!$C$44),0)</f>
        <v>0</v>
      </c>
      <c r="J47" s="1443">
        <f>ROUND(('geg LO'!J61-'geg LO'!J43)*IF('geg LO'!J78="ja",tab!$C$50,tab!$C$43+'geg LO'!J81*tab!$C$44),0)</f>
        <v>0</v>
      </c>
      <c r="K47" s="1443">
        <f>ROUND(('geg LO'!K61-'geg LO'!K43)*IF('geg LO'!K78="ja",tab!$C$50,tab!$C$43+'geg LO'!K81*tab!$C$44),0)</f>
        <v>0</v>
      </c>
      <c r="L47" s="1443">
        <f>ROUND(('geg LO'!L61-'geg LO'!L43)*IF('geg LO'!L78="ja",tab!$C$50,tab!$C$43+'geg LO'!L81*tab!$C$44),0)</f>
        <v>0</v>
      </c>
      <c r="M47" s="1443">
        <f>ROUND(('geg LO'!M61-'geg LO'!M43)*IF('geg LO'!M78="ja",tab!$C$50,tab!$C$43+'geg LO'!M81*tab!$C$44),0)</f>
        <v>0</v>
      </c>
      <c r="N47" s="1000"/>
      <c r="O47" s="88"/>
    </row>
    <row r="48" spans="1:44" s="199" customFormat="1" ht="13.15" customHeight="1" x14ac:dyDescent="0.2">
      <c r="A48" s="657"/>
      <c r="B48" s="34"/>
      <c r="C48" s="1053"/>
      <c r="D48" s="1056"/>
      <c r="E48" s="1000"/>
      <c r="F48" s="1448" t="e">
        <f t="shared" ref="F48:L48" si="19">SUM(F46:F47)</f>
        <v>#REF!</v>
      </c>
      <c r="G48" s="1448">
        <f t="shared" si="19"/>
        <v>0</v>
      </c>
      <c r="H48" s="1448">
        <f t="shared" si="19"/>
        <v>0</v>
      </c>
      <c r="I48" s="1448">
        <f t="shared" si="19"/>
        <v>0</v>
      </c>
      <c r="J48" s="1448">
        <f t="shared" si="19"/>
        <v>0</v>
      </c>
      <c r="K48" s="1448">
        <f t="shared" si="19"/>
        <v>0</v>
      </c>
      <c r="L48" s="1448">
        <f t="shared" si="19"/>
        <v>0</v>
      </c>
      <c r="M48" s="1448">
        <f t="shared" ref="M48" si="20">SUM(M46:M47)</f>
        <v>0</v>
      </c>
      <c r="N48" s="1053"/>
      <c r="O48" s="35"/>
      <c r="P48" s="657"/>
      <c r="Q48" s="657"/>
      <c r="R48" s="657"/>
      <c r="S48" s="657"/>
      <c r="T48" s="657"/>
      <c r="U48" s="657"/>
      <c r="V48" s="657"/>
      <c r="W48" s="657"/>
      <c r="X48" s="657"/>
      <c r="Y48" s="657"/>
      <c r="Z48" s="657"/>
      <c r="AA48" s="657"/>
      <c r="AB48" s="657"/>
      <c r="AC48" s="657"/>
      <c r="AD48" s="657"/>
      <c r="AE48" s="657"/>
      <c r="AF48" s="657"/>
      <c r="AG48" s="657"/>
      <c r="AH48" s="657"/>
      <c r="AI48" s="657"/>
      <c r="AJ48" s="657"/>
      <c r="AK48" s="657"/>
      <c r="AL48" s="657"/>
      <c r="AM48" s="657"/>
      <c r="AN48" s="657"/>
      <c r="AO48" s="657"/>
      <c r="AP48" s="657"/>
      <c r="AQ48" s="657"/>
      <c r="AR48" s="657"/>
    </row>
    <row r="49" spans="1:44" ht="13.15" customHeight="1" x14ac:dyDescent="0.2">
      <c r="B49" s="86"/>
      <c r="C49" s="1000"/>
      <c r="D49" s="1447" t="str">
        <f>'geg LO'!D23</f>
        <v>Naam SBO 3</v>
      </c>
      <c r="E49" s="1000"/>
      <c r="F49" s="1449"/>
      <c r="G49" s="1120"/>
      <c r="H49" s="1120"/>
      <c r="I49" s="1120"/>
      <c r="J49" s="1120"/>
      <c r="K49" s="1120"/>
      <c r="L49" s="1120"/>
      <c r="M49" s="1120"/>
      <c r="N49" s="1000"/>
      <c r="O49" s="88"/>
    </row>
    <row r="50" spans="1:44" ht="13.15" customHeight="1" x14ac:dyDescent="0.2">
      <c r="B50" s="86"/>
      <c r="C50" s="1000"/>
      <c r="D50" s="1000" t="s">
        <v>15</v>
      </c>
      <c r="E50" s="1000"/>
      <c r="F50" s="1443" t="e">
        <f>ROUND(('geg LO'!F62-'geg LO'!F23)*IF('geg LO'!F78="ja",tab!#REF!,tab!#REF!+'geg LO'!F82*tab!#REF!),0)</f>
        <v>#REF!</v>
      </c>
      <c r="G50" s="1443">
        <f>ROUND(('geg LO'!G62-'geg LO'!G23)*IF('geg LO'!G78="ja",tab!$C$49,tab!$C$41+'geg LO'!G82*tab!$C$42),0)</f>
        <v>0</v>
      </c>
      <c r="H50" s="1443">
        <f>ROUND(('geg LO'!H62-'geg LO'!H23)*IF('geg LO'!H78="ja",tab!$C$49,tab!$C$41+'geg LO'!H82*tab!$C$42),0)</f>
        <v>0</v>
      </c>
      <c r="I50" s="1443">
        <f>ROUND(('geg LO'!I62-'geg LO'!I23)*IF('geg LO'!I78="ja",tab!$C$49,tab!$C$41+'geg LO'!I82*tab!$C$42),0)</f>
        <v>0</v>
      </c>
      <c r="J50" s="1443">
        <f>ROUND(('geg LO'!J62-'geg LO'!J23)*IF('geg LO'!J78="ja",tab!$C$49,tab!$C$41+'geg LO'!J82*tab!$C$42),0)</f>
        <v>0</v>
      </c>
      <c r="K50" s="1443">
        <f>ROUND(('geg LO'!K62-'geg LO'!K23)*IF('geg LO'!K78="ja",tab!$C$49,tab!$C$41+'geg LO'!K82*tab!$C$42),0)</f>
        <v>0</v>
      </c>
      <c r="L50" s="1443">
        <f>ROUND(('geg LO'!L62-'geg LO'!L23)*IF('geg LO'!L78="ja",tab!$C$49,tab!$C$41+'geg LO'!L82*tab!$C$42),0)</f>
        <v>0</v>
      </c>
      <c r="M50" s="1443">
        <f>ROUND(('geg LO'!M62-'geg LO'!M23)*IF('geg LO'!M78="ja",tab!$C$49,tab!$C$41+'geg LO'!M82*tab!$C$42),0)</f>
        <v>0</v>
      </c>
      <c r="N50" s="1000"/>
      <c r="O50" s="88"/>
    </row>
    <row r="51" spans="1:44" ht="13.15" customHeight="1" x14ac:dyDescent="0.2">
      <c r="B51" s="86"/>
      <c r="C51" s="1000"/>
      <c r="D51" s="1000" t="s">
        <v>776</v>
      </c>
      <c r="E51" s="1000"/>
      <c r="F51" s="1443" t="e">
        <f>ROUND(('geg LO'!F62-'geg LO'!F44)*IF('geg LO'!F78="ja",tab!#REF!,tab!#REF!+'geg LO'!F82*tab!#REF!),0)</f>
        <v>#REF!</v>
      </c>
      <c r="G51" s="1443">
        <f>ROUND(('geg LO'!G62-'geg LO'!G44)*IF('geg LO'!G78="ja",tab!$C$50,tab!$C$43+'geg LO'!G82*tab!$C$44),0)</f>
        <v>0</v>
      </c>
      <c r="H51" s="1443">
        <f>ROUND(('geg LO'!H62-'geg LO'!H44)*IF('geg LO'!H78="ja",tab!$C$50,tab!$C$43+'geg LO'!H82*tab!$C$44),0)</f>
        <v>0</v>
      </c>
      <c r="I51" s="1443">
        <f>ROUND(('geg LO'!I62-'geg LO'!I44)*IF('geg LO'!I78="ja",tab!$C$50,tab!$C$43+'geg LO'!I82*tab!$C$44),0)</f>
        <v>0</v>
      </c>
      <c r="J51" s="1443">
        <f>ROUND(('geg LO'!J62-'geg LO'!J44)*IF('geg LO'!J78="ja",tab!$C$50,tab!$C$43+'geg LO'!J82*tab!$C$44),0)</f>
        <v>0</v>
      </c>
      <c r="K51" s="1443">
        <f>ROUND(('geg LO'!K62-'geg LO'!K44)*IF('geg LO'!K78="ja",tab!$C$50,tab!$C$43+'geg LO'!K82*tab!$C$44),0)</f>
        <v>0</v>
      </c>
      <c r="L51" s="1443">
        <f>ROUND(('geg LO'!L62-'geg LO'!L44)*IF('geg LO'!L78="ja",tab!$C$50,tab!$C$43+'geg LO'!L82*tab!$C$44),0)</f>
        <v>0</v>
      </c>
      <c r="M51" s="1443">
        <f>ROUND(('geg LO'!M62-'geg LO'!M44)*IF('geg LO'!M78="ja",tab!$C$50,tab!$C$43+'geg LO'!M82*tab!$C$44),0)</f>
        <v>0</v>
      </c>
      <c r="N51" s="1000"/>
      <c r="O51" s="88"/>
    </row>
    <row r="52" spans="1:44" s="199" customFormat="1" ht="13.15" customHeight="1" x14ac:dyDescent="0.2">
      <c r="A52" s="657"/>
      <c r="B52" s="34"/>
      <c r="C52" s="1053"/>
      <c r="D52" s="1075"/>
      <c r="E52" s="1000"/>
      <c r="F52" s="1448" t="e">
        <f t="shared" ref="F52:L52" si="21">SUM(F50:F51)</f>
        <v>#REF!</v>
      </c>
      <c r="G52" s="1448">
        <f t="shared" si="21"/>
        <v>0</v>
      </c>
      <c r="H52" s="1448">
        <f t="shared" si="21"/>
        <v>0</v>
      </c>
      <c r="I52" s="1448">
        <f t="shared" si="21"/>
        <v>0</v>
      </c>
      <c r="J52" s="1448">
        <f t="shared" si="21"/>
        <v>0</v>
      </c>
      <c r="K52" s="1448">
        <f t="shared" si="21"/>
        <v>0</v>
      </c>
      <c r="L52" s="1448">
        <f t="shared" si="21"/>
        <v>0</v>
      </c>
      <c r="M52" s="1448">
        <f t="shared" ref="M52" si="22">SUM(M50:M51)</f>
        <v>0</v>
      </c>
      <c r="N52" s="1053"/>
      <c r="O52" s="35"/>
      <c r="P52" s="657"/>
      <c r="Q52" s="657"/>
      <c r="R52" s="657"/>
      <c r="S52" s="657"/>
      <c r="T52" s="657"/>
      <c r="U52" s="657"/>
      <c r="V52" s="657"/>
      <c r="W52" s="657"/>
      <c r="X52" s="657"/>
      <c r="Y52" s="657"/>
      <c r="Z52" s="657"/>
      <c r="AA52" s="657"/>
      <c r="AB52" s="657"/>
      <c r="AC52" s="657"/>
      <c r="AD52" s="657"/>
      <c r="AE52" s="657"/>
      <c r="AF52" s="657"/>
      <c r="AG52" s="657"/>
      <c r="AH52" s="657"/>
      <c r="AI52" s="657"/>
      <c r="AJ52" s="657"/>
      <c r="AK52" s="657"/>
      <c r="AL52" s="657"/>
      <c r="AM52" s="657"/>
      <c r="AN52" s="657"/>
      <c r="AO52" s="657"/>
      <c r="AP52" s="657"/>
      <c r="AQ52" s="657"/>
      <c r="AR52" s="657"/>
    </row>
    <row r="53" spans="1:44" ht="13.15" customHeight="1" x14ac:dyDescent="0.2">
      <c r="B53" s="86"/>
      <c r="C53" s="1000"/>
      <c r="D53" s="1447" t="str">
        <f>'geg LO'!D24</f>
        <v>Naam SBO 4</v>
      </c>
      <c r="E53" s="1000"/>
      <c r="F53" s="1449"/>
      <c r="G53" s="1120"/>
      <c r="H53" s="1120"/>
      <c r="I53" s="1120"/>
      <c r="J53" s="1120"/>
      <c r="K53" s="1120"/>
      <c r="L53" s="1120"/>
      <c r="M53" s="1120"/>
      <c r="N53" s="1000"/>
      <c r="O53" s="88"/>
    </row>
    <row r="54" spans="1:44" ht="13.15" customHeight="1" x14ac:dyDescent="0.2">
      <c r="B54" s="86"/>
      <c r="C54" s="1000"/>
      <c r="D54" s="1000" t="s">
        <v>15</v>
      </c>
      <c r="E54" s="1000"/>
      <c r="F54" s="1443" t="e">
        <f>ROUND(('geg LO'!F63-'geg LO'!F24)*IF('geg LO'!F78="ja",tab!#REF!,tab!#REF!+'geg LO'!F83*tab!#REF!),0)</f>
        <v>#REF!</v>
      </c>
      <c r="G54" s="1443">
        <f>ROUND(('geg LO'!G63-'geg LO'!G24)*IF('geg LO'!G78="ja",tab!$C$49,tab!$C$41+'geg LO'!G83*tab!$C$42),0)</f>
        <v>0</v>
      </c>
      <c r="H54" s="1443">
        <f>ROUND(('geg LO'!H63-'geg LO'!H24)*IF('geg LO'!H78="ja",tab!$C$49,tab!$C$41+'geg LO'!H83*tab!$C$42),0)</f>
        <v>0</v>
      </c>
      <c r="I54" s="1443">
        <f>ROUND(('geg LO'!I63-'geg LO'!I24)*IF('geg LO'!I78="ja",tab!$C$49,tab!$C$41+'geg LO'!I83*tab!$C$42),0)</f>
        <v>0</v>
      </c>
      <c r="J54" s="1443">
        <f>ROUND(('geg LO'!J63-'geg LO'!J24)*IF('geg LO'!J78="ja",tab!$C$49,tab!$C$41+'geg LO'!J83*tab!$C$42),0)</f>
        <v>0</v>
      </c>
      <c r="K54" s="1443">
        <f>ROUND(('geg LO'!K63-'geg LO'!K24)*IF('geg LO'!K78="ja",tab!$C$49,tab!$C$41+'geg LO'!K83*tab!$C$42),0)</f>
        <v>0</v>
      </c>
      <c r="L54" s="1443">
        <f>ROUND(('geg LO'!L63-'geg LO'!L24)*IF('geg LO'!L78="ja",tab!$C$49,tab!$C$41+'geg LO'!L83*tab!$C$42),0)</f>
        <v>0</v>
      </c>
      <c r="M54" s="1443">
        <f>ROUND(('geg LO'!M63-'geg LO'!M24)*IF('geg LO'!M78="ja",tab!$C$49,tab!$C$41+'geg LO'!M83*tab!$C$42),0)</f>
        <v>0</v>
      </c>
      <c r="N54" s="1000"/>
      <c r="O54" s="88"/>
    </row>
    <row r="55" spans="1:44" ht="13.15" customHeight="1" x14ac:dyDescent="0.2">
      <c r="B55" s="86"/>
      <c r="C55" s="1000"/>
      <c r="D55" s="1000" t="s">
        <v>776</v>
      </c>
      <c r="E55" s="1000"/>
      <c r="F55" s="1443" t="e">
        <f>ROUND(('geg LO'!F63-'geg LO'!F45)*IF('geg LO'!F78="ja",tab!#REF!,tab!#REF!+'geg LO'!F83*tab!#REF!),0)</f>
        <v>#REF!</v>
      </c>
      <c r="G55" s="1443">
        <f>ROUND(('geg LO'!G63-'geg LO'!G45)*IF('geg LO'!G78="ja",tab!$C$50,tab!$C$43+'geg LO'!G83*tab!$C$44),0)</f>
        <v>0</v>
      </c>
      <c r="H55" s="1443">
        <f>ROUND(('geg LO'!H63-'geg LO'!H45)*IF('geg LO'!H78="ja",tab!$C$50,tab!$C$43+'geg LO'!H83*tab!$C$44),0)</f>
        <v>0</v>
      </c>
      <c r="I55" s="1443">
        <f>ROUND(('geg LO'!I63-'geg LO'!I45)*IF('geg LO'!I78="ja",tab!$C$50,tab!$C$43+'geg LO'!I83*tab!$C$44),0)</f>
        <v>0</v>
      </c>
      <c r="J55" s="1443">
        <f>ROUND(('geg LO'!J63-'geg LO'!J45)*IF('geg LO'!J78="ja",tab!$C$50,tab!$C$43+'geg LO'!J83*tab!$C$44),0)</f>
        <v>0</v>
      </c>
      <c r="K55" s="1443">
        <f>ROUND(('geg LO'!K63-'geg LO'!K45)*IF('geg LO'!K78="ja",tab!$C$50,tab!$C$43+'geg LO'!K83*tab!$C$44),0)</f>
        <v>0</v>
      </c>
      <c r="L55" s="1443">
        <f>ROUND(('geg LO'!L63-'geg LO'!L45)*IF('geg LO'!L78="ja",tab!$C$50,tab!$C$43+'geg LO'!L83*tab!$C$44),0)</f>
        <v>0</v>
      </c>
      <c r="M55" s="1443">
        <f>ROUND(('geg LO'!M63-'geg LO'!M45)*IF('geg LO'!M78="ja",tab!$C$50,tab!$C$43+'geg LO'!M83*tab!$C$44),0)</f>
        <v>0</v>
      </c>
      <c r="N55" s="1000"/>
      <c r="O55" s="88"/>
    </row>
    <row r="56" spans="1:44" s="199" customFormat="1" ht="13.15" customHeight="1" x14ac:dyDescent="0.2">
      <c r="A56" s="657"/>
      <c r="B56" s="34"/>
      <c r="C56" s="1053"/>
      <c r="D56" s="1075"/>
      <c r="E56" s="1000"/>
      <c r="F56" s="1448" t="e">
        <f t="shared" ref="F56:L56" si="23">SUM(F54:F55)</f>
        <v>#REF!</v>
      </c>
      <c r="G56" s="1448">
        <f t="shared" si="23"/>
        <v>0</v>
      </c>
      <c r="H56" s="1448">
        <f t="shared" si="23"/>
        <v>0</v>
      </c>
      <c r="I56" s="1448">
        <f t="shared" si="23"/>
        <v>0</v>
      </c>
      <c r="J56" s="1448">
        <f t="shared" si="23"/>
        <v>0</v>
      </c>
      <c r="K56" s="1448">
        <f t="shared" si="23"/>
        <v>0</v>
      </c>
      <c r="L56" s="1448">
        <f t="shared" si="23"/>
        <v>0</v>
      </c>
      <c r="M56" s="1448">
        <f t="shared" ref="M56" si="24">SUM(M54:M55)</f>
        <v>0</v>
      </c>
      <c r="N56" s="1053"/>
      <c r="O56" s="35"/>
      <c r="P56" s="657"/>
      <c r="Q56" s="657"/>
      <c r="R56" s="657"/>
      <c r="S56" s="657"/>
      <c r="T56" s="657"/>
      <c r="U56" s="657"/>
      <c r="V56" s="657"/>
      <c r="W56" s="657"/>
      <c r="X56" s="657"/>
      <c r="Y56" s="657"/>
      <c r="Z56" s="657"/>
      <c r="AA56" s="657"/>
      <c r="AB56" s="657"/>
      <c r="AC56" s="657"/>
      <c r="AD56" s="657"/>
      <c r="AE56" s="657"/>
      <c r="AF56" s="657"/>
      <c r="AG56" s="657"/>
      <c r="AH56" s="657"/>
      <c r="AI56" s="657"/>
      <c r="AJ56" s="657"/>
      <c r="AK56" s="657"/>
      <c r="AL56" s="657"/>
      <c r="AM56" s="657"/>
      <c r="AN56" s="657"/>
      <c r="AO56" s="657"/>
      <c r="AP56" s="657"/>
      <c r="AQ56" s="657"/>
      <c r="AR56" s="657"/>
    </row>
    <row r="57" spans="1:44" ht="13.15" customHeight="1" x14ac:dyDescent="0.2">
      <c r="B57" s="86"/>
      <c r="C57" s="1000"/>
      <c r="D57" s="1447" t="str">
        <f>'geg LO'!D25</f>
        <v>Naam SBO 5</v>
      </c>
      <c r="E57" s="1000"/>
      <c r="F57" s="1449"/>
      <c r="G57" s="1120"/>
      <c r="H57" s="1120"/>
      <c r="I57" s="1120"/>
      <c r="J57" s="1120"/>
      <c r="K57" s="1120"/>
      <c r="L57" s="1120"/>
      <c r="M57" s="1120"/>
      <c r="N57" s="1000"/>
      <c r="O57" s="88"/>
    </row>
    <row r="58" spans="1:44" s="199" customFormat="1" ht="13.15" customHeight="1" x14ac:dyDescent="0.2">
      <c r="A58" s="657"/>
      <c r="B58" s="34"/>
      <c r="C58" s="1053"/>
      <c r="D58" s="1000" t="s">
        <v>15</v>
      </c>
      <c r="E58" s="1000"/>
      <c r="F58" s="1443" t="e">
        <f>ROUND(('geg LO'!F64-'geg LO'!F25)*IF('geg LO'!F78="ja",tab!#REF!,tab!#REF!+'geg LO'!F84*tab!#REF!),0)</f>
        <v>#REF!</v>
      </c>
      <c r="G58" s="1443">
        <f>ROUND(('geg LO'!G64-'geg LO'!G25)*IF('geg LO'!G78="ja",tab!$C49,tab!$C41+'geg LO'!G84*tab!$C42),0)</f>
        <v>0</v>
      </c>
      <c r="H58" s="1443">
        <f>ROUND(('geg LO'!H64-'geg LO'!H25)*IF('geg LO'!H78="ja",tab!$C49,tab!$C41+'geg LO'!H84*tab!$C42),0)</f>
        <v>0</v>
      </c>
      <c r="I58" s="1443">
        <f>ROUND(('geg LO'!I64-'geg LO'!I25)*IF('geg LO'!I78="ja",tab!$C49,tab!$C41+'geg LO'!I84*tab!$C42),0)</f>
        <v>0</v>
      </c>
      <c r="J58" s="1443">
        <f>ROUND(('geg LO'!J64-'geg LO'!J25)*IF('geg LO'!J78="ja",tab!$C49,tab!$C41+'geg LO'!J84*tab!$C42),0)</f>
        <v>0</v>
      </c>
      <c r="K58" s="1443">
        <f>ROUND(('geg LO'!K64-'geg LO'!K25)*IF('geg LO'!K78="ja",tab!$C49,tab!$C41+'geg LO'!K84*tab!$C42),0)</f>
        <v>0</v>
      </c>
      <c r="L58" s="1443">
        <f>ROUND(('geg LO'!L64-'geg LO'!L25)*IF('geg LO'!L78="ja",tab!$C49,tab!$C41+'geg LO'!L84*tab!$C42),0)</f>
        <v>0</v>
      </c>
      <c r="M58" s="1443">
        <f>ROUND(('geg LO'!M64-'geg LO'!M25)*IF('geg LO'!M78="ja",tab!$C49,tab!$C41+'geg LO'!M84*tab!$C42),0)</f>
        <v>0</v>
      </c>
      <c r="N58" s="1053"/>
      <c r="O58" s="35"/>
      <c r="P58" s="657"/>
      <c r="Q58" s="657"/>
      <c r="R58" s="657"/>
      <c r="S58" s="657"/>
      <c r="T58" s="657"/>
      <c r="U58" s="657"/>
      <c r="V58" s="657"/>
      <c r="W58" s="657"/>
      <c r="X58" s="657"/>
      <c r="Y58" s="657"/>
      <c r="Z58" s="657"/>
      <c r="AA58" s="657"/>
      <c r="AB58" s="657"/>
      <c r="AC58" s="657"/>
      <c r="AD58" s="657"/>
      <c r="AE58" s="657"/>
      <c r="AF58" s="657"/>
      <c r="AG58" s="657"/>
      <c r="AH58" s="657"/>
      <c r="AI58" s="657"/>
      <c r="AJ58" s="657"/>
      <c r="AK58" s="657"/>
      <c r="AL58" s="657"/>
      <c r="AM58" s="657"/>
      <c r="AN58" s="657"/>
      <c r="AO58" s="657"/>
      <c r="AP58" s="657"/>
      <c r="AQ58" s="657"/>
      <c r="AR58" s="657"/>
    </row>
    <row r="59" spans="1:44" s="199" customFormat="1" ht="13.15" customHeight="1" x14ac:dyDescent="0.2">
      <c r="A59" s="657"/>
      <c r="B59" s="34"/>
      <c r="C59" s="1053"/>
      <c r="D59" s="1000" t="s">
        <v>776</v>
      </c>
      <c r="E59" s="1000"/>
      <c r="F59" s="1443" t="e">
        <f>ROUND(('geg LO'!F64-'geg LO'!F46)*IF('geg LO'!F78="ja",tab!#REF!,tab!#REF!+'geg LO'!F84*tab!#REF!),0)</f>
        <v>#REF!</v>
      </c>
      <c r="G59" s="1443">
        <f>ROUND(('geg LO'!G64-'geg LO'!G46)*IF('geg LO'!G78="ja",tab!$C50,tab!$C43+'geg LO'!G84*tab!$C44),0)</f>
        <v>0</v>
      </c>
      <c r="H59" s="1443">
        <f>ROUND(('geg LO'!H64-'geg LO'!H46)*IF('geg LO'!H78="ja",tab!$C50,tab!$C43+'geg LO'!H84*tab!$C44),0)</f>
        <v>0</v>
      </c>
      <c r="I59" s="1443">
        <f>ROUND(('geg LO'!I64-'geg LO'!I46)*IF('geg LO'!I78="ja",tab!$C50,tab!$C43+'geg LO'!I84*tab!$C44),0)</f>
        <v>0</v>
      </c>
      <c r="J59" s="1443">
        <f>ROUND(('geg LO'!J64-'geg LO'!J46)*IF('geg LO'!J78="ja",tab!$C50,tab!$C43+'geg LO'!J84*tab!$C44),0)</f>
        <v>0</v>
      </c>
      <c r="K59" s="1443">
        <f>ROUND(('geg LO'!K64-'geg LO'!K46)*IF('geg LO'!K78="ja",tab!$C50,tab!$C43+'geg LO'!K84*tab!$C44),0)</f>
        <v>0</v>
      </c>
      <c r="L59" s="1443">
        <f>ROUND(('geg LO'!L64-'geg LO'!L46)*IF('geg LO'!L78="ja",tab!$C50,tab!$C43+'geg LO'!L84*tab!$C44),0)</f>
        <v>0</v>
      </c>
      <c r="M59" s="1443">
        <f>ROUND(('geg LO'!M64-'geg LO'!M46)*IF('geg LO'!M78="ja",tab!$C50,tab!$C43+'geg LO'!M84*tab!$C44),0)</f>
        <v>0</v>
      </c>
      <c r="N59" s="1053"/>
      <c r="O59" s="35"/>
      <c r="P59" s="657"/>
      <c r="Q59" s="657"/>
      <c r="R59" s="657"/>
      <c r="S59" s="657"/>
      <c r="T59" s="657"/>
      <c r="U59" s="657"/>
      <c r="V59" s="657"/>
      <c r="W59" s="657"/>
      <c r="X59" s="657"/>
      <c r="Y59" s="657"/>
      <c r="Z59" s="657"/>
      <c r="AA59" s="657"/>
      <c r="AB59" s="657"/>
      <c r="AC59" s="657"/>
      <c r="AD59" s="657"/>
      <c r="AE59" s="657"/>
      <c r="AF59" s="657"/>
      <c r="AG59" s="657"/>
      <c r="AH59" s="657"/>
      <c r="AI59" s="657"/>
      <c r="AJ59" s="657"/>
      <c r="AK59" s="657"/>
      <c r="AL59" s="657"/>
      <c r="AM59" s="657"/>
      <c r="AN59" s="657"/>
      <c r="AO59" s="657"/>
      <c r="AP59" s="657"/>
      <c r="AQ59" s="657"/>
      <c r="AR59" s="657"/>
    </row>
    <row r="60" spans="1:44" s="199" customFormat="1" ht="13.15" customHeight="1" x14ac:dyDescent="0.2">
      <c r="A60" s="657"/>
      <c r="B60" s="34"/>
      <c r="C60" s="1053"/>
      <c r="D60" s="1000"/>
      <c r="E60" s="1000"/>
      <c r="F60" s="1448" t="e">
        <f t="shared" ref="F60:L60" si="25">SUM(F58:F59)</f>
        <v>#REF!</v>
      </c>
      <c r="G60" s="1448">
        <f t="shared" si="25"/>
        <v>0</v>
      </c>
      <c r="H60" s="1448">
        <f t="shared" si="25"/>
        <v>0</v>
      </c>
      <c r="I60" s="1448">
        <f t="shared" si="25"/>
        <v>0</v>
      </c>
      <c r="J60" s="1448">
        <f t="shared" si="25"/>
        <v>0</v>
      </c>
      <c r="K60" s="1448">
        <f t="shared" si="25"/>
        <v>0</v>
      </c>
      <c r="L60" s="1448">
        <f t="shared" si="25"/>
        <v>0</v>
      </c>
      <c r="M60" s="1448">
        <f t="shared" ref="M60" si="26">SUM(M58:M59)</f>
        <v>0</v>
      </c>
      <c r="N60" s="1053"/>
      <c r="O60" s="35"/>
      <c r="P60" s="657"/>
      <c r="Q60" s="657"/>
      <c r="R60" s="657"/>
      <c r="S60" s="657"/>
      <c r="T60" s="657"/>
      <c r="U60" s="657"/>
      <c r="V60" s="657"/>
      <c r="W60" s="657"/>
      <c r="X60" s="657"/>
      <c r="Y60" s="657"/>
      <c r="Z60" s="657"/>
      <c r="AA60" s="657"/>
      <c r="AB60" s="657"/>
      <c r="AC60" s="657"/>
      <c r="AD60" s="657"/>
      <c r="AE60" s="657"/>
      <c r="AF60" s="657"/>
      <c r="AG60" s="657"/>
      <c r="AH60" s="657"/>
      <c r="AI60" s="657"/>
      <c r="AJ60" s="657"/>
      <c r="AK60" s="657"/>
      <c r="AL60" s="657"/>
      <c r="AM60" s="657"/>
      <c r="AN60" s="657"/>
      <c r="AO60" s="657"/>
      <c r="AP60" s="657"/>
      <c r="AQ60" s="657"/>
      <c r="AR60" s="657"/>
    </row>
    <row r="61" spans="1:44" s="285" customFormat="1" ht="13.15" customHeight="1" x14ac:dyDescent="0.2">
      <c r="A61" s="610"/>
      <c r="B61" s="72"/>
      <c r="C61" s="1056"/>
      <c r="D61" s="1447" t="str">
        <f>'geg LO'!D26</f>
        <v>Naam SBO 6</v>
      </c>
      <c r="E61" s="1000"/>
      <c r="F61" s="1449"/>
      <c r="G61" s="1120"/>
      <c r="H61" s="1120"/>
      <c r="I61" s="1120"/>
      <c r="J61" s="1120"/>
      <c r="K61" s="1120"/>
      <c r="L61" s="1120"/>
      <c r="M61" s="1120"/>
      <c r="N61" s="1056"/>
      <c r="O61" s="73"/>
      <c r="P61" s="610"/>
      <c r="Q61" s="610"/>
      <c r="R61" s="610"/>
      <c r="S61" s="610"/>
      <c r="T61" s="610"/>
      <c r="U61" s="610"/>
      <c r="V61" s="610"/>
      <c r="W61" s="610"/>
      <c r="X61" s="610"/>
      <c r="Y61" s="610"/>
      <c r="Z61" s="610"/>
      <c r="AA61" s="610"/>
      <c r="AB61" s="610"/>
      <c r="AC61" s="610"/>
      <c r="AD61" s="610"/>
      <c r="AE61" s="610"/>
      <c r="AF61" s="610"/>
      <c r="AG61" s="610"/>
      <c r="AH61" s="610"/>
      <c r="AI61" s="610"/>
      <c r="AJ61" s="610"/>
      <c r="AK61" s="610"/>
      <c r="AL61" s="610"/>
      <c r="AM61" s="610"/>
      <c r="AN61" s="610"/>
      <c r="AO61" s="610"/>
      <c r="AP61" s="610"/>
      <c r="AQ61" s="610"/>
      <c r="AR61" s="610"/>
    </row>
    <row r="62" spans="1:44" s="199" customFormat="1" ht="13.15" customHeight="1" x14ac:dyDescent="0.2">
      <c r="A62" s="657"/>
      <c r="B62" s="34"/>
      <c r="C62" s="1053"/>
      <c r="D62" s="1000" t="s">
        <v>15</v>
      </c>
      <c r="E62" s="1000"/>
      <c r="F62" s="1443" t="e">
        <f>ROUND(('geg LO'!F65-'geg LO'!F26)*IF('geg LO'!F78="ja",tab!#REF!,tab!#REF!+'geg LO'!F85*tab!#REF!),0)</f>
        <v>#REF!</v>
      </c>
      <c r="G62" s="1443">
        <f>ROUND(('geg LO'!G65-'geg LO'!G26)*IF('geg LO'!G78="ja",tab!$C49,tab!$C41+'geg LO'!G85*tab!$C42),0)</f>
        <v>0</v>
      </c>
      <c r="H62" s="1443">
        <f>ROUND(('geg LO'!H65-'geg LO'!H26)*IF('geg LO'!H78="ja",tab!$C49,tab!$C41+'geg LO'!H85*tab!$C42),0)</f>
        <v>0</v>
      </c>
      <c r="I62" s="1443">
        <f>ROUND(('geg LO'!I65-'geg LO'!I26)*IF('geg LO'!I78="ja",tab!$C49,tab!$C41+'geg LO'!I85*tab!$C42),0)</f>
        <v>0</v>
      </c>
      <c r="J62" s="1443">
        <f>ROUND(('geg LO'!J65-'geg LO'!J26)*IF('geg LO'!J78="ja",tab!$C49,tab!$C41+'geg LO'!J85*tab!$C42),0)</f>
        <v>0</v>
      </c>
      <c r="K62" s="1443">
        <f>ROUND(('geg LO'!K65-'geg LO'!K26)*IF('geg LO'!K78="ja",tab!$C49,tab!$C41+'geg LO'!K85*tab!$C42),0)</f>
        <v>0</v>
      </c>
      <c r="L62" s="1443">
        <f>ROUND(('geg LO'!L65-'geg LO'!L26)*IF('geg LO'!L78="ja",tab!$C49,tab!$C41+'geg LO'!L85*tab!$C42),0)</f>
        <v>0</v>
      </c>
      <c r="M62" s="1443">
        <f>ROUND(('geg LO'!M65-'geg LO'!M26)*IF('geg LO'!M78="ja",tab!$C49,tab!$C41+'geg LO'!M85*tab!$C42),0)</f>
        <v>0</v>
      </c>
      <c r="N62" s="1053"/>
      <c r="O62" s="35"/>
      <c r="P62" s="657"/>
      <c r="Q62" s="657"/>
      <c r="R62" s="657"/>
      <c r="S62" s="657"/>
      <c r="T62" s="657"/>
      <c r="U62" s="657"/>
      <c r="V62" s="657"/>
      <c r="W62" s="657"/>
      <c r="X62" s="657"/>
      <c r="Y62" s="657"/>
      <c r="Z62" s="657"/>
      <c r="AA62" s="657"/>
      <c r="AB62" s="657"/>
      <c r="AC62" s="657"/>
      <c r="AD62" s="657"/>
      <c r="AE62" s="657"/>
      <c r="AF62" s="657"/>
      <c r="AG62" s="657"/>
      <c r="AH62" s="657"/>
      <c r="AI62" s="657"/>
      <c r="AJ62" s="657"/>
      <c r="AK62" s="657"/>
      <c r="AL62" s="657"/>
      <c r="AM62" s="657"/>
      <c r="AN62" s="657"/>
      <c r="AO62" s="657"/>
      <c r="AP62" s="657"/>
      <c r="AQ62" s="657"/>
      <c r="AR62" s="657"/>
    </row>
    <row r="63" spans="1:44" s="199" customFormat="1" ht="13.15" customHeight="1" x14ac:dyDescent="0.2">
      <c r="A63" s="657"/>
      <c r="B63" s="34"/>
      <c r="C63" s="1053"/>
      <c r="D63" s="1000" t="s">
        <v>776</v>
      </c>
      <c r="E63" s="1000"/>
      <c r="F63" s="1443" t="e">
        <f>ROUND(('geg LO'!F65-'geg LO'!F47)*IF('geg LO'!F78="ja",tab!#REF!,tab!#REF!+'geg LO'!F85*tab!#REF!),0)</f>
        <v>#REF!</v>
      </c>
      <c r="G63" s="1443">
        <f>ROUND(('geg LO'!G65-'geg LO'!G47)*IF('geg LO'!G78="ja",tab!$C50,tab!$C43+'geg LO'!G85*tab!$C44),0)</f>
        <v>0</v>
      </c>
      <c r="H63" s="1443">
        <f>ROUND(('geg LO'!H65-'geg LO'!H47)*IF('geg LO'!H78="ja",tab!$C50,tab!$C43+'geg LO'!H85*tab!$C44),0)</f>
        <v>0</v>
      </c>
      <c r="I63" s="1443">
        <f>ROUND(('geg LO'!I65-'geg LO'!I47)*IF('geg LO'!I78="ja",tab!$C50,tab!$C43+'geg LO'!I85*tab!$C44),0)</f>
        <v>0</v>
      </c>
      <c r="J63" s="1443">
        <f>ROUND(('geg LO'!J65-'geg LO'!J47)*IF('geg LO'!J78="ja",tab!$C50,tab!$C43+'geg LO'!J85*tab!$C44),0)</f>
        <v>0</v>
      </c>
      <c r="K63" s="1443">
        <f>ROUND(('geg LO'!K65-'geg LO'!K47)*IF('geg LO'!K78="ja",tab!$C50,tab!$C43+'geg LO'!K85*tab!$C44),0)</f>
        <v>0</v>
      </c>
      <c r="L63" s="1443">
        <f>ROUND(('geg LO'!L65-'geg LO'!L47)*IF('geg LO'!L78="ja",tab!$C50,tab!$C43+'geg LO'!L85*tab!$C44),0)</f>
        <v>0</v>
      </c>
      <c r="M63" s="1443">
        <f>ROUND(('geg LO'!M65-'geg LO'!M47)*IF('geg LO'!M78="ja",tab!$C50,tab!$C43+'geg LO'!M85*tab!$C44),0)</f>
        <v>0</v>
      </c>
      <c r="N63" s="1053"/>
      <c r="O63" s="35"/>
      <c r="P63" s="657"/>
      <c r="Q63" s="657"/>
      <c r="R63" s="657"/>
      <c r="S63" s="657"/>
      <c r="T63" s="657"/>
      <c r="U63" s="657"/>
      <c r="V63" s="657"/>
      <c r="W63" s="657"/>
      <c r="X63" s="657"/>
      <c r="Y63" s="657"/>
      <c r="Z63" s="657"/>
      <c r="AA63" s="657"/>
      <c r="AB63" s="657"/>
      <c r="AC63" s="657"/>
      <c r="AD63" s="657"/>
      <c r="AE63" s="657"/>
      <c r="AF63" s="657"/>
      <c r="AG63" s="657"/>
      <c r="AH63" s="657"/>
      <c r="AI63" s="657"/>
      <c r="AJ63" s="657"/>
      <c r="AK63" s="657"/>
      <c r="AL63" s="657"/>
      <c r="AM63" s="657"/>
      <c r="AN63" s="657"/>
      <c r="AO63" s="657"/>
      <c r="AP63" s="657"/>
      <c r="AQ63" s="657"/>
      <c r="AR63" s="657"/>
    </row>
    <row r="64" spans="1:44" s="199" customFormat="1" ht="13.15" customHeight="1" x14ac:dyDescent="0.2">
      <c r="A64" s="657"/>
      <c r="B64" s="34"/>
      <c r="C64" s="1053"/>
      <c r="D64" s="1075"/>
      <c r="E64" s="1000"/>
      <c r="F64" s="1448" t="e">
        <f t="shared" ref="F64:L64" si="27">SUM(F62:F63)</f>
        <v>#REF!</v>
      </c>
      <c r="G64" s="1448">
        <f t="shared" si="27"/>
        <v>0</v>
      </c>
      <c r="H64" s="1448">
        <f t="shared" si="27"/>
        <v>0</v>
      </c>
      <c r="I64" s="1448">
        <f t="shared" si="27"/>
        <v>0</v>
      </c>
      <c r="J64" s="1448">
        <f t="shared" si="27"/>
        <v>0</v>
      </c>
      <c r="K64" s="1448">
        <f t="shared" si="27"/>
        <v>0</v>
      </c>
      <c r="L64" s="1448">
        <f t="shared" si="27"/>
        <v>0</v>
      </c>
      <c r="M64" s="1448">
        <f t="shared" ref="M64" si="28">SUM(M62:M63)</f>
        <v>0</v>
      </c>
      <c r="N64" s="1053"/>
      <c r="O64" s="35"/>
      <c r="P64" s="657"/>
      <c r="Q64" s="657"/>
      <c r="R64" s="657"/>
      <c r="S64" s="657"/>
      <c r="T64" s="657"/>
      <c r="U64" s="657"/>
      <c r="V64" s="657"/>
      <c r="W64" s="657"/>
      <c r="X64" s="657"/>
      <c r="Y64" s="657"/>
      <c r="Z64" s="657"/>
      <c r="AA64" s="657"/>
      <c r="AB64" s="657"/>
      <c r="AC64" s="657"/>
      <c r="AD64" s="657"/>
      <c r="AE64" s="657"/>
      <c r="AF64" s="657"/>
      <c r="AG64" s="657"/>
      <c r="AH64" s="657"/>
      <c r="AI64" s="657"/>
      <c r="AJ64" s="657"/>
      <c r="AK64" s="657"/>
      <c r="AL64" s="657"/>
      <c r="AM64" s="657"/>
      <c r="AN64" s="657"/>
      <c r="AO64" s="657"/>
      <c r="AP64" s="657"/>
      <c r="AQ64" s="657"/>
      <c r="AR64" s="657"/>
    </row>
    <row r="65" spans="1:44" s="199" customFormat="1" ht="13.15" customHeight="1" x14ac:dyDescent="0.2">
      <c r="A65" s="657"/>
      <c r="B65" s="34"/>
      <c r="C65" s="1053"/>
      <c r="D65" s="1447" t="str">
        <f>'geg LO'!D27</f>
        <v>Naam SBO 7</v>
      </c>
      <c r="E65" s="1000"/>
      <c r="F65" s="1449"/>
      <c r="G65" s="1120"/>
      <c r="H65" s="1120"/>
      <c r="I65" s="1120"/>
      <c r="J65" s="1120"/>
      <c r="K65" s="1120"/>
      <c r="L65" s="1120"/>
      <c r="M65" s="1120"/>
      <c r="N65" s="1053"/>
      <c r="O65" s="35"/>
      <c r="P65" s="657"/>
      <c r="Q65" s="657"/>
      <c r="R65" s="657"/>
      <c r="S65" s="657"/>
      <c r="T65" s="657"/>
      <c r="U65" s="657"/>
      <c r="V65" s="657"/>
      <c r="W65" s="657"/>
      <c r="X65" s="657"/>
      <c r="Y65" s="657"/>
      <c r="Z65" s="657"/>
      <c r="AA65" s="657"/>
      <c r="AB65" s="657"/>
      <c r="AC65" s="657"/>
      <c r="AD65" s="657"/>
      <c r="AE65" s="657"/>
      <c r="AF65" s="657"/>
      <c r="AG65" s="657"/>
      <c r="AH65" s="657"/>
      <c r="AI65" s="657"/>
      <c r="AJ65" s="657"/>
      <c r="AK65" s="657"/>
      <c r="AL65" s="657"/>
      <c r="AM65" s="657"/>
      <c r="AN65" s="657"/>
      <c r="AO65" s="657"/>
      <c r="AP65" s="657"/>
      <c r="AQ65" s="657"/>
      <c r="AR65" s="657"/>
    </row>
    <row r="66" spans="1:44" s="199" customFormat="1" ht="13.15" customHeight="1" x14ac:dyDescent="0.2">
      <c r="A66" s="657"/>
      <c r="B66" s="34"/>
      <c r="C66" s="1053"/>
      <c r="D66" s="1000" t="s">
        <v>15</v>
      </c>
      <c r="E66" s="1000"/>
      <c r="F66" s="1443" t="e">
        <f>ROUND(('geg LO'!F66-'geg LO'!F27)*IF('geg LO'!F$78="ja",tab!#REF!,tab!#REF!+'geg LO'!F86*tab!#REF!),0)</f>
        <v>#REF!</v>
      </c>
      <c r="G66" s="1443">
        <f>ROUND(('geg LO'!G66-'geg LO'!G27)*IF('geg LO'!G$78="ja",tab!$C$49,tab!$C$41+'geg LO'!G86*tab!$C$42),0)</f>
        <v>0</v>
      </c>
      <c r="H66" s="1443">
        <f>ROUND(('geg LO'!H66-'geg LO'!H27)*IF('geg LO'!H$78="ja",tab!$C$49,tab!$C$41+'geg LO'!H86*tab!$C$42),0)</f>
        <v>0</v>
      </c>
      <c r="I66" s="1443">
        <f>ROUND(('geg LO'!I66-'geg LO'!I27)*IF('geg LO'!I$78="ja",tab!$C$49,tab!$C$41+'geg LO'!I86*tab!$C$42),0)</f>
        <v>0</v>
      </c>
      <c r="J66" s="1443">
        <f>ROUND(('geg LO'!J66-'geg LO'!J27)*IF('geg LO'!J$78="ja",tab!$C$49,tab!$C$41+'geg LO'!J86*tab!$C$42),0)</f>
        <v>0</v>
      </c>
      <c r="K66" s="1443">
        <f>ROUND(('geg LO'!K66-'geg LO'!K27)*IF('geg LO'!K$78="ja",tab!$C$49,tab!$C$41+'geg LO'!K86*tab!$C$42),0)</f>
        <v>0</v>
      </c>
      <c r="L66" s="1443">
        <f>ROUND(('geg LO'!L66-'geg LO'!L27)*IF('geg LO'!L$78="ja",tab!$C$49,tab!$C$41+'geg LO'!L86*tab!$C$42),0)</f>
        <v>0</v>
      </c>
      <c r="M66" s="1443">
        <f>ROUND(('geg LO'!M66-'geg LO'!M27)*IF('geg LO'!M$78="ja",tab!$C$49,tab!$C$41+'geg LO'!M86*tab!$C$42),0)</f>
        <v>0</v>
      </c>
      <c r="N66" s="1053"/>
      <c r="O66" s="35"/>
      <c r="P66" s="657"/>
      <c r="Q66" s="657"/>
      <c r="R66" s="657"/>
      <c r="S66" s="657"/>
      <c r="T66" s="657"/>
      <c r="U66" s="657"/>
      <c r="V66" s="657"/>
      <c r="W66" s="657"/>
      <c r="X66" s="657"/>
      <c r="Y66" s="657"/>
      <c r="Z66" s="657"/>
      <c r="AA66" s="657"/>
      <c r="AB66" s="657"/>
      <c r="AC66" s="657"/>
      <c r="AD66" s="657"/>
      <c r="AE66" s="657"/>
      <c r="AF66" s="657"/>
      <c r="AG66" s="657"/>
      <c r="AH66" s="657"/>
      <c r="AI66" s="657"/>
      <c r="AJ66" s="657"/>
      <c r="AK66" s="657"/>
      <c r="AL66" s="657"/>
      <c r="AM66" s="657"/>
      <c r="AN66" s="657"/>
      <c r="AO66" s="657"/>
      <c r="AP66" s="657"/>
      <c r="AQ66" s="657"/>
      <c r="AR66" s="657"/>
    </row>
    <row r="67" spans="1:44" s="199" customFormat="1" ht="13.15" customHeight="1" x14ac:dyDescent="0.2">
      <c r="A67" s="657"/>
      <c r="B67" s="34"/>
      <c r="C67" s="1053"/>
      <c r="D67" s="1000" t="s">
        <v>776</v>
      </c>
      <c r="E67" s="1000"/>
      <c r="F67" s="1443" t="e">
        <f>ROUND(('geg LO'!F66-'geg LO'!F48)*IF('geg LO'!F$78="ja",tab!#REF!,tab!#REF!+'geg LO'!F86*tab!#REF!),0)</f>
        <v>#REF!</v>
      </c>
      <c r="G67" s="1443">
        <f>ROUND(('geg LO'!G66-'geg LO'!G48)*IF('geg LO'!G$78="ja",tab!$C$50,tab!$C$43+'geg LO'!G86*tab!$C$44),0)</f>
        <v>0</v>
      </c>
      <c r="H67" s="1443">
        <f>ROUND(('geg LO'!H66-'geg LO'!H48)*IF('geg LO'!H$78="ja",tab!$C$50,tab!$C$43+'geg LO'!H86*tab!$C$44),0)</f>
        <v>0</v>
      </c>
      <c r="I67" s="1443">
        <f>ROUND(('geg LO'!I66-'geg LO'!I48)*IF('geg LO'!I$78="ja",tab!$C$50,tab!$C$43+'geg LO'!I86*tab!$C$44),0)</f>
        <v>0</v>
      </c>
      <c r="J67" s="1443">
        <f>ROUND(('geg LO'!J66-'geg LO'!J48)*IF('geg LO'!J$78="ja",tab!$C$50,tab!$C$43+'geg LO'!J86*tab!$C$44),0)</f>
        <v>0</v>
      </c>
      <c r="K67" s="1443">
        <f>ROUND(('geg LO'!K66-'geg LO'!K48)*IF('geg LO'!K$78="ja",tab!$C$50,tab!$C$43+'geg LO'!K86*tab!$C$44),0)</f>
        <v>0</v>
      </c>
      <c r="L67" s="1443">
        <f>ROUND(('geg LO'!L66-'geg LO'!L48)*IF('geg LO'!L$78="ja",tab!$C$50,tab!$C$43+'geg LO'!L86*tab!$C$44),0)</f>
        <v>0</v>
      </c>
      <c r="M67" s="1443">
        <f>ROUND(('geg LO'!M66-'geg LO'!M48)*IF('geg LO'!M$78="ja",tab!$C$50,tab!$C$43+'geg LO'!M86*tab!$C$44),0)</f>
        <v>0</v>
      </c>
      <c r="N67" s="1053"/>
      <c r="O67" s="35"/>
      <c r="P67" s="657"/>
      <c r="Q67" s="657"/>
      <c r="R67" s="657"/>
      <c r="S67" s="657"/>
      <c r="T67" s="657"/>
      <c r="U67" s="657"/>
      <c r="V67" s="657"/>
      <c r="W67" s="657"/>
      <c r="X67" s="657"/>
      <c r="Y67" s="657"/>
      <c r="Z67" s="657"/>
      <c r="AA67" s="657"/>
      <c r="AB67" s="657"/>
      <c r="AC67" s="657"/>
      <c r="AD67" s="657"/>
      <c r="AE67" s="657"/>
      <c r="AF67" s="657"/>
      <c r="AG67" s="657"/>
      <c r="AH67" s="657"/>
      <c r="AI67" s="657"/>
      <c r="AJ67" s="657"/>
      <c r="AK67" s="657"/>
      <c r="AL67" s="657"/>
      <c r="AM67" s="657"/>
      <c r="AN67" s="657"/>
      <c r="AO67" s="657"/>
      <c r="AP67" s="657"/>
      <c r="AQ67" s="657"/>
      <c r="AR67" s="657"/>
    </row>
    <row r="68" spans="1:44" s="199" customFormat="1" ht="13.15" customHeight="1" x14ac:dyDescent="0.2">
      <c r="A68" s="657"/>
      <c r="B68" s="34"/>
      <c r="C68" s="1053"/>
      <c r="D68" s="1075"/>
      <c r="E68" s="1000"/>
      <c r="F68" s="1448" t="e">
        <f t="shared" ref="F68:L68" si="29">SUM(F66:F67)</f>
        <v>#REF!</v>
      </c>
      <c r="G68" s="1448">
        <f t="shared" si="29"/>
        <v>0</v>
      </c>
      <c r="H68" s="1448">
        <f t="shared" si="29"/>
        <v>0</v>
      </c>
      <c r="I68" s="1448">
        <f t="shared" si="29"/>
        <v>0</v>
      </c>
      <c r="J68" s="1448">
        <f t="shared" si="29"/>
        <v>0</v>
      </c>
      <c r="K68" s="1448">
        <f t="shared" si="29"/>
        <v>0</v>
      </c>
      <c r="L68" s="1448">
        <f t="shared" si="29"/>
        <v>0</v>
      </c>
      <c r="M68" s="1448">
        <f t="shared" ref="M68" si="30">SUM(M66:M67)</f>
        <v>0</v>
      </c>
      <c r="N68" s="1053"/>
      <c r="O68" s="35"/>
      <c r="P68" s="657"/>
      <c r="Q68" s="657"/>
      <c r="R68" s="657"/>
      <c r="S68" s="657"/>
      <c r="T68" s="657"/>
      <c r="U68" s="657"/>
      <c r="V68" s="657"/>
      <c r="W68" s="657"/>
      <c r="X68" s="657"/>
      <c r="Y68" s="657"/>
      <c r="Z68" s="657"/>
      <c r="AA68" s="657"/>
      <c r="AB68" s="657"/>
      <c r="AC68" s="657"/>
      <c r="AD68" s="657"/>
      <c r="AE68" s="657"/>
      <c r="AF68" s="657"/>
      <c r="AG68" s="657"/>
      <c r="AH68" s="657"/>
      <c r="AI68" s="657"/>
      <c r="AJ68" s="657"/>
      <c r="AK68" s="657"/>
      <c r="AL68" s="657"/>
      <c r="AM68" s="657"/>
      <c r="AN68" s="657"/>
      <c r="AO68" s="657"/>
      <c r="AP68" s="657"/>
      <c r="AQ68" s="657"/>
      <c r="AR68" s="657"/>
    </row>
    <row r="69" spans="1:44" s="199" customFormat="1" ht="13.15" customHeight="1" x14ac:dyDescent="0.2">
      <c r="A69" s="657"/>
      <c r="B69" s="34"/>
      <c r="C69" s="1053"/>
      <c r="D69" s="1447" t="str">
        <f>'geg LO'!D28</f>
        <v>Naam SBO 8</v>
      </c>
      <c r="E69" s="1000"/>
      <c r="F69" s="1449"/>
      <c r="G69" s="1120"/>
      <c r="H69" s="1120"/>
      <c r="I69" s="1120"/>
      <c r="J69" s="1120"/>
      <c r="K69" s="1120"/>
      <c r="L69" s="1120"/>
      <c r="M69" s="1120"/>
      <c r="N69" s="1053"/>
      <c r="O69" s="35"/>
      <c r="P69" s="657"/>
      <c r="Q69" s="657"/>
      <c r="R69" s="657"/>
      <c r="S69" s="657"/>
      <c r="T69" s="657"/>
      <c r="U69" s="657"/>
      <c r="V69" s="657"/>
      <c r="W69" s="657"/>
      <c r="X69" s="657"/>
      <c r="Y69" s="657"/>
      <c r="Z69" s="657"/>
      <c r="AA69" s="657"/>
      <c r="AB69" s="657"/>
      <c r="AC69" s="657"/>
      <c r="AD69" s="657"/>
      <c r="AE69" s="657"/>
      <c r="AF69" s="657"/>
      <c r="AG69" s="657"/>
      <c r="AH69" s="657"/>
      <c r="AI69" s="657"/>
      <c r="AJ69" s="657"/>
      <c r="AK69" s="657"/>
      <c r="AL69" s="657"/>
      <c r="AM69" s="657"/>
      <c r="AN69" s="657"/>
      <c r="AO69" s="657"/>
      <c r="AP69" s="657"/>
      <c r="AQ69" s="657"/>
      <c r="AR69" s="657"/>
    </row>
    <row r="70" spans="1:44" s="199" customFormat="1" ht="13.15" customHeight="1" x14ac:dyDescent="0.2">
      <c r="A70" s="657"/>
      <c r="B70" s="34"/>
      <c r="C70" s="1053"/>
      <c r="D70" s="1000" t="s">
        <v>15</v>
      </c>
      <c r="E70" s="1000"/>
      <c r="F70" s="1443" t="e">
        <f>ROUND(('geg LO'!F67-'geg LO'!F28)*IF('geg LO'!F$78="ja",tab!#REF!,tab!#REF!+'geg LO'!F87*tab!#REF!),0)</f>
        <v>#REF!</v>
      </c>
      <c r="G70" s="1443">
        <f>ROUND(('geg LO'!G67-'geg LO'!G28)*IF('geg LO'!G$78="ja",tab!$C$49,tab!$C$41+'geg LO'!G90*tab!$C$42),0)</f>
        <v>0</v>
      </c>
      <c r="H70" s="1443">
        <f>ROUND(('geg LO'!H67-'geg LO'!H28)*IF('geg LO'!H$78="ja",tab!$C$49,tab!$C$41+'geg LO'!H90*tab!$C$42),0)</f>
        <v>0</v>
      </c>
      <c r="I70" s="1443">
        <f>ROUND(('geg LO'!I67-'geg LO'!I28)*IF('geg LO'!I$78="ja",tab!$C$49,tab!$C$41+'geg LO'!I90*tab!$C$42),0)</f>
        <v>0</v>
      </c>
      <c r="J70" s="1443">
        <f>ROUND(('geg LO'!J67-'geg LO'!J28)*IF('geg LO'!J$78="ja",tab!$C$49,tab!$C$41+'geg LO'!J90*tab!$C$42),0)</f>
        <v>0</v>
      </c>
      <c r="K70" s="1443">
        <f>ROUND(('geg LO'!K67-'geg LO'!K28)*IF('geg LO'!K$78="ja",tab!$C$49,tab!$C$41+'geg LO'!K90*tab!$C$42),0)</f>
        <v>0</v>
      </c>
      <c r="L70" s="1443">
        <f>ROUND(('geg LO'!L67-'geg LO'!L28)*IF('geg LO'!L$78="ja",tab!$C$49,tab!$C$41+'geg LO'!L90*tab!$C$42),0)</f>
        <v>0</v>
      </c>
      <c r="M70" s="1443">
        <f>ROUND(('geg LO'!M67-'geg LO'!M28)*IF('geg LO'!M$78="ja",tab!$C$49,tab!$C$41+'geg LO'!M90*tab!$C$42),0)</f>
        <v>0</v>
      </c>
      <c r="N70" s="1053"/>
      <c r="O70" s="35"/>
      <c r="P70" s="657"/>
      <c r="Q70" s="657"/>
      <c r="R70" s="657"/>
      <c r="S70" s="657"/>
      <c r="T70" s="657"/>
      <c r="U70" s="657"/>
      <c r="V70" s="657"/>
      <c r="W70" s="657"/>
      <c r="X70" s="657"/>
      <c r="Y70" s="657"/>
      <c r="Z70" s="657"/>
      <c r="AA70" s="657"/>
      <c r="AB70" s="657"/>
      <c r="AC70" s="657"/>
      <c r="AD70" s="657"/>
      <c r="AE70" s="657"/>
      <c r="AF70" s="657"/>
      <c r="AG70" s="657"/>
      <c r="AH70" s="657"/>
      <c r="AI70" s="657"/>
      <c r="AJ70" s="657"/>
      <c r="AK70" s="657"/>
      <c r="AL70" s="657"/>
      <c r="AM70" s="657"/>
      <c r="AN70" s="657"/>
      <c r="AO70" s="657"/>
      <c r="AP70" s="657"/>
      <c r="AQ70" s="657"/>
      <c r="AR70" s="657"/>
    </row>
    <row r="71" spans="1:44" s="199" customFormat="1" ht="13.15" customHeight="1" x14ac:dyDescent="0.2">
      <c r="A71" s="657"/>
      <c r="B71" s="34"/>
      <c r="C71" s="1053"/>
      <c r="D71" s="1000" t="s">
        <v>776</v>
      </c>
      <c r="E71" s="1000"/>
      <c r="F71" s="1443" t="e">
        <f>ROUND(('geg LO'!F67-'geg LO'!F49)*IF('geg LO'!F$78="ja",tab!#REF!,tab!#REF!+'geg LO'!F87*tab!#REF!),0)</f>
        <v>#REF!</v>
      </c>
      <c r="G71" s="1443">
        <f>ROUND(('geg LO'!G67-'geg LO'!G49)*IF('geg LO'!G$78="ja",tab!$C$50,tab!$C$43+'geg LO'!G87*tab!$C$44),0)</f>
        <v>0</v>
      </c>
      <c r="H71" s="1443">
        <f>ROUND(('geg LO'!H67-'geg LO'!H49)*IF('geg LO'!H$78="ja",tab!$C$50,tab!$C$43+'geg LO'!H87*tab!$C$44),0)</f>
        <v>0</v>
      </c>
      <c r="I71" s="1443">
        <f>ROUND(('geg LO'!I67-'geg LO'!I49)*IF('geg LO'!I$78="ja",tab!$C$50,tab!$C$43+'geg LO'!I87*tab!$C$44),0)</f>
        <v>0</v>
      </c>
      <c r="J71" s="1443">
        <f>ROUND(('geg LO'!J67-'geg LO'!J49)*IF('geg LO'!J$78="ja",tab!$C$50,tab!$C$43+'geg LO'!J87*tab!$C$44),0)</f>
        <v>0</v>
      </c>
      <c r="K71" s="1443">
        <f>ROUND(('geg LO'!K67-'geg LO'!K49)*IF('geg LO'!K$78="ja",tab!$C$50,tab!$C$43+'geg LO'!K87*tab!$C$44),0)</f>
        <v>0</v>
      </c>
      <c r="L71" s="1443">
        <f>ROUND(('geg LO'!L67-'geg LO'!L49)*IF('geg LO'!L$78="ja",tab!$C$50,tab!$C$43+'geg LO'!L87*tab!$C$44),0)</f>
        <v>0</v>
      </c>
      <c r="M71" s="1443">
        <f>ROUND(('geg LO'!M67-'geg LO'!M49)*IF('geg LO'!M$78="ja",tab!$C$50,tab!$C$43+'geg LO'!M87*tab!$C$44),0)</f>
        <v>0</v>
      </c>
      <c r="N71" s="1053"/>
      <c r="O71" s="35"/>
      <c r="P71" s="657"/>
      <c r="Q71" s="657"/>
      <c r="R71" s="657"/>
      <c r="S71" s="657"/>
      <c r="T71" s="657"/>
      <c r="U71" s="657"/>
      <c r="V71" s="657"/>
      <c r="W71" s="657"/>
      <c r="X71" s="657"/>
      <c r="Y71" s="657"/>
      <c r="Z71" s="657"/>
      <c r="AA71" s="657"/>
      <c r="AB71" s="657"/>
      <c r="AC71" s="657"/>
      <c r="AD71" s="657"/>
      <c r="AE71" s="657"/>
      <c r="AF71" s="657"/>
      <c r="AG71" s="657"/>
      <c r="AH71" s="657"/>
      <c r="AI71" s="657"/>
      <c r="AJ71" s="657"/>
      <c r="AK71" s="657"/>
      <c r="AL71" s="657"/>
      <c r="AM71" s="657"/>
      <c r="AN71" s="657"/>
      <c r="AO71" s="657"/>
      <c r="AP71" s="657"/>
      <c r="AQ71" s="657"/>
      <c r="AR71" s="657"/>
    </row>
    <row r="72" spans="1:44" s="199" customFormat="1" ht="13.15" customHeight="1" x14ac:dyDescent="0.2">
      <c r="A72" s="657"/>
      <c r="B72" s="34"/>
      <c r="C72" s="1053"/>
      <c r="D72" s="1075"/>
      <c r="E72" s="1000"/>
      <c r="F72" s="1448" t="e">
        <f t="shared" ref="F72:L72" si="31">SUM(F70:F71)</f>
        <v>#REF!</v>
      </c>
      <c r="G72" s="1448">
        <f t="shared" si="31"/>
        <v>0</v>
      </c>
      <c r="H72" s="1448">
        <f t="shared" si="31"/>
        <v>0</v>
      </c>
      <c r="I72" s="1448">
        <f t="shared" si="31"/>
        <v>0</v>
      </c>
      <c r="J72" s="1448">
        <f t="shared" si="31"/>
        <v>0</v>
      </c>
      <c r="K72" s="1448">
        <f t="shared" si="31"/>
        <v>0</v>
      </c>
      <c r="L72" s="1448">
        <f t="shared" si="31"/>
        <v>0</v>
      </c>
      <c r="M72" s="1448">
        <f t="shared" ref="M72" si="32">SUM(M70:M71)</f>
        <v>0</v>
      </c>
      <c r="N72" s="1053"/>
      <c r="O72" s="35"/>
      <c r="P72" s="657"/>
      <c r="Q72" s="657"/>
      <c r="R72" s="657"/>
      <c r="S72" s="657"/>
      <c r="T72" s="657"/>
      <c r="U72" s="657"/>
      <c r="V72" s="657"/>
      <c r="W72" s="657"/>
      <c r="X72" s="657"/>
      <c r="Y72" s="657"/>
      <c r="Z72" s="657"/>
      <c r="AA72" s="657"/>
      <c r="AB72" s="657"/>
      <c r="AC72" s="657"/>
      <c r="AD72" s="657"/>
      <c r="AE72" s="657"/>
      <c r="AF72" s="657"/>
      <c r="AG72" s="657"/>
      <c r="AH72" s="657"/>
      <c r="AI72" s="657"/>
      <c r="AJ72" s="657"/>
      <c r="AK72" s="657"/>
      <c r="AL72" s="657"/>
      <c r="AM72" s="657"/>
      <c r="AN72" s="657"/>
      <c r="AO72" s="657"/>
      <c r="AP72" s="657"/>
      <c r="AQ72" s="657"/>
      <c r="AR72" s="657"/>
    </row>
    <row r="73" spans="1:44" s="199" customFormat="1" ht="13.15" customHeight="1" x14ac:dyDescent="0.2">
      <c r="A73" s="657"/>
      <c r="B73" s="34"/>
      <c r="C73" s="1053"/>
      <c r="D73" s="1447" t="str">
        <f>'geg LO'!D29</f>
        <v>Naam SBO 9</v>
      </c>
      <c r="E73" s="1000"/>
      <c r="F73" s="1449"/>
      <c r="G73" s="1120"/>
      <c r="H73" s="1120"/>
      <c r="I73" s="1120"/>
      <c r="J73" s="1120"/>
      <c r="K73" s="1120"/>
      <c r="L73" s="1120"/>
      <c r="M73" s="1120"/>
      <c r="N73" s="1053"/>
      <c r="O73" s="35"/>
      <c r="P73" s="657"/>
      <c r="Q73" s="657"/>
      <c r="R73" s="657"/>
      <c r="S73" s="657"/>
      <c r="T73" s="657"/>
      <c r="U73" s="657"/>
      <c r="V73" s="657"/>
      <c r="W73" s="657"/>
      <c r="X73" s="657"/>
      <c r="Y73" s="657"/>
      <c r="Z73" s="657"/>
      <c r="AA73" s="657"/>
      <c r="AB73" s="657"/>
      <c r="AC73" s="657"/>
      <c r="AD73" s="657"/>
      <c r="AE73" s="657"/>
      <c r="AF73" s="657"/>
      <c r="AG73" s="657"/>
      <c r="AH73" s="657"/>
      <c r="AI73" s="657"/>
      <c r="AJ73" s="657"/>
      <c r="AK73" s="657"/>
      <c r="AL73" s="657"/>
      <c r="AM73" s="657"/>
      <c r="AN73" s="657"/>
      <c r="AO73" s="657"/>
      <c r="AP73" s="657"/>
      <c r="AQ73" s="657"/>
      <c r="AR73" s="657"/>
    </row>
    <row r="74" spans="1:44" s="199" customFormat="1" ht="13.15" customHeight="1" x14ac:dyDescent="0.2">
      <c r="A74" s="657"/>
      <c r="B74" s="34"/>
      <c r="C74" s="1053"/>
      <c r="D74" s="1000" t="s">
        <v>15</v>
      </c>
      <c r="E74" s="1000"/>
      <c r="F74" s="1443" t="e">
        <f>ROUND(('geg LO'!F68-'geg LO'!F29)*IF('geg LO'!F$78="ja",tab!#REF!,tab!#REF!+'geg LO'!F88*tab!#REF!),0)</f>
        <v>#REF!</v>
      </c>
      <c r="G74" s="1443">
        <f>ROUND(('geg LO'!G68-'geg LO'!G29)*IF('geg LO'!G$78="ja",tab!$C$49,tab!$C$41+'geg LO'!G94*tab!$C$42),0)</f>
        <v>0</v>
      </c>
      <c r="H74" s="1443">
        <f>ROUND(('geg LO'!H68-'geg LO'!H29)*IF('geg LO'!H$78="ja",tab!$C$49,tab!$C$41+'geg LO'!H94*tab!$C$42),0)</f>
        <v>0</v>
      </c>
      <c r="I74" s="1443">
        <f>ROUND(('geg LO'!I68-'geg LO'!I29)*IF('geg LO'!I$78="ja",tab!$C$49,tab!$C$41+'geg LO'!I94*tab!$C$42),0)</f>
        <v>0</v>
      </c>
      <c r="J74" s="1443">
        <f>ROUND(('geg LO'!J68-'geg LO'!J29)*IF('geg LO'!J$78="ja",tab!$C$49,tab!$C$41+'geg LO'!J94*tab!$C$42),0)</f>
        <v>0</v>
      </c>
      <c r="K74" s="1443">
        <f>ROUND(('geg LO'!K68-'geg LO'!K29)*IF('geg LO'!K$78="ja",tab!$C$49,tab!$C$41+'geg LO'!K94*tab!$C$42),0)</f>
        <v>0</v>
      </c>
      <c r="L74" s="1443">
        <f>ROUND(('geg LO'!L68-'geg LO'!L29)*IF('geg LO'!L$78="ja",tab!$C$49,tab!$C$41+'geg LO'!L94*tab!$C$42),0)</f>
        <v>0</v>
      </c>
      <c r="M74" s="1443">
        <f>ROUND(('geg LO'!M68-'geg LO'!M29)*IF('geg LO'!M$78="ja",tab!$C$49,tab!$C$41+'geg LO'!M94*tab!$C$42),0)</f>
        <v>0</v>
      </c>
      <c r="N74" s="1053"/>
      <c r="O74" s="35"/>
      <c r="P74" s="657"/>
      <c r="Q74" s="657"/>
      <c r="R74" s="657"/>
      <c r="S74" s="657"/>
      <c r="T74" s="657"/>
      <c r="U74" s="657"/>
      <c r="V74" s="657"/>
      <c r="W74" s="657"/>
      <c r="X74" s="657"/>
      <c r="Y74" s="657"/>
      <c r="Z74" s="657"/>
      <c r="AA74" s="657"/>
      <c r="AB74" s="657"/>
      <c r="AC74" s="657"/>
      <c r="AD74" s="657"/>
      <c r="AE74" s="657"/>
      <c r="AF74" s="657"/>
      <c r="AG74" s="657"/>
      <c r="AH74" s="657"/>
      <c r="AI74" s="657"/>
      <c r="AJ74" s="657"/>
      <c r="AK74" s="657"/>
      <c r="AL74" s="657"/>
      <c r="AM74" s="657"/>
      <c r="AN74" s="657"/>
      <c r="AO74" s="657"/>
      <c r="AP74" s="657"/>
      <c r="AQ74" s="657"/>
      <c r="AR74" s="657"/>
    </row>
    <row r="75" spans="1:44" s="199" customFormat="1" ht="13.15" customHeight="1" x14ac:dyDescent="0.2">
      <c r="A75" s="657"/>
      <c r="B75" s="34"/>
      <c r="C75" s="1053"/>
      <c r="D75" s="1000" t="s">
        <v>776</v>
      </c>
      <c r="E75" s="1000"/>
      <c r="F75" s="1443" t="e">
        <f>ROUND(('geg LO'!F68-'geg LO'!F50)*IF('geg LO'!F$78="ja",tab!#REF!,tab!#REF!+'geg LO'!F88*tab!#REF!),0)</f>
        <v>#REF!</v>
      </c>
      <c r="G75" s="1443">
        <f>ROUND(('geg LO'!G68-'geg LO'!G50)*IF('geg LO'!G$78="ja",tab!$C$50,tab!$C$43+'geg LO'!G88*tab!$C$44),0)</f>
        <v>0</v>
      </c>
      <c r="H75" s="1443">
        <f>ROUND(('geg LO'!H68-'geg LO'!H50)*IF('geg LO'!H$78="ja",tab!$C$50,tab!$C$43+'geg LO'!H88*tab!$C$44),0)</f>
        <v>0</v>
      </c>
      <c r="I75" s="1443">
        <f>ROUND(('geg LO'!I68-'geg LO'!I50)*IF('geg LO'!I$78="ja",tab!$C$50,tab!$C$43+'geg LO'!I88*tab!$C$44),0)</f>
        <v>0</v>
      </c>
      <c r="J75" s="1443">
        <f>ROUND(('geg LO'!J68-'geg LO'!J50)*IF('geg LO'!J$78="ja",tab!$C$50,tab!$C$43+'geg LO'!J88*tab!$C$44),0)</f>
        <v>0</v>
      </c>
      <c r="K75" s="1443">
        <f>ROUND(('geg LO'!K68-'geg LO'!K50)*IF('geg LO'!K$78="ja",tab!$C$50,tab!$C$43+'geg LO'!K88*tab!$C$44),0)</f>
        <v>0</v>
      </c>
      <c r="L75" s="1443">
        <f>ROUND(('geg LO'!L68-'geg LO'!L50)*IF('geg LO'!L$78="ja",tab!$C$50,tab!$C$43+'geg LO'!L88*tab!$C$44),0)</f>
        <v>0</v>
      </c>
      <c r="M75" s="1443">
        <f>ROUND(('geg LO'!M68-'geg LO'!M50)*IF('geg LO'!M$78="ja",tab!$C$50,tab!$C$43+'geg LO'!M88*tab!$C$44),0)</f>
        <v>0</v>
      </c>
      <c r="N75" s="1053"/>
      <c r="O75" s="35"/>
      <c r="P75" s="657"/>
      <c r="Q75" s="657"/>
      <c r="R75" s="657"/>
      <c r="S75" s="657"/>
      <c r="T75" s="657"/>
      <c r="U75" s="657"/>
      <c r="V75" s="657"/>
      <c r="W75" s="657"/>
      <c r="X75" s="657"/>
      <c r="Y75" s="657"/>
      <c r="Z75" s="657"/>
      <c r="AA75" s="657"/>
      <c r="AB75" s="657"/>
      <c r="AC75" s="657"/>
      <c r="AD75" s="657"/>
      <c r="AE75" s="657"/>
      <c r="AF75" s="657"/>
      <c r="AG75" s="657"/>
      <c r="AH75" s="657"/>
      <c r="AI75" s="657"/>
      <c r="AJ75" s="657"/>
      <c r="AK75" s="657"/>
      <c r="AL75" s="657"/>
      <c r="AM75" s="657"/>
      <c r="AN75" s="657"/>
      <c r="AO75" s="657"/>
      <c r="AP75" s="657"/>
      <c r="AQ75" s="657"/>
      <c r="AR75" s="657"/>
    </row>
    <row r="76" spans="1:44" s="199" customFormat="1" ht="13.15" customHeight="1" x14ac:dyDescent="0.2">
      <c r="A76" s="657"/>
      <c r="B76" s="34"/>
      <c r="C76" s="1053"/>
      <c r="D76" s="1075"/>
      <c r="E76" s="1000"/>
      <c r="F76" s="1448" t="e">
        <f t="shared" ref="F76:L76" si="33">SUM(F74:F75)</f>
        <v>#REF!</v>
      </c>
      <c r="G76" s="1448">
        <f t="shared" si="33"/>
        <v>0</v>
      </c>
      <c r="H76" s="1448">
        <f t="shared" si="33"/>
        <v>0</v>
      </c>
      <c r="I76" s="1448">
        <f t="shared" si="33"/>
        <v>0</v>
      </c>
      <c r="J76" s="1448">
        <f t="shared" si="33"/>
        <v>0</v>
      </c>
      <c r="K76" s="1448">
        <f t="shared" si="33"/>
        <v>0</v>
      </c>
      <c r="L76" s="1448">
        <f t="shared" si="33"/>
        <v>0</v>
      </c>
      <c r="M76" s="1448">
        <f t="shared" ref="M76" si="34">SUM(M74:M75)</f>
        <v>0</v>
      </c>
      <c r="N76" s="1053"/>
      <c r="O76" s="35"/>
      <c r="P76" s="657"/>
      <c r="Q76" s="657"/>
      <c r="R76" s="657"/>
      <c r="S76" s="657"/>
      <c r="T76" s="657"/>
      <c r="U76" s="657"/>
      <c r="V76" s="657"/>
      <c r="W76" s="657"/>
      <c r="X76" s="657"/>
      <c r="Y76" s="657"/>
      <c r="Z76" s="657"/>
      <c r="AA76" s="657"/>
      <c r="AB76" s="657"/>
      <c r="AC76" s="657"/>
      <c r="AD76" s="657"/>
      <c r="AE76" s="657"/>
      <c r="AF76" s="657"/>
      <c r="AG76" s="657"/>
      <c r="AH76" s="657"/>
      <c r="AI76" s="657"/>
      <c r="AJ76" s="657"/>
      <c r="AK76" s="657"/>
      <c r="AL76" s="657"/>
      <c r="AM76" s="657"/>
      <c r="AN76" s="657"/>
      <c r="AO76" s="657"/>
      <c r="AP76" s="657"/>
      <c r="AQ76" s="657"/>
      <c r="AR76" s="657"/>
    </row>
    <row r="77" spans="1:44" s="199" customFormat="1" ht="13.15" customHeight="1" x14ac:dyDescent="0.2">
      <c r="A77" s="657"/>
      <c r="B77" s="34"/>
      <c r="C77" s="1053"/>
      <c r="D77" s="1447" t="str">
        <f>'geg LO'!D30</f>
        <v>Naam SBO 10</v>
      </c>
      <c r="E77" s="1000"/>
      <c r="F77" s="1120"/>
      <c r="G77" s="1120"/>
      <c r="H77" s="1120"/>
      <c r="I77" s="1120"/>
      <c r="J77" s="1120"/>
      <c r="K77" s="1120"/>
      <c r="L77" s="1120"/>
      <c r="M77" s="1120"/>
      <c r="N77" s="1053"/>
      <c r="O77" s="35"/>
      <c r="P77" s="657"/>
      <c r="Q77" s="657"/>
      <c r="R77" s="657"/>
      <c r="S77" s="657"/>
      <c r="T77" s="657"/>
      <c r="U77" s="657"/>
      <c r="V77" s="657"/>
      <c r="W77" s="657"/>
      <c r="X77" s="657"/>
      <c r="Y77" s="657"/>
      <c r="Z77" s="657"/>
      <c r="AA77" s="657"/>
      <c r="AB77" s="657"/>
      <c r="AC77" s="657"/>
      <c r="AD77" s="657"/>
      <c r="AE77" s="657"/>
      <c r="AF77" s="657"/>
      <c r="AG77" s="657"/>
      <c r="AH77" s="657"/>
      <c r="AI77" s="657"/>
      <c r="AJ77" s="657"/>
      <c r="AK77" s="657"/>
      <c r="AL77" s="657"/>
      <c r="AM77" s="657"/>
      <c r="AN77" s="657"/>
      <c r="AO77" s="657"/>
      <c r="AP77" s="657"/>
      <c r="AQ77" s="657"/>
      <c r="AR77" s="657"/>
    </row>
    <row r="78" spans="1:44" s="199" customFormat="1" ht="13.15" customHeight="1" x14ac:dyDescent="0.2">
      <c r="A78" s="657"/>
      <c r="B78" s="34"/>
      <c r="C78" s="1053"/>
      <c r="D78" s="1000" t="s">
        <v>15</v>
      </c>
      <c r="E78" s="1000"/>
      <c r="F78" s="1443" t="e">
        <f>ROUND(('geg LO'!F69-'geg LO'!F30)*IF('geg LO'!F$78="ja",tab!#REF!,tab!#REF!+'geg LO'!F89*tab!#REF!),0)</f>
        <v>#REF!</v>
      </c>
      <c r="G78" s="1443">
        <f>ROUND(('geg LO'!G69-'geg LO'!G30)*IF('geg LO'!G$78="ja",tab!C$49,tab!C$41+'geg LO'!G89*tab!C$42),0)</f>
        <v>0</v>
      </c>
      <c r="H78" s="1443">
        <f>ROUND(('geg LO'!H69-'geg LO'!H30)*IF('geg LO'!H$78="ja",tab!D$49,tab!D$41+'geg LO'!H89*tab!D$42),0)</f>
        <v>0</v>
      </c>
      <c r="I78" s="1443">
        <f>ROUND(('geg LO'!I69-'geg LO'!I30)*IF('geg LO'!I$78="ja",tab!E$49,tab!E$41+'geg LO'!I89*tab!E$42),0)</f>
        <v>0</v>
      </c>
      <c r="J78" s="1443">
        <f>ROUND(('geg LO'!J69-'geg LO'!J30)*IF('geg LO'!J$78="ja",tab!F$49,tab!F$41+'geg LO'!J89*tab!F$42),0)</f>
        <v>0</v>
      </c>
      <c r="K78" s="1443">
        <f>ROUND(('geg LO'!K69-'geg LO'!K30)*IF('geg LO'!K$78="ja",tab!G$49,tab!G$41+'geg LO'!K89*tab!G$42),0)</f>
        <v>0</v>
      </c>
      <c r="L78" s="1443">
        <f>ROUND(('geg LO'!L69-'geg LO'!L30)*IF('geg LO'!L$78="ja",tab!H$49,tab!H$41+'geg LO'!L89*tab!H$42),0)</f>
        <v>0</v>
      </c>
      <c r="M78" s="1443">
        <f>ROUND(('geg LO'!M69-'geg LO'!M30)*IF('geg LO'!M$78="ja",tab!I$49,tab!I$41+'geg LO'!M89*tab!I$42),0)</f>
        <v>0</v>
      </c>
      <c r="N78" s="1053"/>
      <c r="O78" s="35"/>
      <c r="P78" s="657"/>
      <c r="Q78" s="657"/>
      <c r="R78" s="657"/>
      <c r="S78" s="657"/>
      <c r="T78" s="657"/>
      <c r="U78" s="657"/>
      <c r="V78" s="657"/>
      <c r="W78" s="657"/>
      <c r="X78" s="657"/>
      <c r="Y78" s="657"/>
      <c r="Z78" s="657"/>
      <c r="AA78" s="657"/>
      <c r="AB78" s="657"/>
      <c r="AC78" s="657"/>
      <c r="AD78" s="657"/>
      <c r="AE78" s="657"/>
      <c r="AF78" s="657"/>
      <c r="AG78" s="657"/>
      <c r="AH78" s="657"/>
      <c r="AI78" s="657"/>
      <c r="AJ78" s="657"/>
      <c r="AK78" s="657"/>
      <c r="AL78" s="657"/>
      <c r="AM78" s="657"/>
      <c r="AN78" s="657"/>
      <c r="AO78" s="657"/>
      <c r="AP78" s="657"/>
      <c r="AQ78" s="657"/>
      <c r="AR78" s="657"/>
    </row>
    <row r="79" spans="1:44" s="199" customFormat="1" ht="13.15" customHeight="1" x14ac:dyDescent="0.2">
      <c r="A79" s="657"/>
      <c r="B79" s="34"/>
      <c r="C79" s="1053"/>
      <c r="D79" s="1000" t="s">
        <v>776</v>
      </c>
      <c r="E79" s="1000"/>
      <c r="F79" s="1443" t="e">
        <f>ROUND(('geg LO'!F69-'geg LO'!F51)*IF('geg LO'!F$78="ja",tab!#REF!,tab!#REF!+'geg LO'!F89*tab!#REF!),0)</f>
        <v>#REF!</v>
      </c>
      <c r="G79" s="1443">
        <f>ROUND(('geg LO'!G69-'geg LO'!G51)*IF('geg LO'!G$78="ja",tab!$C$50,tab!$C$43+'geg LO'!G89*tab!$C$44),0)</f>
        <v>0</v>
      </c>
      <c r="H79" s="1443">
        <f>ROUND(('geg LO'!H69-'geg LO'!H51)*IF('geg LO'!H$78="ja",tab!$C$50,tab!$C$43+'geg LO'!H89*tab!$C$44),0)</f>
        <v>0</v>
      </c>
      <c r="I79" s="1443">
        <f>ROUND(('geg LO'!I69-'geg LO'!I51)*IF('geg LO'!I$78="ja",tab!$C$50,tab!$C$43+'geg LO'!I89*tab!$C$44),0)</f>
        <v>0</v>
      </c>
      <c r="J79" s="1443">
        <f>ROUND(('geg LO'!J69-'geg LO'!J51)*IF('geg LO'!J$78="ja",tab!$C$50,tab!$C$43+'geg LO'!J89*tab!$C$44),0)</f>
        <v>0</v>
      </c>
      <c r="K79" s="1443">
        <f>ROUND(('geg LO'!K69-'geg LO'!K51)*IF('geg LO'!K$78="ja",tab!$C$50,tab!$C$43+'geg LO'!K89*tab!$C$44),0)</f>
        <v>0</v>
      </c>
      <c r="L79" s="1443">
        <f>ROUND(('geg LO'!L69-'geg LO'!L51)*IF('geg LO'!L$78="ja",tab!$C$50,tab!$C$43+'geg LO'!L89*tab!$C$44),0)</f>
        <v>0</v>
      </c>
      <c r="M79" s="1443">
        <f>ROUND(('geg LO'!M69-'geg LO'!M51)*IF('geg LO'!M$78="ja",tab!$C$50,tab!$C$43+'geg LO'!M89*tab!$C$44),0)</f>
        <v>0</v>
      </c>
      <c r="N79" s="1053"/>
      <c r="O79" s="35"/>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657"/>
      <c r="AP79" s="657"/>
      <c r="AQ79" s="657"/>
      <c r="AR79" s="657"/>
    </row>
    <row r="80" spans="1:44" s="199" customFormat="1" ht="13.15" customHeight="1" x14ac:dyDescent="0.2">
      <c r="A80" s="657"/>
      <c r="B80" s="34"/>
      <c r="C80" s="1053"/>
      <c r="D80" s="1075"/>
      <c r="E80" s="1000"/>
      <c r="F80" s="1448" t="e">
        <f t="shared" ref="F80:L80" si="35">SUM(F78:F79)</f>
        <v>#REF!</v>
      </c>
      <c r="G80" s="1448">
        <f t="shared" si="35"/>
        <v>0</v>
      </c>
      <c r="H80" s="1448">
        <f t="shared" si="35"/>
        <v>0</v>
      </c>
      <c r="I80" s="1448">
        <f t="shared" si="35"/>
        <v>0</v>
      </c>
      <c r="J80" s="1448">
        <f t="shared" si="35"/>
        <v>0</v>
      </c>
      <c r="K80" s="1448">
        <f t="shared" si="35"/>
        <v>0</v>
      </c>
      <c r="L80" s="1448">
        <f t="shared" si="35"/>
        <v>0</v>
      </c>
      <c r="M80" s="1448">
        <f t="shared" ref="M80" si="36">SUM(M78:M79)</f>
        <v>0</v>
      </c>
      <c r="N80" s="1053"/>
      <c r="O80" s="35"/>
      <c r="P80" s="657"/>
      <c r="Q80" s="657"/>
      <c r="R80" s="657"/>
      <c r="S80" s="657"/>
      <c r="T80" s="657"/>
      <c r="U80" s="657"/>
      <c r="V80" s="657"/>
      <c r="W80" s="657"/>
      <c r="X80" s="657"/>
      <c r="Y80" s="657"/>
      <c r="Z80" s="657"/>
      <c r="AA80" s="657"/>
      <c r="AB80" s="657"/>
      <c r="AC80" s="657"/>
      <c r="AD80" s="657"/>
      <c r="AE80" s="657"/>
      <c r="AF80" s="657"/>
      <c r="AG80" s="657"/>
      <c r="AH80" s="657"/>
      <c r="AI80" s="657"/>
      <c r="AJ80" s="657"/>
      <c r="AK80" s="657"/>
      <c r="AL80" s="657"/>
      <c r="AM80" s="657"/>
      <c r="AN80" s="657"/>
      <c r="AO80" s="657"/>
      <c r="AP80" s="657"/>
      <c r="AQ80" s="657"/>
      <c r="AR80" s="657"/>
    </row>
    <row r="81" spans="1:44" s="199" customFormat="1" ht="13.15" customHeight="1" x14ac:dyDescent="0.2">
      <c r="A81" s="657"/>
      <c r="B81" s="34"/>
      <c r="C81" s="1053"/>
      <c r="D81" s="1447" t="str">
        <f>'geg LO'!D31</f>
        <v>Naam SBO 11</v>
      </c>
      <c r="E81" s="1000"/>
      <c r="F81" s="1120"/>
      <c r="G81" s="1120"/>
      <c r="H81" s="1120"/>
      <c r="I81" s="1120"/>
      <c r="J81" s="1120"/>
      <c r="K81" s="1120"/>
      <c r="L81" s="1120"/>
      <c r="M81" s="1120"/>
      <c r="N81" s="1053"/>
      <c r="O81" s="35"/>
      <c r="P81" s="657"/>
      <c r="Q81" s="657"/>
      <c r="R81" s="657"/>
      <c r="S81" s="657"/>
      <c r="T81" s="657"/>
      <c r="U81" s="657"/>
      <c r="V81" s="657"/>
      <c r="W81" s="657"/>
      <c r="X81" s="657"/>
      <c r="Y81" s="657"/>
      <c r="Z81" s="657"/>
      <c r="AA81" s="657"/>
      <c r="AB81" s="657"/>
      <c r="AC81" s="657"/>
      <c r="AD81" s="657"/>
      <c r="AE81" s="657"/>
      <c r="AF81" s="657"/>
      <c r="AG81" s="657"/>
      <c r="AH81" s="657"/>
      <c r="AI81" s="657"/>
      <c r="AJ81" s="657"/>
      <c r="AK81" s="657"/>
      <c r="AL81" s="657"/>
      <c r="AM81" s="657"/>
      <c r="AN81" s="657"/>
      <c r="AO81" s="657"/>
      <c r="AP81" s="657"/>
      <c r="AQ81" s="657"/>
      <c r="AR81" s="657"/>
    </row>
    <row r="82" spans="1:44" s="199" customFormat="1" ht="13.15" customHeight="1" x14ac:dyDescent="0.2">
      <c r="A82" s="657"/>
      <c r="B82" s="34"/>
      <c r="C82" s="1053"/>
      <c r="D82" s="1000" t="s">
        <v>15</v>
      </c>
      <c r="E82" s="1000"/>
      <c r="F82" s="1443" t="e">
        <f>ROUND(('geg LO'!F70-'geg LO'!F31)*IF('geg LO'!F$78="ja",tab!#REF!,tab!#REF!+'geg LO'!F90*tab!#REF!),0)</f>
        <v>#REF!</v>
      </c>
      <c r="G82" s="1443">
        <f>ROUND(('geg LO'!G70-'geg LO'!G31)*IF('geg LO'!G$78="ja",tab!$C$49,tab!$C$41+'geg LO'!G90*tab!$C$42),0)</f>
        <v>0</v>
      </c>
      <c r="H82" s="1443">
        <f>ROUND(('geg LO'!H70-'geg LO'!H31)*IF('geg LO'!H$78="ja",tab!$C$49,tab!$C$41+'geg LO'!H90*tab!$C$42),0)</f>
        <v>0</v>
      </c>
      <c r="I82" s="1443">
        <f>ROUND(('geg LO'!I70-'geg LO'!I31)*IF('geg LO'!I$78="ja",tab!$C$49,tab!$C$41+'geg LO'!I90*tab!$C$42),0)</f>
        <v>0</v>
      </c>
      <c r="J82" s="1443">
        <f>ROUND(('geg LO'!J70-'geg LO'!J31)*IF('geg LO'!J$78="ja",tab!$C$49,tab!$C$41+'geg LO'!J90*tab!$C$42),0)</f>
        <v>0</v>
      </c>
      <c r="K82" s="1443">
        <f>ROUND(('geg LO'!K70-'geg LO'!K31)*IF('geg LO'!K$78="ja",tab!$C$49,tab!$C$41+'geg LO'!K90*tab!$C$42),0)</f>
        <v>0</v>
      </c>
      <c r="L82" s="1443">
        <f>ROUND(('geg LO'!L70-'geg LO'!L31)*IF('geg LO'!L$78="ja",tab!$C$49,tab!$C$41+'geg LO'!L90*tab!$C$42),0)</f>
        <v>0</v>
      </c>
      <c r="M82" s="1443">
        <f>ROUND(('geg LO'!M70-'geg LO'!M31)*IF('geg LO'!M$78="ja",tab!$C$49,tab!$C$41+'geg LO'!M90*tab!$C$42),0)</f>
        <v>0</v>
      </c>
      <c r="N82" s="1053"/>
      <c r="O82" s="35"/>
      <c r="P82" s="657"/>
      <c r="Q82" s="657"/>
      <c r="R82" s="657"/>
      <c r="S82" s="657"/>
      <c r="T82" s="657"/>
      <c r="U82" s="657"/>
      <c r="V82" s="657"/>
      <c r="W82" s="657"/>
      <c r="X82" s="657"/>
      <c r="Y82" s="657"/>
      <c r="Z82" s="657"/>
      <c r="AA82" s="657"/>
      <c r="AB82" s="657"/>
      <c r="AC82" s="657"/>
      <c r="AD82" s="657"/>
      <c r="AE82" s="657"/>
      <c r="AF82" s="657"/>
      <c r="AG82" s="657"/>
      <c r="AH82" s="657"/>
      <c r="AI82" s="657"/>
      <c r="AJ82" s="657"/>
      <c r="AK82" s="657"/>
      <c r="AL82" s="657"/>
      <c r="AM82" s="657"/>
      <c r="AN82" s="657"/>
      <c r="AO82" s="657"/>
      <c r="AP82" s="657"/>
      <c r="AQ82" s="657"/>
      <c r="AR82" s="657"/>
    </row>
    <row r="83" spans="1:44" s="199" customFormat="1" ht="13.15" customHeight="1" x14ac:dyDescent="0.2">
      <c r="A83" s="657"/>
      <c r="B83" s="34"/>
      <c r="C83" s="1053"/>
      <c r="D83" s="1000" t="s">
        <v>776</v>
      </c>
      <c r="E83" s="1000"/>
      <c r="F83" s="1443" t="e">
        <f>ROUND(('geg LO'!F70-'geg LO'!F52)*IF('geg LO'!F$78="ja",tab!#REF!,tab!#REF!+'geg LO'!F90*tab!#REF!),0)</f>
        <v>#REF!</v>
      </c>
      <c r="G83" s="1443">
        <f>ROUND(('geg LO'!G70-'geg LO'!G52)*IF('geg LO'!G$78="ja",tab!$C$50,tab!$C$43+'geg LO'!G90*tab!$C$44),0)</f>
        <v>0</v>
      </c>
      <c r="H83" s="1443">
        <f>ROUND(('geg LO'!H70-'geg LO'!H52)*IF('geg LO'!H$78="ja",tab!$C$50,tab!$C$43+'geg LO'!H90*tab!$C$44),0)</f>
        <v>0</v>
      </c>
      <c r="I83" s="1443">
        <f>ROUND(('geg LO'!I70-'geg LO'!I52)*IF('geg LO'!I$78="ja",tab!$C$50,tab!$C$43+'geg LO'!I90*tab!$C$44),0)</f>
        <v>0</v>
      </c>
      <c r="J83" s="1443">
        <f>ROUND(('geg LO'!J70-'geg LO'!J52)*IF('geg LO'!J$78="ja",tab!$C$50,tab!$C$43+'geg LO'!J90*tab!$C$44),0)</f>
        <v>0</v>
      </c>
      <c r="K83" s="1443">
        <f>ROUND(('geg LO'!K70-'geg LO'!K52)*IF('geg LO'!K$78="ja",tab!$C$50,tab!$C$43+'geg LO'!K90*tab!$C$44),0)</f>
        <v>0</v>
      </c>
      <c r="L83" s="1443">
        <f>ROUND(('geg LO'!L70-'geg LO'!L52)*IF('geg LO'!L$78="ja",tab!$C$50,tab!$C$43+'geg LO'!L90*tab!$C$44),0)</f>
        <v>0</v>
      </c>
      <c r="M83" s="1443">
        <f>ROUND(('geg LO'!M70-'geg LO'!M52)*IF('geg LO'!M$78="ja",tab!$C$50,tab!$C$43+'geg LO'!M90*tab!$C$44),0)</f>
        <v>0</v>
      </c>
      <c r="N83" s="1053"/>
      <c r="O83" s="35"/>
      <c r="P83" s="657"/>
      <c r="Q83" s="657"/>
      <c r="R83" s="657"/>
      <c r="S83" s="657"/>
      <c r="T83" s="657"/>
      <c r="U83" s="657"/>
      <c r="V83" s="657"/>
      <c r="W83" s="657"/>
      <c r="X83" s="657"/>
      <c r="Y83" s="657"/>
      <c r="Z83" s="657"/>
      <c r="AA83" s="657"/>
      <c r="AB83" s="657"/>
      <c r="AC83" s="657"/>
      <c r="AD83" s="657"/>
      <c r="AE83" s="657"/>
      <c r="AF83" s="657"/>
      <c r="AG83" s="657"/>
      <c r="AH83" s="657"/>
      <c r="AI83" s="657"/>
      <c r="AJ83" s="657"/>
      <c r="AK83" s="657"/>
      <c r="AL83" s="657"/>
      <c r="AM83" s="657"/>
      <c r="AN83" s="657"/>
      <c r="AO83" s="657"/>
      <c r="AP83" s="657"/>
      <c r="AQ83" s="657"/>
      <c r="AR83" s="657"/>
    </row>
    <row r="84" spans="1:44" s="199" customFormat="1" ht="13.15" customHeight="1" x14ac:dyDescent="0.2">
      <c r="A84" s="657"/>
      <c r="B84" s="34"/>
      <c r="C84" s="1053"/>
      <c r="D84" s="1075"/>
      <c r="E84" s="1000"/>
      <c r="F84" s="1448" t="e">
        <f t="shared" ref="F84:L84" si="37">SUM(F82:F83)</f>
        <v>#REF!</v>
      </c>
      <c r="G84" s="1448">
        <f t="shared" si="37"/>
        <v>0</v>
      </c>
      <c r="H84" s="1448">
        <f t="shared" si="37"/>
        <v>0</v>
      </c>
      <c r="I84" s="1448">
        <f t="shared" si="37"/>
        <v>0</v>
      </c>
      <c r="J84" s="1448">
        <f t="shared" si="37"/>
        <v>0</v>
      </c>
      <c r="K84" s="1448">
        <f t="shared" si="37"/>
        <v>0</v>
      </c>
      <c r="L84" s="1448">
        <f t="shared" si="37"/>
        <v>0</v>
      </c>
      <c r="M84" s="1448">
        <f t="shared" ref="M84" si="38">SUM(M82:M83)</f>
        <v>0</v>
      </c>
      <c r="N84" s="1053"/>
      <c r="O84" s="35"/>
      <c r="P84" s="657"/>
      <c r="Q84" s="657"/>
      <c r="R84" s="657"/>
      <c r="S84" s="657"/>
      <c r="T84" s="657"/>
      <c r="U84" s="657"/>
      <c r="V84" s="657"/>
      <c r="W84" s="657"/>
      <c r="X84" s="657"/>
      <c r="Y84" s="657"/>
      <c r="Z84" s="657"/>
      <c r="AA84" s="657"/>
      <c r="AB84" s="657"/>
      <c r="AC84" s="657"/>
      <c r="AD84" s="657"/>
      <c r="AE84" s="657"/>
      <c r="AF84" s="657"/>
      <c r="AG84" s="657"/>
      <c r="AH84" s="657"/>
      <c r="AI84" s="657"/>
      <c r="AJ84" s="657"/>
      <c r="AK84" s="657"/>
      <c r="AL84" s="657"/>
      <c r="AM84" s="657"/>
      <c r="AN84" s="657"/>
      <c r="AO84" s="657"/>
      <c r="AP84" s="657"/>
      <c r="AQ84" s="657"/>
      <c r="AR84" s="657"/>
    </row>
    <row r="85" spans="1:44" s="199" customFormat="1" ht="13.15" customHeight="1" x14ac:dyDescent="0.2">
      <c r="A85" s="657"/>
      <c r="B85" s="34"/>
      <c r="C85" s="1053"/>
      <c r="D85" s="1447" t="str">
        <f>'geg LO'!D32</f>
        <v>Naam SBO 12</v>
      </c>
      <c r="E85" s="1000"/>
      <c r="F85" s="1120"/>
      <c r="G85" s="1120"/>
      <c r="H85" s="1120"/>
      <c r="I85" s="1120"/>
      <c r="J85" s="1120"/>
      <c r="K85" s="1120"/>
      <c r="L85" s="1120"/>
      <c r="M85" s="1120"/>
      <c r="N85" s="1053"/>
      <c r="O85" s="35"/>
      <c r="P85" s="657"/>
      <c r="Q85" s="657"/>
      <c r="R85" s="657"/>
      <c r="S85" s="657"/>
      <c r="T85" s="657"/>
      <c r="U85" s="657"/>
      <c r="V85" s="657"/>
      <c r="W85" s="657"/>
      <c r="X85" s="657"/>
      <c r="Y85" s="657"/>
      <c r="Z85" s="657"/>
      <c r="AA85" s="657"/>
      <c r="AB85" s="657"/>
      <c r="AC85" s="657"/>
      <c r="AD85" s="657"/>
      <c r="AE85" s="657"/>
      <c r="AF85" s="657"/>
      <c r="AG85" s="657"/>
      <c r="AH85" s="657"/>
      <c r="AI85" s="657"/>
      <c r="AJ85" s="657"/>
      <c r="AK85" s="657"/>
      <c r="AL85" s="657"/>
      <c r="AM85" s="657"/>
      <c r="AN85" s="657"/>
      <c r="AO85" s="657"/>
      <c r="AP85" s="657"/>
      <c r="AQ85" s="657"/>
      <c r="AR85" s="657"/>
    </row>
    <row r="86" spans="1:44" s="199" customFormat="1" ht="13.15" customHeight="1" x14ac:dyDescent="0.2">
      <c r="A86" s="657"/>
      <c r="B86" s="34"/>
      <c r="C86" s="1053"/>
      <c r="D86" s="1000" t="s">
        <v>15</v>
      </c>
      <c r="E86" s="1000"/>
      <c r="F86" s="1443" t="e">
        <f>ROUND(('geg LO'!F71-'geg LO'!F32)*IF('geg LO'!F$78="ja",tab!#REF!,tab!#REF!+'geg LO'!F91*tab!#REF!),0)</f>
        <v>#REF!</v>
      </c>
      <c r="G86" s="1443">
        <f>ROUND(('geg LO'!G71-'geg LO'!G32)*IF('geg LO'!G$78="ja",tab!$C$49,tab!$C$41+'geg LO'!G91*tab!$C$42),0)</f>
        <v>0</v>
      </c>
      <c r="H86" s="1443">
        <f>ROUND(('geg LO'!H71-'geg LO'!H32)*IF('geg LO'!H$78="ja",tab!$C$49,tab!$C$41+'geg LO'!H91*tab!$C$42),0)</f>
        <v>0</v>
      </c>
      <c r="I86" s="1443">
        <f>ROUND(('geg LO'!I71-'geg LO'!I32)*IF('geg LO'!I$78="ja",tab!$C$49,tab!$C$41+'geg LO'!I91*tab!$C$42),0)</f>
        <v>0</v>
      </c>
      <c r="J86" s="1443">
        <f>ROUND(('geg LO'!J71-'geg LO'!J32)*IF('geg LO'!J$78="ja",tab!$C$49,tab!$C$41+'geg LO'!J91*tab!$C$42),0)</f>
        <v>0</v>
      </c>
      <c r="K86" s="1443">
        <f>ROUND(('geg LO'!K71-'geg LO'!K32)*IF('geg LO'!K$78="ja",tab!$C$49,tab!$C$41+'geg LO'!K91*tab!$C$42),0)</f>
        <v>0</v>
      </c>
      <c r="L86" s="1443">
        <f>ROUND(('geg LO'!L71-'geg LO'!L32)*IF('geg LO'!L$78="ja",tab!$C$49,tab!$C$41+'geg LO'!L91*tab!$C$42),0)</f>
        <v>0</v>
      </c>
      <c r="M86" s="1443">
        <f>ROUND(('geg LO'!M71-'geg LO'!M32)*IF('geg LO'!M$78="ja",tab!$C$49,tab!$C$41+'geg LO'!M91*tab!$C$42),0)</f>
        <v>0</v>
      </c>
      <c r="N86" s="1053"/>
      <c r="O86" s="35"/>
      <c r="P86" s="657"/>
      <c r="Q86" s="657"/>
      <c r="R86" s="657"/>
      <c r="S86" s="657"/>
      <c r="T86" s="657"/>
      <c r="U86" s="657"/>
      <c r="V86" s="657"/>
      <c r="W86" s="657"/>
      <c r="X86" s="657"/>
      <c r="Y86" s="657"/>
      <c r="Z86" s="657"/>
      <c r="AA86" s="657"/>
      <c r="AB86" s="657"/>
      <c r="AC86" s="657"/>
      <c r="AD86" s="657"/>
      <c r="AE86" s="657"/>
      <c r="AF86" s="657"/>
      <c r="AG86" s="657"/>
      <c r="AH86" s="657"/>
      <c r="AI86" s="657"/>
      <c r="AJ86" s="657"/>
      <c r="AK86" s="657"/>
      <c r="AL86" s="657"/>
      <c r="AM86" s="657"/>
      <c r="AN86" s="657"/>
      <c r="AO86" s="657"/>
      <c r="AP86" s="657"/>
      <c r="AQ86" s="657"/>
      <c r="AR86" s="657"/>
    </row>
    <row r="87" spans="1:44" s="199" customFormat="1" ht="13.15" customHeight="1" x14ac:dyDescent="0.2">
      <c r="A87" s="657"/>
      <c r="B87" s="34"/>
      <c r="C87" s="1053"/>
      <c r="D87" s="1000" t="s">
        <v>776</v>
      </c>
      <c r="E87" s="1000"/>
      <c r="F87" s="1443" t="e">
        <f>ROUND(('geg LO'!F71-'geg LO'!F53)*IF('geg LO'!F$78="ja",tab!#REF!,tab!#REF!+'geg LO'!F91*tab!#REF!),0)</f>
        <v>#REF!</v>
      </c>
      <c r="G87" s="1443">
        <f>ROUND(('geg LO'!G71-'geg LO'!G53)*IF('geg LO'!G$78="ja",tab!$C$50,tab!$C$43+'geg LO'!G91*tab!$C$44),0)</f>
        <v>0</v>
      </c>
      <c r="H87" s="1443">
        <f>ROUND(('geg LO'!H71-'geg LO'!H53)*IF('geg LO'!H$78="ja",tab!$C$50,tab!$C$43+'geg LO'!H91*tab!$C$44),0)</f>
        <v>0</v>
      </c>
      <c r="I87" s="1443">
        <f>ROUND(('geg LO'!I71-'geg LO'!I53)*IF('geg LO'!I$78="ja",tab!$C$50,tab!$C$43+'geg LO'!I91*tab!$C$44),0)</f>
        <v>0</v>
      </c>
      <c r="J87" s="1443">
        <f>ROUND(('geg LO'!J71-'geg LO'!J53)*IF('geg LO'!J$78="ja",tab!$C$50,tab!$C$43+'geg LO'!J91*tab!$C$44),0)</f>
        <v>0</v>
      </c>
      <c r="K87" s="1443">
        <f>ROUND(('geg LO'!K71-'geg LO'!K53)*IF('geg LO'!K$78="ja",tab!$C$50,tab!$C$43+'geg LO'!K91*tab!$C$44),0)</f>
        <v>0</v>
      </c>
      <c r="L87" s="1443">
        <f>ROUND(('geg LO'!L71-'geg LO'!L53)*IF('geg LO'!L$78="ja",tab!$C$50,tab!$C$43+'geg LO'!L91*tab!$C$44),0)</f>
        <v>0</v>
      </c>
      <c r="M87" s="1443">
        <f>ROUND(('geg LO'!M71-'geg LO'!M53)*IF('geg LO'!M$78="ja",tab!$C$50,tab!$C$43+'geg LO'!M91*tab!$C$44),0)</f>
        <v>0</v>
      </c>
      <c r="N87" s="1053"/>
      <c r="O87" s="35"/>
      <c r="P87" s="657"/>
      <c r="Q87" s="657"/>
      <c r="R87" s="657"/>
      <c r="S87" s="657"/>
      <c r="T87" s="657"/>
      <c r="U87" s="657"/>
      <c r="V87" s="657"/>
      <c r="W87" s="657"/>
      <c r="X87" s="657"/>
      <c r="Y87" s="657"/>
      <c r="Z87" s="657"/>
      <c r="AA87" s="657"/>
      <c r="AB87" s="657"/>
      <c r="AC87" s="657"/>
      <c r="AD87" s="657"/>
      <c r="AE87" s="657"/>
      <c r="AF87" s="657"/>
      <c r="AG87" s="657"/>
      <c r="AH87" s="657"/>
      <c r="AI87" s="657"/>
      <c r="AJ87" s="657"/>
      <c r="AK87" s="657"/>
      <c r="AL87" s="657"/>
      <c r="AM87" s="657"/>
      <c r="AN87" s="657"/>
      <c r="AO87" s="657"/>
      <c r="AP87" s="657"/>
      <c r="AQ87" s="657"/>
      <c r="AR87" s="657"/>
    </row>
    <row r="88" spans="1:44" s="199" customFormat="1" ht="13.15" customHeight="1" x14ac:dyDescent="0.2">
      <c r="A88" s="657"/>
      <c r="B88" s="34"/>
      <c r="C88" s="1053"/>
      <c r="D88" s="1075"/>
      <c r="E88" s="1000"/>
      <c r="F88" s="1448" t="e">
        <f t="shared" ref="F88:L88" si="39">SUM(F86:F87)</f>
        <v>#REF!</v>
      </c>
      <c r="G88" s="1448">
        <f t="shared" si="39"/>
        <v>0</v>
      </c>
      <c r="H88" s="1448">
        <f t="shared" si="39"/>
        <v>0</v>
      </c>
      <c r="I88" s="1448">
        <f t="shared" si="39"/>
        <v>0</v>
      </c>
      <c r="J88" s="1448">
        <f t="shared" si="39"/>
        <v>0</v>
      </c>
      <c r="K88" s="1448">
        <f t="shared" si="39"/>
        <v>0</v>
      </c>
      <c r="L88" s="1448">
        <f t="shared" si="39"/>
        <v>0</v>
      </c>
      <c r="M88" s="1448">
        <f t="shared" ref="M88" si="40">SUM(M86:M87)</f>
        <v>0</v>
      </c>
      <c r="N88" s="1053"/>
      <c r="O88" s="35"/>
      <c r="P88" s="657"/>
      <c r="Q88" s="657"/>
      <c r="R88" s="657"/>
      <c r="S88" s="657"/>
      <c r="T88" s="657"/>
      <c r="U88" s="657"/>
      <c r="V88" s="657"/>
      <c r="W88" s="657"/>
      <c r="X88" s="657"/>
      <c r="Y88" s="657"/>
      <c r="Z88" s="657"/>
      <c r="AA88" s="657"/>
      <c r="AB88" s="657"/>
      <c r="AC88" s="657"/>
      <c r="AD88" s="657"/>
      <c r="AE88" s="657"/>
      <c r="AF88" s="657"/>
      <c r="AG88" s="657"/>
      <c r="AH88" s="657"/>
      <c r="AI88" s="657"/>
      <c r="AJ88" s="657"/>
      <c r="AK88" s="657"/>
      <c r="AL88" s="657"/>
      <c r="AM88" s="657"/>
      <c r="AN88" s="657"/>
      <c r="AO88" s="657"/>
      <c r="AP88" s="657"/>
      <c r="AQ88" s="657"/>
      <c r="AR88" s="657"/>
    </row>
    <row r="89" spans="1:44" s="199" customFormat="1" ht="13.15" customHeight="1" x14ac:dyDescent="0.2">
      <c r="A89" s="657"/>
      <c r="B89" s="34"/>
      <c r="C89" s="1053"/>
      <c r="D89" s="1447" t="str">
        <f>'geg LO'!D33</f>
        <v>Naam SBO 13</v>
      </c>
      <c r="E89" s="1000"/>
      <c r="F89" s="1120"/>
      <c r="G89" s="1120"/>
      <c r="H89" s="1120"/>
      <c r="I89" s="1120"/>
      <c r="J89" s="1120"/>
      <c r="K89" s="1120"/>
      <c r="L89" s="1120"/>
      <c r="M89" s="1120"/>
      <c r="N89" s="1053"/>
      <c r="O89" s="35"/>
      <c r="P89" s="657"/>
      <c r="Q89" s="657"/>
      <c r="R89" s="657"/>
      <c r="S89" s="657"/>
      <c r="T89" s="657"/>
      <c r="U89" s="657"/>
      <c r="V89" s="657"/>
      <c r="W89" s="657"/>
      <c r="X89" s="657"/>
      <c r="Y89" s="657"/>
      <c r="Z89" s="657"/>
      <c r="AA89" s="657"/>
      <c r="AB89" s="657"/>
      <c r="AC89" s="657"/>
      <c r="AD89" s="657"/>
      <c r="AE89" s="657"/>
      <c r="AF89" s="657"/>
      <c r="AG89" s="657"/>
      <c r="AH89" s="657"/>
      <c r="AI89" s="657"/>
      <c r="AJ89" s="657"/>
      <c r="AK89" s="657"/>
      <c r="AL89" s="657"/>
      <c r="AM89" s="657"/>
      <c r="AN89" s="657"/>
      <c r="AO89" s="657"/>
      <c r="AP89" s="657"/>
      <c r="AQ89" s="657"/>
      <c r="AR89" s="657"/>
    </row>
    <row r="90" spans="1:44" s="199" customFormat="1" ht="13.15" customHeight="1" x14ac:dyDescent="0.2">
      <c r="A90" s="657"/>
      <c r="B90" s="34"/>
      <c r="C90" s="1053"/>
      <c r="D90" s="1000" t="s">
        <v>15</v>
      </c>
      <c r="E90" s="1000"/>
      <c r="F90" s="1443" t="e">
        <f>ROUND(('geg LO'!F72-'geg LO'!F33)*IF('geg LO'!F$78="ja",tab!#REF!,tab!#REF!+'geg LO'!F92*tab!#REF!),0)</f>
        <v>#REF!</v>
      </c>
      <c r="G90" s="1443">
        <f>ROUND(('geg LO'!G72-'geg LO'!G33)*IF('geg LO'!G$78="ja",tab!$C$49,tab!$C$41+'geg LO'!G92*tab!$C$42),0)</f>
        <v>0</v>
      </c>
      <c r="H90" s="1443">
        <f>ROUND(('geg LO'!H72-'geg LO'!H33)*IF('geg LO'!H$78="ja",tab!$C$49,tab!$C$41+'geg LO'!H92*tab!$C$42),0)</f>
        <v>0</v>
      </c>
      <c r="I90" s="1443">
        <f>ROUND(('geg LO'!I72-'geg LO'!I33)*IF('geg LO'!I$78="ja",tab!$C$49,tab!$C$41+'geg LO'!I92*tab!$C$42),0)</f>
        <v>0</v>
      </c>
      <c r="J90" s="1443">
        <f>ROUND(('geg LO'!J72-'geg LO'!J33)*IF('geg LO'!J$78="ja",tab!$C$49,tab!$C$41+'geg LO'!J92*tab!$C$42),0)</f>
        <v>0</v>
      </c>
      <c r="K90" s="1443">
        <f>ROUND(('geg LO'!K72-'geg LO'!K33)*IF('geg LO'!K$78="ja",tab!$C$49,tab!$C$41+'geg LO'!K92*tab!$C$42),0)</f>
        <v>0</v>
      </c>
      <c r="L90" s="1443">
        <f>ROUND(('geg LO'!L72-'geg LO'!L33)*IF('geg LO'!L$78="ja",tab!$C$49,tab!$C$41+'geg LO'!L92*tab!$C$42),0)</f>
        <v>0</v>
      </c>
      <c r="M90" s="1443">
        <f>ROUND(('geg LO'!M72-'geg LO'!M33)*IF('geg LO'!M$78="ja",tab!$C$49,tab!$C$41+'geg LO'!M92*tab!$C$42),0)</f>
        <v>0</v>
      </c>
      <c r="N90" s="1053"/>
      <c r="O90" s="35"/>
      <c r="P90" s="657"/>
      <c r="Q90" s="657"/>
      <c r="R90" s="657"/>
      <c r="S90" s="657"/>
      <c r="T90" s="657"/>
      <c r="U90" s="657"/>
      <c r="V90" s="657"/>
      <c r="W90" s="657"/>
      <c r="X90" s="657"/>
      <c r="Y90" s="657"/>
      <c r="Z90" s="657"/>
      <c r="AA90" s="657"/>
      <c r="AB90" s="657"/>
      <c r="AC90" s="657"/>
      <c r="AD90" s="657"/>
      <c r="AE90" s="657"/>
      <c r="AF90" s="657"/>
      <c r="AG90" s="657"/>
      <c r="AH90" s="657"/>
      <c r="AI90" s="657"/>
      <c r="AJ90" s="657"/>
      <c r="AK90" s="657"/>
      <c r="AL90" s="657"/>
      <c r="AM90" s="657"/>
      <c r="AN90" s="657"/>
      <c r="AO90" s="657"/>
      <c r="AP90" s="657"/>
      <c r="AQ90" s="657"/>
      <c r="AR90" s="657"/>
    </row>
    <row r="91" spans="1:44" s="199" customFormat="1" ht="13.15" customHeight="1" x14ac:dyDescent="0.2">
      <c r="A91" s="657"/>
      <c r="B91" s="34"/>
      <c r="C91" s="1053"/>
      <c r="D91" s="1000" t="s">
        <v>776</v>
      </c>
      <c r="E91" s="1000"/>
      <c r="F91" s="1443" t="e">
        <f>ROUND(('geg LO'!F72-'geg LO'!F54)*IF('geg LO'!F$78="ja",tab!#REF!,tab!#REF!+'geg LO'!F92*tab!#REF!),0)</f>
        <v>#REF!</v>
      </c>
      <c r="G91" s="1443">
        <f>ROUND(('geg LO'!G72-'geg LO'!G54)*IF('geg LO'!G$78="ja",tab!$C$50,tab!$C$43+'geg LO'!G92*tab!$C$44),0)</f>
        <v>0</v>
      </c>
      <c r="H91" s="1443">
        <f>ROUND(('geg LO'!H72-'geg LO'!H54)*IF('geg LO'!H$78="ja",tab!$C$50,tab!$C$43+'geg LO'!H92*tab!$C$44),0)</f>
        <v>0</v>
      </c>
      <c r="I91" s="1443">
        <f>ROUND(('geg LO'!I72-'geg LO'!I54)*IF('geg LO'!I$78="ja",tab!$C$50,tab!$C$43+'geg LO'!I92*tab!$C$44),0)</f>
        <v>0</v>
      </c>
      <c r="J91" s="1443">
        <f>ROUND(('geg LO'!J72-'geg LO'!J54)*IF('geg LO'!J$78="ja",tab!$C$50,tab!$C$43+'geg LO'!J92*tab!$C$44),0)</f>
        <v>0</v>
      </c>
      <c r="K91" s="1443">
        <f>ROUND(('geg LO'!K72-'geg LO'!K54)*IF('geg LO'!K$78="ja",tab!$C$50,tab!$C$43+'geg LO'!K92*tab!$C$44),0)</f>
        <v>0</v>
      </c>
      <c r="L91" s="1443">
        <f>ROUND(('geg LO'!L72-'geg LO'!L54)*IF('geg LO'!L$78="ja",tab!$C$50,tab!$C$43+'geg LO'!L92*tab!$C$44),0)</f>
        <v>0</v>
      </c>
      <c r="M91" s="1443">
        <f>ROUND(('geg LO'!M72-'geg LO'!M54)*IF('geg LO'!M$78="ja",tab!$C$50,tab!$C$43+'geg LO'!M92*tab!$C$44),0)</f>
        <v>0</v>
      </c>
      <c r="N91" s="1053"/>
      <c r="O91" s="35"/>
      <c r="P91" s="657"/>
      <c r="Q91" s="657"/>
      <c r="R91" s="657"/>
      <c r="S91" s="657"/>
      <c r="T91" s="657"/>
      <c r="U91" s="657"/>
      <c r="V91" s="657"/>
      <c r="W91" s="657"/>
      <c r="X91" s="657"/>
      <c r="Y91" s="657"/>
      <c r="Z91" s="657"/>
      <c r="AA91" s="657"/>
      <c r="AB91" s="657"/>
      <c r="AC91" s="657"/>
      <c r="AD91" s="657"/>
      <c r="AE91" s="657"/>
      <c r="AF91" s="657"/>
      <c r="AG91" s="657"/>
      <c r="AH91" s="657"/>
      <c r="AI91" s="657"/>
      <c r="AJ91" s="657"/>
      <c r="AK91" s="657"/>
      <c r="AL91" s="657"/>
      <c r="AM91" s="657"/>
      <c r="AN91" s="657"/>
      <c r="AO91" s="657"/>
      <c r="AP91" s="657"/>
      <c r="AQ91" s="657"/>
      <c r="AR91" s="657"/>
    </row>
    <row r="92" spans="1:44" s="199" customFormat="1" ht="13.15" customHeight="1" x14ac:dyDescent="0.2">
      <c r="A92" s="657"/>
      <c r="B92" s="34"/>
      <c r="C92" s="1053"/>
      <c r="D92" s="1075"/>
      <c r="E92" s="1000"/>
      <c r="F92" s="1448" t="e">
        <f t="shared" ref="F92:L92" si="41">SUM(F90:F91)</f>
        <v>#REF!</v>
      </c>
      <c r="G92" s="1448">
        <f t="shared" si="41"/>
        <v>0</v>
      </c>
      <c r="H92" s="1448">
        <f t="shared" si="41"/>
        <v>0</v>
      </c>
      <c r="I92" s="1448">
        <f t="shared" si="41"/>
        <v>0</v>
      </c>
      <c r="J92" s="1448">
        <f t="shared" si="41"/>
        <v>0</v>
      </c>
      <c r="K92" s="1448">
        <f t="shared" si="41"/>
        <v>0</v>
      </c>
      <c r="L92" s="1448">
        <f t="shared" si="41"/>
        <v>0</v>
      </c>
      <c r="M92" s="1448">
        <f t="shared" ref="M92" si="42">SUM(M90:M91)</f>
        <v>0</v>
      </c>
      <c r="N92" s="1053"/>
      <c r="O92" s="35"/>
      <c r="P92" s="657"/>
      <c r="Q92" s="657"/>
      <c r="R92" s="657"/>
      <c r="S92" s="657"/>
      <c r="T92" s="657"/>
      <c r="U92" s="657"/>
      <c r="V92" s="657"/>
      <c r="W92" s="657"/>
      <c r="X92" s="657"/>
      <c r="Y92" s="657"/>
      <c r="Z92" s="657"/>
      <c r="AA92" s="657"/>
      <c r="AB92" s="657"/>
      <c r="AC92" s="657"/>
      <c r="AD92" s="657"/>
      <c r="AE92" s="657"/>
      <c r="AF92" s="657"/>
      <c r="AG92" s="657"/>
      <c r="AH92" s="657"/>
      <c r="AI92" s="657"/>
      <c r="AJ92" s="657"/>
      <c r="AK92" s="657"/>
      <c r="AL92" s="657"/>
      <c r="AM92" s="657"/>
      <c r="AN92" s="657"/>
      <c r="AO92" s="657"/>
      <c r="AP92" s="657"/>
      <c r="AQ92" s="657"/>
      <c r="AR92" s="657"/>
    </row>
    <row r="93" spans="1:44" s="199" customFormat="1" ht="13.15" customHeight="1" x14ac:dyDescent="0.2">
      <c r="A93" s="657"/>
      <c r="B93" s="34"/>
      <c r="C93" s="1053"/>
      <c r="D93" s="1447" t="str">
        <f>'geg LO'!D34</f>
        <v>Naam SBO 14</v>
      </c>
      <c r="E93" s="1000"/>
      <c r="F93" s="1120"/>
      <c r="G93" s="1120"/>
      <c r="H93" s="1120"/>
      <c r="I93" s="1120"/>
      <c r="J93" s="1120"/>
      <c r="K93" s="1120"/>
      <c r="L93" s="1120"/>
      <c r="M93" s="1120"/>
      <c r="N93" s="1053"/>
      <c r="O93" s="35"/>
      <c r="P93" s="657"/>
      <c r="Q93" s="657"/>
      <c r="R93" s="657"/>
      <c r="S93" s="657"/>
      <c r="T93" s="657"/>
      <c r="U93" s="657"/>
      <c r="V93" s="657"/>
      <c r="W93" s="657"/>
      <c r="X93" s="657"/>
      <c r="Y93" s="657"/>
      <c r="Z93" s="657"/>
      <c r="AA93" s="657"/>
      <c r="AB93" s="657"/>
      <c r="AC93" s="657"/>
      <c r="AD93" s="657"/>
      <c r="AE93" s="657"/>
      <c r="AF93" s="657"/>
      <c r="AG93" s="657"/>
      <c r="AH93" s="657"/>
      <c r="AI93" s="657"/>
      <c r="AJ93" s="657"/>
      <c r="AK93" s="657"/>
      <c r="AL93" s="657"/>
      <c r="AM93" s="657"/>
      <c r="AN93" s="657"/>
      <c r="AO93" s="657"/>
      <c r="AP93" s="657"/>
      <c r="AQ93" s="657"/>
      <c r="AR93" s="657"/>
    </row>
    <row r="94" spans="1:44" s="199" customFormat="1" ht="13.15" customHeight="1" x14ac:dyDescent="0.2">
      <c r="A94" s="657"/>
      <c r="B94" s="34"/>
      <c r="C94" s="1053"/>
      <c r="D94" s="1000" t="s">
        <v>15</v>
      </c>
      <c r="E94" s="1000"/>
      <c r="F94" s="1443" t="e">
        <f>ROUND(('geg LO'!F73-'geg LO'!F34)*IF('geg LO'!F$78="ja",tab!#REF!,tab!#REF!+'geg LO'!F93*tab!#REF!),0)</f>
        <v>#REF!</v>
      </c>
      <c r="G94" s="1443">
        <f>ROUND(('geg LO'!G73-'geg LO'!G34)*IF('geg LO'!G$78="ja",tab!$C$49,tab!$C$41+'geg LO'!G93*tab!$C$42),0)</f>
        <v>0</v>
      </c>
      <c r="H94" s="1443">
        <f>ROUND(('geg LO'!H73-'geg LO'!H34)*IF('geg LO'!H$78="ja",tab!$C$49,tab!$C$41+'geg LO'!H93*tab!$C$42),0)</f>
        <v>0</v>
      </c>
      <c r="I94" s="1443">
        <f>ROUND(('geg LO'!I73-'geg LO'!I34)*IF('geg LO'!I$78="ja",tab!$C$49,tab!$C$41+'geg LO'!I93*tab!$C$42),0)</f>
        <v>0</v>
      </c>
      <c r="J94" s="1443">
        <f>ROUND(('geg LO'!J73-'geg LO'!J34)*IF('geg LO'!J$78="ja",tab!$C$49,tab!$C$41+'geg LO'!J93*tab!$C$42),0)</f>
        <v>0</v>
      </c>
      <c r="K94" s="1443">
        <f>ROUND(('geg LO'!K73-'geg LO'!K34)*IF('geg LO'!K$78="ja",tab!$C$49,tab!$C$41+'geg LO'!K93*tab!$C$42),0)</f>
        <v>0</v>
      </c>
      <c r="L94" s="1443">
        <f>ROUND(('geg LO'!L73-'geg LO'!L34)*IF('geg LO'!L$78="ja",tab!$C$49,tab!$C$41+'geg LO'!L93*tab!$C$42),0)</f>
        <v>0</v>
      </c>
      <c r="M94" s="1443">
        <f>ROUND(('geg LO'!M73-'geg LO'!M34)*IF('geg LO'!M$78="ja",tab!$C$49,tab!$C$41+'geg LO'!M93*tab!$C$42),0)</f>
        <v>0</v>
      </c>
      <c r="N94" s="1053"/>
      <c r="O94" s="35"/>
      <c r="P94" s="657"/>
      <c r="Q94" s="657"/>
      <c r="R94" s="657"/>
      <c r="S94" s="657"/>
      <c r="T94" s="657"/>
      <c r="U94" s="657"/>
      <c r="V94" s="657"/>
      <c r="W94" s="657"/>
      <c r="X94" s="657"/>
      <c r="Y94" s="657"/>
      <c r="Z94" s="657"/>
      <c r="AA94" s="657"/>
      <c r="AB94" s="657"/>
      <c r="AC94" s="657"/>
      <c r="AD94" s="657"/>
      <c r="AE94" s="657"/>
      <c r="AF94" s="657"/>
      <c r="AG94" s="657"/>
      <c r="AH94" s="657"/>
      <c r="AI94" s="657"/>
      <c r="AJ94" s="657"/>
      <c r="AK94" s="657"/>
      <c r="AL94" s="657"/>
      <c r="AM94" s="657"/>
      <c r="AN94" s="657"/>
      <c r="AO94" s="657"/>
      <c r="AP94" s="657"/>
      <c r="AQ94" s="657"/>
      <c r="AR94" s="657"/>
    </row>
    <row r="95" spans="1:44" s="199" customFormat="1" ht="13.15" customHeight="1" x14ac:dyDescent="0.2">
      <c r="A95" s="657"/>
      <c r="B95" s="34"/>
      <c r="C95" s="1053"/>
      <c r="D95" s="1000" t="s">
        <v>776</v>
      </c>
      <c r="E95" s="1000"/>
      <c r="F95" s="1443" t="e">
        <f>ROUND(('geg LO'!F73-'geg LO'!F55)*IF('geg LO'!F$78="ja",tab!#REF!,tab!#REF!+'geg LO'!F93*tab!#REF!),0)</f>
        <v>#REF!</v>
      </c>
      <c r="G95" s="1443">
        <f>ROUND(('geg LO'!G73-'geg LO'!G55)*IF('geg LO'!G$78="ja",tab!$C$50,tab!$C$43+'geg LO'!G93*tab!$C$44),0)</f>
        <v>0</v>
      </c>
      <c r="H95" s="1443">
        <f>ROUND(('geg LO'!H73-'geg LO'!H55)*IF('geg LO'!H$78="ja",tab!$C$50,tab!$C$43+'geg LO'!H93*tab!$C$44),0)</f>
        <v>0</v>
      </c>
      <c r="I95" s="1443">
        <f>ROUND(('geg LO'!I73-'geg LO'!I55)*IF('geg LO'!I$78="ja",tab!$C$50,tab!$C$43+'geg LO'!I93*tab!$C$44),0)</f>
        <v>0</v>
      </c>
      <c r="J95" s="1443">
        <f>ROUND(('geg LO'!J73-'geg LO'!J55)*IF('geg LO'!J$78="ja",tab!$C$50,tab!$C$43+'geg LO'!J93*tab!$C$44),0)</f>
        <v>0</v>
      </c>
      <c r="K95" s="1443">
        <f>ROUND(('geg LO'!K73-'geg LO'!K55)*IF('geg LO'!K$78="ja",tab!$C$50,tab!$C$43+'geg LO'!K93*tab!$C$44),0)</f>
        <v>0</v>
      </c>
      <c r="L95" s="1443">
        <f>ROUND(('geg LO'!L73-'geg LO'!L55)*IF('geg LO'!L$78="ja",tab!$C$50,tab!$C$43+'geg LO'!L93*tab!$C$44),0)</f>
        <v>0</v>
      </c>
      <c r="M95" s="1443">
        <f>ROUND(('geg LO'!M73-'geg LO'!M55)*IF('geg LO'!M$78="ja",tab!$C$50,tab!$C$43+'geg LO'!M93*tab!$C$44),0)</f>
        <v>0</v>
      </c>
      <c r="N95" s="1053"/>
      <c r="O95" s="35"/>
      <c r="P95" s="657"/>
      <c r="Q95" s="657"/>
      <c r="R95" s="657"/>
      <c r="S95" s="657"/>
      <c r="T95" s="657"/>
      <c r="U95" s="657"/>
      <c r="V95" s="657"/>
      <c r="W95" s="657"/>
      <c r="X95" s="657"/>
      <c r="Y95" s="657"/>
      <c r="Z95" s="657"/>
      <c r="AA95" s="657"/>
      <c r="AB95" s="657"/>
      <c r="AC95" s="657"/>
      <c r="AD95" s="657"/>
      <c r="AE95" s="657"/>
      <c r="AF95" s="657"/>
      <c r="AG95" s="657"/>
      <c r="AH95" s="657"/>
      <c r="AI95" s="657"/>
      <c r="AJ95" s="657"/>
      <c r="AK95" s="657"/>
      <c r="AL95" s="657"/>
      <c r="AM95" s="657"/>
      <c r="AN95" s="657"/>
      <c r="AO95" s="657"/>
      <c r="AP95" s="657"/>
      <c r="AQ95" s="657"/>
      <c r="AR95" s="657"/>
    </row>
    <row r="96" spans="1:44" s="199" customFormat="1" ht="13.15" customHeight="1" x14ac:dyDescent="0.2">
      <c r="A96" s="657"/>
      <c r="B96" s="34"/>
      <c r="C96" s="1053"/>
      <c r="D96" s="1075"/>
      <c r="E96" s="1000"/>
      <c r="F96" s="1448" t="e">
        <f t="shared" ref="F96:L96" si="43">SUM(F94:F95)</f>
        <v>#REF!</v>
      </c>
      <c r="G96" s="1448">
        <f t="shared" si="43"/>
        <v>0</v>
      </c>
      <c r="H96" s="1448">
        <f t="shared" si="43"/>
        <v>0</v>
      </c>
      <c r="I96" s="1448">
        <f t="shared" si="43"/>
        <v>0</v>
      </c>
      <c r="J96" s="1448">
        <f t="shared" si="43"/>
        <v>0</v>
      </c>
      <c r="K96" s="1448">
        <f t="shared" si="43"/>
        <v>0</v>
      </c>
      <c r="L96" s="1448">
        <f t="shared" si="43"/>
        <v>0</v>
      </c>
      <c r="M96" s="1448">
        <f t="shared" ref="M96" si="44">SUM(M94:M95)</f>
        <v>0</v>
      </c>
      <c r="N96" s="1053"/>
      <c r="O96" s="35"/>
      <c r="P96" s="657"/>
      <c r="Q96" s="657"/>
      <c r="R96" s="657"/>
      <c r="S96" s="657"/>
      <c r="T96" s="657"/>
      <c r="U96" s="657"/>
      <c r="V96" s="657"/>
      <c r="W96" s="657"/>
      <c r="X96" s="657"/>
      <c r="Y96" s="657"/>
      <c r="Z96" s="657"/>
      <c r="AA96" s="657"/>
      <c r="AB96" s="657"/>
      <c r="AC96" s="657"/>
      <c r="AD96" s="657"/>
      <c r="AE96" s="657"/>
      <c r="AF96" s="657"/>
      <c r="AG96" s="657"/>
      <c r="AH96" s="657"/>
      <c r="AI96" s="657"/>
      <c r="AJ96" s="657"/>
      <c r="AK96" s="657"/>
      <c r="AL96" s="657"/>
      <c r="AM96" s="657"/>
      <c r="AN96" s="657"/>
      <c r="AO96" s="657"/>
      <c r="AP96" s="657"/>
      <c r="AQ96" s="657"/>
      <c r="AR96" s="657"/>
    </row>
    <row r="97" spans="1:44" s="199" customFormat="1" ht="13.15" customHeight="1" x14ac:dyDescent="0.2">
      <c r="A97" s="657"/>
      <c r="B97" s="34"/>
      <c r="C97" s="1053"/>
      <c r="D97" s="1447" t="str">
        <f>'geg LO'!D35</f>
        <v>Naam SBO 15</v>
      </c>
      <c r="E97" s="1000"/>
      <c r="F97" s="1120"/>
      <c r="G97" s="1120"/>
      <c r="H97" s="1120"/>
      <c r="I97" s="1120"/>
      <c r="J97" s="1120"/>
      <c r="K97" s="1120"/>
      <c r="L97" s="1120"/>
      <c r="M97" s="1120"/>
      <c r="N97" s="1053"/>
      <c r="O97" s="35"/>
      <c r="P97" s="657"/>
      <c r="Q97" s="657"/>
      <c r="R97" s="657"/>
      <c r="S97" s="657"/>
      <c r="T97" s="657"/>
      <c r="U97" s="657"/>
      <c r="V97" s="657"/>
      <c r="W97" s="657"/>
      <c r="X97" s="657"/>
      <c r="Y97" s="657"/>
      <c r="Z97" s="657"/>
      <c r="AA97" s="657"/>
      <c r="AB97" s="657"/>
      <c r="AC97" s="657"/>
      <c r="AD97" s="657"/>
      <c r="AE97" s="657"/>
      <c r="AF97" s="657"/>
      <c r="AG97" s="657"/>
      <c r="AH97" s="657"/>
      <c r="AI97" s="657"/>
      <c r="AJ97" s="657"/>
      <c r="AK97" s="657"/>
      <c r="AL97" s="657"/>
      <c r="AM97" s="657"/>
      <c r="AN97" s="657"/>
      <c r="AO97" s="657"/>
      <c r="AP97" s="657"/>
      <c r="AQ97" s="657"/>
      <c r="AR97" s="657"/>
    </row>
    <row r="98" spans="1:44" s="199" customFormat="1" ht="13.15" customHeight="1" x14ac:dyDescent="0.2">
      <c r="A98" s="657"/>
      <c r="B98" s="34"/>
      <c r="C98" s="1053"/>
      <c r="D98" s="1000" t="s">
        <v>15</v>
      </c>
      <c r="E98" s="1000"/>
      <c r="F98" s="1443" t="e">
        <f>ROUND(('geg LO'!F74-'geg LO'!F35)*IF('geg LO'!F$78="ja",tab!#REF!,tab!#REF!+'geg LO'!F94*tab!#REF!),0)</f>
        <v>#REF!</v>
      </c>
      <c r="G98" s="1443">
        <f>ROUND(('geg LO'!G74-'geg LO'!G35)*IF('geg LO'!G$78="ja",tab!$C$49,tab!$C$41+'geg LO'!G94*tab!$C$42),0)</f>
        <v>0</v>
      </c>
      <c r="H98" s="1443">
        <f>ROUND(('geg LO'!H74-'geg LO'!H35)*IF('geg LO'!H$78="ja",tab!$C$49,tab!$C$41+'geg LO'!H94*tab!$C$42),0)</f>
        <v>0</v>
      </c>
      <c r="I98" s="1443">
        <f>ROUND(('geg LO'!I74-'geg LO'!I35)*IF('geg LO'!I$78="ja",tab!$C$49,tab!$C$41+'geg LO'!I94*tab!$C$42),0)</f>
        <v>0</v>
      </c>
      <c r="J98" s="1443">
        <f>ROUND(('geg LO'!J74-'geg LO'!J35)*IF('geg LO'!J$78="ja",tab!$C$49,tab!$C$41+'geg LO'!J94*tab!$C$42),0)</f>
        <v>0</v>
      </c>
      <c r="K98" s="1443">
        <f>ROUND(('geg LO'!K74-'geg LO'!K35)*IF('geg LO'!K$78="ja",tab!$C$49,tab!$C$41+'geg LO'!K94*tab!$C$42),0)</f>
        <v>0</v>
      </c>
      <c r="L98" s="1443">
        <f>ROUND(('geg LO'!L74-'geg LO'!L35)*IF('geg LO'!L$78="ja",tab!$C$49,tab!$C$41+'geg LO'!L94*tab!$C$42),0)</f>
        <v>0</v>
      </c>
      <c r="M98" s="1443">
        <f>ROUND(('geg LO'!M74-'geg LO'!M35)*IF('geg LO'!M$78="ja",tab!$C$49,tab!$C$41+'geg LO'!M94*tab!$C$42),0)</f>
        <v>0</v>
      </c>
      <c r="N98" s="1053"/>
      <c r="O98" s="35"/>
      <c r="P98" s="657"/>
      <c r="Q98" s="657"/>
      <c r="R98" s="657"/>
      <c r="S98" s="657"/>
      <c r="T98" s="657"/>
      <c r="U98" s="657"/>
      <c r="V98" s="657"/>
      <c r="W98" s="657"/>
      <c r="X98" s="657"/>
      <c r="Y98" s="657"/>
      <c r="Z98" s="657"/>
      <c r="AA98" s="657"/>
      <c r="AB98" s="657"/>
      <c r="AC98" s="657"/>
      <c r="AD98" s="657"/>
      <c r="AE98" s="657"/>
      <c r="AF98" s="657"/>
      <c r="AG98" s="657"/>
      <c r="AH98" s="657"/>
      <c r="AI98" s="657"/>
      <c r="AJ98" s="657"/>
      <c r="AK98" s="657"/>
      <c r="AL98" s="657"/>
      <c r="AM98" s="657"/>
      <c r="AN98" s="657"/>
      <c r="AO98" s="657"/>
      <c r="AP98" s="657"/>
      <c r="AQ98" s="657"/>
      <c r="AR98" s="657"/>
    </row>
    <row r="99" spans="1:44" s="199" customFormat="1" ht="13.15" customHeight="1" x14ac:dyDescent="0.2">
      <c r="A99" s="657"/>
      <c r="B99" s="34"/>
      <c r="C99" s="1053"/>
      <c r="D99" s="1000" t="s">
        <v>776</v>
      </c>
      <c r="E99" s="1000"/>
      <c r="F99" s="1443" t="e">
        <f>ROUND(('geg LO'!F74-'geg LO'!F56)*IF('geg LO'!F$78="ja",tab!#REF!,tab!#REF!+'geg LO'!F92*tab!#REF!),0)</f>
        <v>#REF!</v>
      </c>
      <c r="G99" s="1443">
        <f>ROUND(('geg LO'!G74-'geg LO'!G56)*IF('geg LO'!G$78="ja",tab!$C$50,tab!$C$43+'geg LO'!G92*tab!$C$44),0)</f>
        <v>0</v>
      </c>
      <c r="H99" s="1443">
        <f>ROUND(('geg LO'!H74-'geg LO'!H56)*IF('geg LO'!H$78="ja",tab!$C$50,tab!$C$43+'geg LO'!H92*tab!$C$44),0)</f>
        <v>0</v>
      </c>
      <c r="I99" s="1443">
        <f>ROUND(('geg LO'!I74-'geg LO'!I56)*IF('geg LO'!I$78="ja",tab!$C$50,tab!$C$43+'geg LO'!I92*tab!$C$44),0)</f>
        <v>0</v>
      </c>
      <c r="J99" s="1443">
        <f>ROUND(('geg LO'!J74-'geg LO'!J56)*IF('geg LO'!J$78="ja",tab!$C$50,tab!$C$43+'geg LO'!J92*tab!$C$44),0)</f>
        <v>0</v>
      </c>
      <c r="K99" s="1443">
        <f>ROUND(('geg LO'!K74-'geg LO'!K56)*IF('geg LO'!K$78="ja",tab!$C$50,tab!$C$43+'geg LO'!K92*tab!$C$44),0)</f>
        <v>0</v>
      </c>
      <c r="L99" s="1443">
        <f>ROUND(('geg LO'!L74-'geg LO'!L56)*IF('geg LO'!L$78="ja",tab!$C$50,tab!$C$43+'geg LO'!L92*tab!$C$44),0)</f>
        <v>0</v>
      </c>
      <c r="M99" s="1443">
        <f>ROUND(('geg LO'!M74-'geg LO'!M56)*IF('geg LO'!M$78="ja",tab!$C$50,tab!$C$43+'geg LO'!M92*tab!$C$44),0)</f>
        <v>0</v>
      </c>
      <c r="N99" s="1053"/>
      <c r="O99" s="35"/>
      <c r="P99" s="657"/>
      <c r="Q99" s="657"/>
      <c r="R99" s="657"/>
      <c r="S99" s="657"/>
      <c r="T99" s="657"/>
      <c r="U99" s="657"/>
      <c r="V99" s="657"/>
      <c r="W99" s="657"/>
      <c r="X99" s="657"/>
      <c r="Y99" s="657"/>
      <c r="Z99" s="657"/>
      <c r="AA99" s="657"/>
      <c r="AB99" s="657"/>
      <c r="AC99" s="657"/>
      <c r="AD99" s="657"/>
      <c r="AE99" s="657"/>
      <c r="AF99" s="657"/>
      <c r="AG99" s="657"/>
      <c r="AH99" s="657"/>
      <c r="AI99" s="657"/>
      <c r="AJ99" s="657"/>
      <c r="AK99" s="657"/>
      <c r="AL99" s="657"/>
      <c r="AM99" s="657"/>
      <c r="AN99" s="657"/>
      <c r="AO99" s="657"/>
      <c r="AP99" s="657"/>
      <c r="AQ99" s="657"/>
      <c r="AR99" s="657"/>
    </row>
    <row r="100" spans="1:44" s="199" customFormat="1" ht="13.15" customHeight="1" x14ac:dyDescent="0.2">
      <c r="A100" s="657"/>
      <c r="B100" s="34"/>
      <c r="C100" s="1053"/>
      <c r="D100" s="1075"/>
      <c r="E100" s="1000"/>
      <c r="F100" s="1448" t="e">
        <f t="shared" ref="F100:L100" si="45">SUM(F98:F99)</f>
        <v>#REF!</v>
      </c>
      <c r="G100" s="1448">
        <f t="shared" si="45"/>
        <v>0</v>
      </c>
      <c r="H100" s="1448">
        <f t="shared" si="45"/>
        <v>0</v>
      </c>
      <c r="I100" s="1448">
        <f t="shared" si="45"/>
        <v>0</v>
      </c>
      <c r="J100" s="1448">
        <f t="shared" si="45"/>
        <v>0</v>
      </c>
      <c r="K100" s="1448">
        <f t="shared" si="45"/>
        <v>0</v>
      </c>
      <c r="L100" s="1448">
        <f t="shared" si="45"/>
        <v>0</v>
      </c>
      <c r="M100" s="1448">
        <f t="shared" ref="M100" si="46">SUM(M98:M99)</f>
        <v>0</v>
      </c>
      <c r="N100" s="1053"/>
      <c r="O100" s="35"/>
      <c r="P100" s="657"/>
      <c r="Q100" s="657"/>
      <c r="R100" s="657"/>
      <c r="S100" s="657"/>
      <c r="T100" s="657"/>
      <c r="U100" s="657"/>
      <c r="V100" s="657"/>
      <c r="W100" s="657"/>
      <c r="X100" s="657"/>
      <c r="Y100" s="657"/>
      <c r="Z100" s="657"/>
      <c r="AA100" s="657"/>
      <c r="AB100" s="657"/>
      <c r="AC100" s="657"/>
      <c r="AD100" s="657"/>
      <c r="AE100" s="657"/>
      <c r="AF100" s="657"/>
      <c r="AG100" s="657"/>
      <c r="AH100" s="657"/>
      <c r="AI100" s="657"/>
      <c r="AJ100" s="657"/>
      <c r="AK100" s="657"/>
      <c r="AL100" s="657"/>
      <c r="AM100" s="657"/>
      <c r="AN100" s="657"/>
      <c r="AO100" s="657"/>
      <c r="AP100" s="657"/>
      <c r="AQ100" s="657"/>
      <c r="AR100" s="657"/>
    </row>
    <row r="101" spans="1:44" s="199" customFormat="1" ht="13.15" customHeight="1" x14ac:dyDescent="0.2">
      <c r="A101" s="657"/>
      <c r="B101" s="34"/>
      <c r="C101" s="1053"/>
      <c r="D101" s="1075"/>
      <c r="E101" s="1000"/>
      <c r="F101" s="1450"/>
      <c r="G101" s="1175"/>
      <c r="H101" s="1175"/>
      <c r="I101" s="1175"/>
      <c r="J101" s="1175"/>
      <c r="K101" s="1175"/>
      <c r="L101" s="1175"/>
      <c r="M101" s="1175"/>
      <c r="N101" s="1053"/>
      <c r="O101" s="35"/>
      <c r="P101" s="657"/>
      <c r="Q101" s="657"/>
      <c r="R101" s="657"/>
      <c r="S101" s="657"/>
      <c r="T101" s="657"/>
      <c r="U101" s="657"/>
      <c r="V101" s="657"/>
      <c r="W101" s="657"/>
      <c r="X101" s="657"/>
      <c r="Y101" s="657"/>
      <c r="Z101" s="657"/>
      <c r="AA101" s="657"/>
      <c r="AB101" s="657"/>
      <c r="AC101" s="657"/>
      <c r="AD101" s="657"/>
      <c r="AE101" s="657"/>
      <c r="AF101" s="657"/>
      <c r="AG101" s="657"/>
      <c r="AH101" s="657"/>
      <c r="AI101" s="657"/>
      <c r="AJ101" s="657"/>
      <c r="AK101" s="657"/>
      <c r="AL101" s="657"/>
      <c r="AM101" s="657"/>
      <c r="AN101" s="657"/>
      <c r="AO101" s="657"/>
      <c r="AP101" s="657"/>
      <c r="AQ101" s="657"/>
      <c r="AR101" s="657"/>
    </row>
    <row r="102" spans="1:44" s="199" customFormat="1" ht="13.15" customHeight="1" x14ac:dyDescent="0.2">
      <c r="A102" s="657"/>
      <c r="B102" s="34"/>
      <c r="C102" s="312"/>
      <c r="D102" s="67"/>
      <c r="E102" s="87"/>
      <c r="F102" s="392"/>
      <c r="G102" s="392"/>
      <c r="H102" s="392"/>
      <c r="I102" s="392"/>
      <c r="J102" s="392"/>
      <c r="K102" s="392"/>
      <c r="L102" s="392"/>
      <c r="M102" s="392"/>
      <c r="N102" s="312"/>
      <c r="O102" s="35"/>
      <c r="P102" s="657"/>
      <c r="Q102" s="657"/>
      <c r="R102" s="657"/>
      <c r="S102" s="657"/>
      <c r="T102" s="657"/>
      <c r="U102" s="657"/>
      <c r="V102" s="657"/>
      <c r="W102" s="657"/>
      <c r="X102" s="657"/>
      <c r="Y102" s="657"/>
      <c r="Z102" s="657"/>
      <c r="AA102" s="657"/>
      <c r="AB102" s="657"/>
      <c r="AC102" s="657"/>
      <c r="AD102" s="657"/>
      <c r="AE102" s="657"/>
      <c r="AF102" s="657"/>
      <c r="AG102" s="657"/>
      <c r="AH102" s="657"/>
      <c r="AI102" s="657"/>
      <c r="AJ102" s="657"/>
      <c r="AK102" s="657"/>
      <c r="AL102" s="657"/>
      <c r="AM102" s="657"/>
      <c r="AN102" s="657"/>
      <c r="AO102" s="657"/>
      <c r="AP102" s="657"/>
      <c r="AQ102" s="657"/>
      <c r="AR102" s="657"/>
    </row>
    <row r="103" spans="1:44" s="199" customFormat="1" ht="13.15" customHeight="1" x14ac:dyDescent="0.2">
      <c r="A103" s="657"/>
      <c r="B103" s="34"/>
      <c r="C103" s="1053"/>
      <c r="D103" s="1075"/>
      <c r="E103" s="1000"/>
      <c r="F103" s="1450"/>
      <c r="G103" s="1175"/>
      <c r="H103" s="1175"/>
      <c r="I103" s="1175"/>
      <c r="J103" s="1175"/>
      <c r="K103" s="1175"/>
      <c r="L103" s="1175"/>
      <c r="M103" s="1175"/>
      <c r="N103" s="1053"/>
      <c r="O103" s="35"/>
      <c r="P103" s="657"/>
      <c r="Q103" s="657"/>
      <c r="R103" s="657"/>
      <c r="S103" s="657"/>
      <c r="T103" s="657"/>
      <c r="U103" s="657"/>
      <c r="V103" s="657"/>
      <c r="W103" s="657"/>
      <c r="X103" s="657"/>
      <c r="Y103" s="657"/>
      <c r="Z103" s="657"/>
      <c r="AA103" s="657"/>
      <c r="AB103" s="657"/>
      <c r="AC103" s="657"/>
      <c r="AD103" s="657"/>
      <c r="AE103" s="657"/>
      <c r="AF103" s="657"/>
      <c r="AG103" s="657"/>
      <c r="AH103" s="657"/>
      <c r="AI103" s="657"/>
      <c r="AJ103" s="657"/>
      <c r="AK103" s="657"/>
      <c r="AL103" s="657"/>
      <c r="AM103" s="657"/>
      <c r="AN103" s="657"/>
      <c r="AO103" s="657"/>
      <c r="AP103" s="657"/>
      <c r="AQ103" s="657"/>
      <c r="AR103" s="657"/>
    </row>
    <row r="104" spans="1:44" ht="13.15" customHeight="1" x14ac:dyDescent="0.2">
      <c r="B104" s="86"/>
      <c r="C104" s="1000"/>
      <c r="D104" s="1075" t="s">
        <v>317</v>
      </c>
      <c r="E104" s="1000"/>
      <c r="F104" s="1449"/>
      <c r="G104" s="1120"/>
      <c r="H104" s="1120"/>
      <c r="I104" s="1120"/>
      <c r="J104" s="1120"/>
      <c r="K104" s="1120"/>
      <c r="L104" s="1120"/>
      <c r="M104" s="1120"/>
      <c r="N104" s="1000"/>
      <c r="O104" s="88"/>
    </row>
    <row r="105" spans="1:44" ht="13.15" customHeight="1" x14ac:dyDescent="0.2">
      <c r="B105" s="86"/>
      <c r="C105" s="1000"/>
      <c r="D105" s="1000" t="s">
        <v>15</v>
      </c>
      <c r="E105" s="1000"/>
      <c r="F105" s="1444" t="e">
        <f t="shared" ref="F105:J107" si="47">F42+F46+F50+F54+F58+F62+F66+F70+F74+F78+F82+F86+F90+F94+F98</f>
        <v>#REF!</v>
      </c>
      <c r="G105" s="1444">
        <f t="shared" si="47"/>
        <v>0</v>
      </c>
      <c r="H105" s="1444">
        <f t="shared" si="47"/>
        <v>0</v>
      </c>
      <c r="I105" s="1444">
        <f t="shared" si="47"/>
        <v>0</v>
      </c>
      <c r="J105" s="1444">
        <f t="shared" si="47"/>
        <v>0</v>
      </c>
      <c r="K105" s="1444">
        <f t="shared" ref="K105:L107" si="48">K42+K46+K50+K54+K58+K62+K66+K70+K74+K78+K82+K86+K90+K94+K98</f>
        <v>0</v>
      </c>
      <c r="L105" s="1444">
        <f t="shared" si="48"/>
        <v>0</v>
      </c>
      <c r="M105" s="1444">
        <f t="shared" ref="M105" si="49">M42+M46+M50+M54+M58+M62+M66+M70+M74+M78+M82+M86+M90+M94+M98</f>
        <v>0</v>
      </c>
      <c r="N105" s="1000"/>
      <c r="O105" s="88"/>
    </row>
    <row r="106" spans="1:44" ht="13.15" customHeight="1" x14ac:dyDescent="0.2">
      <c r="B106" s="86"/>
      <c r="C106" s="1000"/>
      <c r="D106" s="1000" t="s">
        <v>776</v>
      </c>
      <c r="E106" s="1000"/>
      <c r="F106" s="1444" t="e">
        <f t="shared" si="47"/>
        <v>#REF!</v>
      </c>
      <c r="G106" s="1444">
        <f t="shared" si="47"/>
        <v>0</v>
      </c>
      <c r="H106" s="1444">
        <f t="shared" si="47"/>
        <v>0</v>
      </c>
      <c r="I106" s="1444">
        <f t="shared" si="47"/>
        <v>0</v>
      </c>
      <c r="J106" s="1444">
        <f t="shared" si="47"/>
        <v>0</v>
      </c>
      <c r="K106" s="1444">
        <f t="shared" si="48"/>
        <v>0</v>
      </c>
      <c r="L106" s="1444">
        <f t="shared" si="48"/>
        <v>0</v>
      </c>
      <c r="M106" s="1444">
        <f t="shared" ref="M106" si="50">M43+M47+M51+M55+M59+M63+M67+M71+M75+M79+M83+M87+M91+M95+M99</f>
        <v>0</v>
      </c>
      <c r="N106" s="1000"/>
      <c r="O106" s="88"/>
    </row>
    <row r="107" spans="1:44" ht="13.15" customHeight="1" x14ac:dyDescent="0.2">
      <c r="B107" s="86"/>
      <c r="C107" s="1053"/>
      <c r="D107" s="1075" t="s">
        <v>175</v>
      </c>
      <c r="E107" s="1053"/>
      <c r="F107" s="1448" t="e">
        <f t="shared" si="47"/>
        <v>#REF!</v>
      </c>
      <c r="G107" s="1448">
        <f t="shared" si="47"/>
        <v>0</v>
      </c>
      <c r="H107" s="1448">
        <f t="shared" si="47"/>
        <v>0</v>
      </c>
      <c r="I107" s="1448">
        <f t="shared" si="47"/>
        <v>0</v>
      </c>
      <c r="J107" s="1448">
        <f t="shared" si="47"/>
        <v>0</v>
      </c>
      <c r="K107" s="1448">
        <f t="shared" si="48"/>
        <v>0</v>
      </c>
      <c r="L107" s="1448">
        <f t="shared" si="48"/>
        <v>0</v>
      </c>
      <c r="M107" s="1448">
        <f t="shared" ref="M107" si="51">M44+M48+M52+M56+M60+M64+M68+M72+M76+M80+M84+M88+M92+M96+M100</f>
        <v>0</v>
      </c>
      <c r="N107" s="1053"/>
      <c r="O107" s="88"/>
    </row>
    <row r="108" spans="1:44" ht="13.15" customHeight="1" x14ac:dyDescent="0.2">
      <c r="B108" s="86"/>
      <c r="C108" s="1000"/>
      <c r="D108" s="1075"/>
      <c r="E108" s="1000"/>
      <c r="F108" s="1449"/>
      <c r="G108" s="1120"/>
      <c r="H108" s="1120"/>
      <c r="I108" s="1120"/>
      <c r="J108" s="1120"/>
      <c r="K108" s="1120"/>
      <c r="L108" s="1120"/>
      <c r="M108" s="1120"/>
      <c r="N108" s="1000"/>
      <c r="O108" s="88"/>
    </row>
    <row r="109" spans="1:44" ht="13.15" customHeight="1" x14ac:dyDescent="0.2">
      <c r="B109" s="86"/>
      <c r="C109" s="87"/>
      <c r="D109" s="67"/>
      <c r="E109" s="87"/>
      <c r="F109" s="143"/>
      <c r="G109" s="143"/>
      <c r="H109" s="143"/>
      <c r="I109" s="143"/>
      <c r="J109" s="143"/>
      <c r="K109" s="143"/>
      <c r="L109" s="143"/>
      <c r="M109" s="143"/>
      <c r="N109" s="87"/>
      <c r="O109" s="88"/>
    </row>
    <row r="110" spans="1:44" ht="13.15" customHeight="1" x14ac:dyDescent="0.2">
      <c r="B110" s="96"/>
      <c r="C110" s="93"/>
      <c r="D110" s="93"/>
      <c r="E110" s="93"/>
      <c r="F110" s="156"/>
      <c r="G110" s="156"/>
      <c r="H110" s="156"/>
      <c r="I110" s="156"/>
      <c r="J110" s="156"/>
      <c r="K110" s="156"/>
      <c r="L110" s="156"/>
      <c r="M110" s="156"/>
      <c r="N110" s="93"/>
      <c r="O110" s="95"/>
    </row>
    <row r="111" spans="1:44" ht="13.15" customHeight="1" x14ac:dyDescent="0.2">
      <c r="B111" s="82"/>
      <c r="C111" s="83"/>
      <c r="D111" s="83"/>
      <c r="E111" s="83"/>
      <c r="F111" s="149"/>
      <c r="G111" s="149"/>
      <c r="H111" s="149"/>
      <c r="I111" s="149"/>
      <c r="J111" s="149"/>
      <c r="K111" s="149"/>
      <c r="L111" s="149"/>
      <c r="M111" s="149"/>
      <c r="N111" s="83"/>
      <c r="O111" s="85"/>
    </row>
    <row r="112" spans="1:44" ht="13.15" customHeight="1" x14ac:dyDescent="0.2">
      <c r="B112" s="86"/>
      <c r="C112" s="87"/>
      <c r="D112" s="87"/>
      <c r="E112" s="87"/>
      <c r="F112" s="143"/>
      <c r="G112" s="143"/>
      <c r="H112" s="143"/>
      <c r="I112" s="143"/>
      <c r="J112" s="143"/>
      <c r="K112" s="143"/>
      <c r="L112" s="143"/>
      <c r="M112" s="143"/>
      <c r="N112" s="87"/>
      <c r="O112" s="517"/>
    </row>
    <row r="113" spans="2:15" ht="13.15" customHeight="1" x14ac:dyDescent="0.2">
      <c r="B113" s="86"/>
      <c r="C113" s="87"/>
      <c r="D113" s="87"/>
      <c r="E113" s="87"/>
      <c r="F113" s="143"/>
      <c r="G113" s="143"/>
      <c r="H113" s="143"/>
      <c r="I113" s="143"/>
      <c r="J113" s="143"/>
      <c r="K113" s="143"/>
      <c r="L113" s="143"/>
      <c r="M113" s="143"/>
      <c r="N113" s="87"/>
      <c r="O113" s="88"/>
    </row>
    <row r="114" spans="2:15" ht="13.15" customHeight="1" x14ac:dyDescent="0.2">
      <c r="B114" s="86"/>
      <c r="C114" s="87"/>
      <c r="D114" s="658" t="s">
        <v>273</v>
      </c>
      <c r="E114" s="659"/>
      <c r="F114" s="700" t="e">
        <f>tab!#REF!</f>
        <v>#REF!</v>
      </c>
      <c r="G114" s="700">
        <f>tab!C4</f>
        <v>2015</v>
      </c>
      <c r="H114" s="700">
        <f>tab!D4</f>
        <v>2016</v>
      </c>
      <c r="I114" s="700">
        <f>tab!E4</f>
        <v>2017</v>
      </c>
      <c r="J114" s="700">
        <f>tab!F4</f>
        <v>2018</v>
      </c>
      <c r="K114" s="700">
        <f>tab!G4</f>
        <v>2019</v>
      </c>
      <c r="L114" s="700">
        <f>tab!H4</f>
        <v>2020</v>
      </c>
      <c r="M114" s="700">
        <f>tab!I4</f>
        <v>2021</v>
      </c>
      <c r="N114" s="87"/>
      <c r="O114" s="88"/>
    </row>
    <row r="115" spans="2:15" ht="13.15" customHeight="1" x14ac:dyDescent="0.2">
      <c r="B115" s="86"/>
      <c r="C115" s="87"/>
      <c r="D115" s="341"/>
      <c r="E115" s="341"/>
      <c r="F115" s="346"/>
      <c r="G115" s="346"/>
      <c r="H115" s="346"/>
      <c r="I115" s="346"/>
      <c r="J115" s="346"/>
      <c r="K115" s="346"/>
      <c r="L115" s="346"/>
      <c r="M115" s="346"/>
      <c r="N115" s="87"/>
      <c r="O115" s="88"/>
    </row>
    <row r="116" spans="2:15" ht="13.15" customHeight="1" x14ac:dyDescent="0.2">
      <c r="B116" s="86"/>
      <c r="C116" s="1000"/>
      <c r="D116" s="1000"/>
      <c r="E116" s="1000"/>
      <c r="F116" s="1446"/>
      <c r="G116" s="1172"/>
      <c r="H116" s="1172"/>
      <c r="I116" s="1172"/>
      <c r="J116" s="1172"/>
      <c r="K116" s="1172"/>
      <c r="L116" s="1172"/>
      <c r="M116" s="1172"/>
      <c r="N116" s="1000"/>
      <c r="O116" s="88"/>
    </row>
    <row r="117" spans="2:15" ht="13.15" customHeight="1" x14ac:dyDescent="0.2">
      <c r="B117" s="86"/>
      <c r="C117" s="1000"/>
      <c r="D117" s="1049" t="s">
        <v>339</v>
      </c>
      <c r="E117" s="1000"/>
      <c r="F117" s="1446"/>
      <c r="G117" s="1172"/>
      <c r="H117" s="1172"/>
      <c r="I117" s="1172"/>
      <c r="J117" s="1172"/>
      <c r="K117" s="1172"/>
      <c r="L117" s="1172"/>
      <c r="M117" s="1172"/>
      <c r="N117" s="1000"/>
      <c r="O117" s="88"/>
    </row>
    <row r="118" spans="2:15" ht="13.15" customHeight="1" x14ac:dyDescent="0.2">
      <c r="B118" s="86"/>
      <c r="C118" s="1000"/>
      <c r="D118" s="1000"/>
      <c r="E118" s="1000"/>
      <c r="F118" s="1446"/>
      <c r="G118" s="1172"/>
      <c r="H118" s="1172"/>
      <c r="I118" s="1172"/>
      <c r="J118" s="1172"/>
      <c r="K118" s="1172"/>
      <c r="L118" s="1172"/>
      <c r="M118" s="1172"/>
      <c r="N118" s="1000"/>
      <c r="O118" s="88"/>
    </row>
    <row r="119" spans="2:15" ht="13.15" customHeight="1" x14ac:dyDescent="0.2">
      <c r="B119" s="86"/>
      <c r="C119" s="1000"/>
      <c r="D119" s="1447" t="str">
        <f>+D41</f>
        <v>Naam SBO 1</v>
      </c>
      <c r="E119" s="1000"/>
      <c r="F119" s="1449"/>
      <c r="G119" s="1120"/>
      <c r="H119" s="1120"/>
      <c r="I119" s="1120"/>
      <c r="J119" s="1120"/>
      <c r="K119" s="1120"/>
      <c r="L119" s="1120"/>
      <c r="M119" s="1120"/>
      <c r="N119" s="1000"/>
      <c r="O119" s="88"/>
    </row>
    <row r="120" spans="2:15" ht="13.15" customHeight="1" x14ac:dyDescent="0.2">
      <c r="B120" s="86"/>
      <c r="C120" s="1000"/>
      <c r="D120" s="1000" t="s">
        <v>15</v>
      </c>
      <c r="E120" s="1000"/>
      <c r="F120" s="1443">
        <f>IF('geg LO'!F$96="ja",ROUND(('geg LO'!F60-'geg LO'!F21)*tab!$C$55,0),0)</f>
        <v>7850</v>
      </c>
      <c r="G120" s="1443">
        <f>IF('geg LO'!G$96="ja",ROUND(('geg LO'!G60-'geg LO'!G21)*tab!$D$55,0),0)</f>
        <v>0</v>
      </c>
      <c r="H120" s="1443">
        <f>IF('geg LO'!H$96="ja",ROUND(('geg LO'!H60-'geg LO'!H21)*tab!$D$55,0),0)</f>
        <v>0</v>
      </c>
      <c r="I120" s="1443">
        <f>IF('geg LO'!I$96="ja",ROUND(('geg LO'!I60-'geg LO'!I21)*tab!$D$55,0),0)</f>
        <v>0</v>
      </c>
      <c r="J120" s="1443">
        <f>IF('geg LO'!J$96="ja",ROUND(('geg LO'!J60-'geg LO'!J21)*tab!$D$55,0),0)</f>
        <v>0</v>
      </c>
      <c r="K120" s="1443">
        <f>IF('geg LO'!K$96="ja",ROUND(('geg LO'!K60-'geg LO'!K21)*tab!$D$55,0),0)</f>
        <v>0</v>
      </c>
      <c r="L120" s="1443">
        <f>IF('geg LO'!L$96="ja",ROUND(('geg LO'!L60-'geg LO'!L21)*tab!$D$55,0),0)</f>
        <v>0</v>
      </c>
      <c r="M120" s="1443">
        <f>IF('geg LO'!M$96="ja",ROUND(('geg LO'!M60-'geg LO'!M21)*tab!$D$55,0),0)</f>
        <v>0</v>
      </c>
      <c r="N120" s="1000"/>
      <c r="O120" s="88"/>
    </row>
    <row r="121" spans="2:15" ht="13.15" customHeight="1" x14ac:dyDescent="0.2">
      <c r="B121" s="86"/>
      <c r="C121" s="1000"/>
      <c r="D121" s="1000" t="s">
        <v>776</v>
      </c>
      <c r="E121" s="1000"/>
      <c r="F121" s="1443">
        <f>IF('geg LO'!F$96="ja",ROUND(('geg LO'!F60-'geg LO'!F42)*tab!$C$56,0),ROUND(('geg LO'!F21-'geg LO'!F42)*tab!$C$56,0))</f>
        <v>6253</v>
      </c>
      <c r="G121" s="1443">
        <f>IF('geg LO'!G$96="ja",ROUND(('geg LO'!G60-'geg LO'!G42)*tab!$D$56,0),ROUND(('geg LO'!G21-'geg LO'!G42)*tab!$D$56,0))</f>
        <v>0</v>
      </c>
      <c r="H121" s="1443">
        <f>IF('geg LO'!H$96="ja",ROUND(('geg LO'!H60-'geg LO'!H42)*tab!$D$56,0),ROUND(('geg LO'!H21-'geg LO'!H42)*tab!$D$56,0))</f>
        <v>0</v>
      </c>
      <c r="I121" s="1443">
        <f>IF('geg LO'!I$96="ja",ROUND(('geg LO'!I60-'geg LO'!I42)*tab!$D$56,0),ROUND(('geg LO'!I21-'geg LO'!I42)*tab!$D$56,0))</f>
        <v>0</v>
      </c>
      <c r="J121" s="1443">
        <f>IF('geg LO'!J$96="ja",ROUND(('geg LO'!J60-'geg LO'!J42)*tab!$D$56,0),ROUND(('geg LO'!J21-'geg LO'!J42)*tab!$D$56,0))</f>
        <v>0</v>
      </c>
      <c r="K121" s="1443">
        <f>IF('geg LO'!K$96="ja",ROUND(('geg LO'!K60-'geg LO'!K42)*tab!$D$56,0),ROUND(('geg LO'!K21-'geg LO'!K42)*tab!$D$56,0))</f>
        <v>0</v>
      </c>
      <c r="L121" s="1443">
        <f>IF('geg LO'!L$96="ja",ROUND(('geg LO'!L60-'geg LO'!L42)*tab!$D$56,0),ROUND(('geg LO'!L21-'geg LO'!L42)*tab!$D$56,0))</f>
        <v>0</v>
      </c>
      <c r="M121" s="1443">
        <f>IF('geg LO'!M$96="ja",ROUND(('geg LO'!M60-'geg LO'!M42)*tab!$D$56,0),ROUND(('geg LO'!M21-'geg LO'!M42)*tab!$D$56,0))</f>
        <v>0</v>
      </c>
      <c r="N121" s="1000"/>
      <c r="O121" s="88"/>
    </row>
    <row r="122" spans="2:15" ht="13.15" customHeight="1" x14ac:dyDescent="0.2">
      <c r="B122" s="86"/>
      <c r="C122" s="1000"/>
      <c r="D122" s="1000" t="s">
        <v>176</v>
      </c>
      <c r="E122" s="1000"/>
      <c r="F122" s="1443">
        <f>+F200*'geg LO'!F21/'geg LO'!F$36</f>
        <v>30958.333333333336</v>
      </c>
      <c r="G122" s="1443" t="e">
        <f>+G200*'geg LO'!G21/'geg LO'!G$36</f>
        <v>#DIV/0!</v>
      </c>
      <c r="H122" s="1443" t="e">
        <f>+H200*'geg LO'!H21/'geg LO'!H$36</f>
        <v>#DIV/0!</v>
      </c>
      <c r="I122" s="1443" t="e">
        <f>+I200*'geg LO'!I21/'geg LO'!I$36</f>
        <v>#DIV/0!</v>
      </c>
      <c r="J122" s="1443" t="e">
        <f>+J200*'geg LO'!J21/'geg LO'!J$36</f>
        <v>#DIV/0!</v>
      </c>
      <c r="K122" s="1443" t="e">
        <f>+K200*'geg LO'!K21/'geg LO'!K$36</f>
        <v>#DIV/0!</v>
      </c>
      <c r="L122" s="1443" t="e">
        <f>+L200*'geg LO'!L21/'geg LO'!L$36</f>
        <v>#DIV/0!</v>
      </c>
      <c r="M122" s="1443" t="e">
        <f>+M200*'geg LO'!M21/'geg LO'!M$36</f>
        <v>#DIV/0!</v>
      </c>
      <c r="N122" s="1000"/>
      <c r="O122" s="88"/>
    </row>
    <row r="123" spans="2:15" ht="13.15" customHeight="1" x14ac:dyDescent="0.2">
      <c r="B123" s="86"/>
      <c r="C123" s="1075"/>
      <c r="D123" s="1075"/>
      <c r="E123" s="1075"/>
      <c r="F123" s="1448">
        <f t="shared" ref="F123:L123" si="52">IF(F121&gt;F122,F122+F120,F121+F120)</f>
        <v>14103</v>
      </c>
      <c r="G123" s="1448" t="e">
        <f t="shared" si="52"/>
        <v>#DIV/0!</v>
      </c>
      <c r="H123" s="1448" t="e">
        <f t="shared" si="52"/>
        <v>#DIV/0!</v>
      </c>
      <c r="I123" s="1448" t="e">
        <f t="shared" si="52"/>
        <v>#DIV/0!</v>
      </c>
      <c r="J123" s="1448" t="e">
        <f t="shared" si="52"/>
        <v>#DIV/0!</v>
      </c>
      <c r="K123" s="1448" t="e">
        <f t="shared" si="52"/>
        <v>#DIV/0!</v>
      </c>
      <c r="L123" s="1448" t="e">
        <f t="shared" si="52"/>
        <v>#DIV/0!</v>
      </c>
      <c r="M123" s="1448" t="e">
        <f t="shared" ref="M123" si="53">IF(M121&gt;M122,M122+M120,M121+M120)</f>
        <v>#DIV/0!</v>
      </c>
      <c r="N123" s="1075"/>
      <c r="O123" s="88"/>
    </row>
    <row r="124" spans="2:15" ht="13.15" customHeight="1" x14ac:dyDescent="0.2">
      <c r="B124" s="86"/>
      <c r="C124" s="1000"/>
      <c r="D124" s="1447" t="str">
        <f>+D45</f>
        <v>Naam SBO 2</v>
      </c>
      <c r="E124" s="1000"/>
      <c r="F124" s="1449"/>
      <c r="G124" s="1120"/>
      <c r="H124" s="1120"/>
      <c r="I124" s="1120"/>
      <c r="J124" s="1120"/>
      <c r="K124" s="1120"/>
      <c r="L124" s="1120"/>
      <c r="M124" s="1120"/>
      <c r="N124" s="1000"/>
      <c r="O124" s="88"/>
    </row>
    <row r="125" spans="2:15" ht="13.15" customHeight="1" x14ac:dyDescent="0.2">
      <c r="B125" s="86"/>
      <c r="C125" s="1000"/>
      <c r="D125" s="1000" t="s">
        <v>15</v>
      </c>
      <c r="E125" s="1000"/>
      <c r="F125" s="1443">
        <f>IF('geg LO'!F$96="ja",ROUND(('geg LO'!F61-'geg LO'!F22)*tab!$D$55,0),0)</f>
        <v>0</v>
      </c>
      <c r="G125" s="1443">
        <f>IF('geg LO'!G$96="ja",ROUND(('geg LO'!G61-'geg LO'!G22)*tab!$D$55,0),0)</f>
        <v>0</v>
      </c>
      <c r="H125" s="1443">
        <f>IF('geg LO'!H$96="ja",ROUND(('geg LO'!H61-'geg LO'!H22)*tab!$D$55,0),0)</f>
        <v>0</v>
      </c>
      <c r="I125" s="1443">
        <f>IF('geg LO'!I$96="ja",ROUND(('geg LO'!I61-'geg LO'!I22)*tab!$D$55,0),0)</f>
        <v>0</v>
      </c>
      <c r="J125" s="1443">
        <f>IF('geg LO'!J$96="ja",ROUND(('geg LO'!J61-'geg LO'!J22)*tab!$D$55,0),0)</f>
        <v>0</v>
      </c>
      <c r="K125" s="1443">
        <f>IF('geg LO'!K$96="ja",ROUND(('geg LO'!K61-'geg LO'!K22)*tab!$D$55,0),0)</f>
        <v>0</v>
      </c>
      <c r="L125" s="1443">
        <f>IF('geg LO'!L$96="ja",ROUND(('geg LO'!L61-'geg LO'!L22)*tab!$D$55,0),0)</f>
        <v>0</v>
      </c>
      <c r="M125" s="1443">
        <f>IF('geg LO'!M$96="ja",ROUND(('geg LO'!M61-'geg LO'!M22)*tab!$D$55,0),0)</f>
        <v>0</v>
      </c>
      <c r="N125" s="1000"/>
      <c r="O125" s="88"/>
    </row>
    <row r="126" spans="2:15" ht="13.15" customHeight="1" x14ac:dyDescent="0.2">
      <c r="B126" s="86"/>
      <c r="C126" s="1000"/>
      <c r="D126" s="1000" t="s">
        <v>776</v>
      </c>
      <c r="E126" s="1000"/>
      <c r="F126" s="1443">
        <f>IF('geg LO'!F$96="ja",ROUND(('geg LO'!F61-'geg LO'!F43)*tab!$D$56,0),ROUND(('geg LO'!F22-'geg LO'!F43)*tab!$D$56,0))</f>
        <v>0</v>
      </c>
      <c r="G126" s="1443">
        <f>IF('geg LO'!G$96="ja",ROUND(('geg LO'!G61-'geg LO'!G43)*tab!$D$56,0),ROUND(('geg LO'!G22-'geg LO'!G43)*tab!$D$56,0))</f>
        <v>0</v>
      </c>
      <c r="H126" s="1443">
        <f>IF('geg LO'!H$96="ja",ROUND(('geg LO'!H61-'geg LO'!H43)*tab!$D$56,0),ROUND(('geg LO'!H22-'geg LO'!H43)*tab!$D$56,0))</f>
        <v>0</v>
      </c>
      <c r="I126" s="1443">
        <f>IF('geg LO'!I$96="ja",ROUND(('geg LO'!I61-'geg LO'!I43)*tab!$D$56,0),ROUND(('geg LO'!I22-'geg LO'!I43)*tab!$D$56,0))</f>
        <v>0</v>
      </c>
      <c r="J126" s="1443">
        <f>IF('geg LO'!J$96="ja",ROUND(('geg LO'!J61-'geg LO'!J43)*tab!$D$56,0),ROUND(('geg LO'!J22-'geg LO'!J43)*tab!$D$56,0))</f>
        <v>0</v>
      </c>
      <c r="K126" s="1443">
        <f>IF('geg LO'!K$96="ja",ROUND(('geg LO'!K61-'geg LO'!K43)*tab!$D$56,0),ROUND(('geg LO'!K22-'geg LO'!K43)*tab!$D$56,0))</f>
        <v>0</v>
      </c>
      <c r="L126" s="1443">
        <f>IF('geg LO'!L$96="ja",ROUND(('geg LO'!L61-'geg LO'!L43)*tab!$D$56,0),ROUND(('geg LO'!L22-'geg LO'!L43)*tab!$D$56,0))</f>
        <v>0</v>
      </c>
      <c r="M126" s="1443">
        <f>IF('geg LO'!M$96="ja",ROUND(('geg LO'!M61-'geg LO'!M43)*tab!$D$56,0),ROUND(('geg LO'!M22-'geg LO'!M43)*tab!$D$56,0))</f>
        <v>0</v>
      </c>
      <c r="N126" s="1000"/>
      <c r="O126" s="88"/>
    </row>
    <row r="127" spans="2:15" ht="13.15" customHeight="1" x14ac:dyDescent="0.2">
      <c r="B127" s="86"/>
      <c r="C127" s="1000"/>
      <c r="D127" s="1000" t="s">
        <v>176</v>
      </c>
      <c r="E127" s="1000"/>
      <c r="F127" s="1443">
        <f>+F200*'geg LO'!F22/'geg LO'!F$36</f>
        <v>0</v>
      </c>
      <c r="G127" s="1443" t="e">
        <f>+G200*'geg LO'!G22/'geg LO'!G$36</f>
        <v>#DIV/0!</v>
      </c>
      <c r="H127" s="1443" t="e">
        <f>+H200*'geg LO'!H22/'geg LO'!H$36</f>
        <v>#DIV/0!</v>
      </c>
      <c r="I127" s="1443" t="e">
        <f>+I200*'geg LO'!I22/'geg LO'!I$36</f>
        <v>#DIV/0!</v>
      </c>
      <c r="J127" s="1443" t="e">
        <f>+J200*'geg LO'!J22/'geg LO'!J$36</f>
        <v>#DIV/0!</v>
      </c>
      <c r="K127" s="1443" t="e">
        <f>+K200*'geg LO'!K22/'geg LO'!K$36</f>
        <v>#DIV/0!</v>
      </c>
      <c r="L127" s="1443" t="e">
        <f>+L200*'geg LO'!L22/'geg LO'!L$36</f>
        <v>#DIV/0!</v>
      </c>
      <c r="M127" s="1443" t="e">
        <f>+M200*'geg LO'!M22/'geg LO'!M$36</f>
        <v>#DIV/0!</v>
      </c>
      <c r="N127" s="1000"/>
      <c r="O127" s="88"/>
    </row>
    <row r="128" spans="2:15" ht="13.15" customHeight="1" x14ac:dyDescent="0.2">
      <c r="B128" s="86"/>
      <c r="C128" s="1075"/>
      <c r="D128" s="1075"/>
      <c r="E128" s="1075"/>
      <c r="F128" s="1448">
        <f t="shared" ref="F128:L128" si="54">IF(F126&gt;F127,F127+F125,F126+F125)</f>
        <v>0</v>
      </c>
      <c r="G128" s="1448" t="e">
        <f t="shared" si="54"/>
        <v>#DIV/0!</v>
      </c>
      <c r="H128" s="1448" t="e">
        <f t="shared" si="54"/>
        <v>#DIV/0!</v>
      </c>
      <c r="I128" s="1448" t="e">
        <f t="shared" si="54"/>
        <v>#DIV/0!</v>
      </c>
      <c r="J128" s="1448" t="e">
        <f t="shared" si="54"/>
        <v>#DIV/0!</v>
      </c>
      <c r="K128" s="1448" t="e">
        <f t="shared" si="54"/>
        <v>#DIV/0!</v>
      </c>
      <c r="L128" s="1448" t="e">
        <f t="shared" si="54"/>
        <v>#DIV/0!</v>
      </c>
      <c r="M128" s="1448" t="e">
        <f t="shared" ref="M128" si="55">IF(M126&gt;M127,M127+M125,M126+M125)</f>
        <v>#DIV/0!</v>
      </c>
      <c r="N128" s="1075"/>
      <c r="O128" s="88"/>
    </row>
    <row r="129" spans="2:15" ht="13.15" customHeight="1" x14ac:dyDescent="0.2">
      <c r="B129" s="86"/>
      <c r="C129" s="1000"/>
      <c r="D129" s="1447" t="str">
        <f>+D49</f>
        <v>Naam SBO 3</v>
      </c>
      <c r="E129" s="1000"/>
      <c r="F129" s="1449"/>
      <c r="G129" s="1120"/>
      <c r="H129" s="1120"/>
      <c r="I129" s="1120"/>
      <c r="J129" s="1120"/>
      <c r="K129" s="1120"/>
      <c r="L129" s="1120"/>
      <c r="M129" s="1120"/>
      <c r="N129" s="1000"/>
      <c r="O129" s="88"/>
    </row>
    <row r="130" spans="2:15" ht="13.15" customHeight="1" x14ac:dyDescent="0.2">
      <c r="B130" s="86"/>
      <c r="C130" s="1000"/>
      <c r="D130" s="1000" t="s">
        <v>15</v>
      </c>
      <c r="E130" s="1000"/>
      <c r="F130" s="1443">
        <f>IF('geg LO'!F$96="ja",ROUND(('geg LO'!F62-'geg LO'!F23)*tab!$D$55,0),0)</f>
        <v>0</v>
      </c>
      <c r="G130" s="1443">
        <f>IF('geg LO'!G$96="ja",ROUND(('geg LO'!G62-'geg LO'!G23)*tab!$D$55,0),0)</f>
        <v>0</v>
      </c>
      <c r="H130" s="1443">
        <f>IF('geg LO'!H$96="ja",ROUND(('geg LO'!H62-'geg LO'!H23)*tab!$D$55,0),0)</f>
        <v>0</v>
      </c>
      <c r="I130" s="1443">
        <f>IF('geg LO'!I$96="ja",ROUND(('geg LO'!I62-'geg LO'!I23)*tab!$D$55,0),0)</f>
        <v>0</v>
      </c>
      <c r="J130" s="1443">
        <f>IF('geg LO'!J$96="ja",ROUND(('geg LO'!J62-'geg LO'!J23)*tab!$D$55,0),0)</f>
        <v>0</v>
      </c>
      <c r="K130" s="1443">
        <f>IF('geg LO'!K$96="ja",ROUND(('geg LO'!K62-'geg LO'!K23)*tab!$D$55,0),0)</f>
        <v>0</v>
      </c>
      <c r="L130" s="1443">
        <f>IF('geg LO'!L$96="ja",ROUND(('geg LO'!L62-'geg LO'!L23)*tab!$D$55,0),0)</f>
        <v>0</v>
      </c>
      <c r="M130" s="1443">
        <f>IF('geg LO'!M$96="ja",ROUND(('geg LO'!M62-'geg LO'!M23)*tab!$D$55,0),0)</f>
        <v>0</v>
      </c>
      <c r="N130" s="1000"/>
      <c r="O130" s="88"/>
    </row>
    <row r="131" spans="2:15" ht="13.15" customHeight="1" x14ac:dyDescent="0.2">
      <c r="B131" s="86"/>
      <c r="C131" s="1000"/>
      <c r="D131" s="1000" t="s">
        <v>776</v>
      </c>
      <c r="E131" s="1000"/>
      <c r="F131" s="1443">
        <f>IF('geg LO'!F$96="ja",ROUND(('geg LO'!F$62-'geg LO'!F$44)*tab!$D$56,0),ROUND(('geg LO'!F$23-'geg LO'!F$44)*tab!$D$56,0))</f>
        <v>0</v>
      </c>
      <c r="G131" s="1443">
        <f>IF('geg LO'!G$96="ja",ROUND(('geg LO'!G$62-'geg LO'!G$44)*tab!$D$56,0),ROUND(('geg LO'!G$23-'geg LO'!G$44)*tab!$D$56,0))</f>
        <v>0</v>
      </c>
      <c r="H131" s="1443">
        <f>IF('geg LO'!H$96="ja",ROUND(('geg LO'!H$62-'geg LO'!H$44)*tab!$D$56,0),ROUND(('geg LO'!H$23-'geg LO'!H$44)*tab!$D$56,0))</f>
        <v>0</v>
      </c>
      <c r="I131" s="1443">
        <f>IF('geg LO'!I$96="ja",ROUND(('geg LO'!I$62-'geg LO'!I$44)*tab!$D$56,0),ROUND(('geg LO'!I$23-'geg LO'!I$44)*tab!$D$56,0))</f>
        <v>0</v>
      </c>
      <c r="J131" s="1443">
        <f>IF('geg LO'!J$96="ja",ROUND(('geg LO'!J$62-'geg LO'!J$44)*tab!$D$56,0),ROUND(('geg LO'!J$23-'geg LO'!J$44)*tab!$D$56,0))</f>
        <v>0</v>
      </c>
      <c r="K131" s="1443">
        <f>IF('geg LO'!K$96="ja",ROUND(('geg LO'!K$62-'geg LO'!K$44)*tab!$D$56,0),ROUND(('geg LO'!K$23-'geg LO'!K$44)*tab!$D$56,0))</f>
        <v>0</v>
      </c>
      <c r="L131" s="1443">
        <f>IF('geg LO'!L$96="ja",ROUND(('geg LO'!L$62-'geg LO'!L$44)*tab!$D$56,0),ROUND(('geg LO'!L$23-'geg LO'!L$44)*tab!$D$56,0))</f>
        <v>0</v>
      </c>
      <c r="M131" s="1443">
        <f>IF('geg LO'!M$96="ja",ROUND(('geg LO'!M$62-'geg LO'!M$44)*tab!$D$56,0),ROUND(('geg LO'!M$23-'geg LO'!M$44)*tab!$D$56,0))</f>
        <v>0</v>
      </c>
      <c r="N131" s="1000"/>
      <c r="O131" s="88"/>
    </row>
    <row r="132" spans="2:15" ht="13.15" customHeight="1" x14ac:dyDescent="0.2">
      <c r="B132" s="86"/>
      <c r="C132" s="1000"/>
      <c r="D132" s="1000" t="s">
        <v>176</v>
      </c>
      <c r="E132" s="1000"/>
      <c r="F132" s="1443">
        <f>+F200*'geg LO'!F23/'geg LO'!F$36</f>
        <v>0</v>
      </c>
      <c r="G132" s="1443" t="e">
        <f>+G200*'geg LO'!G23/'geg LO'!G$36</f>
        <v>#DIV/0!</v>
      </c>
      <c r="H132" s="1443" t="e">
        <f>+H200*'geg LO'!H23/'geg LO'!H$36</f>
        <v>#DIV/0!</v>
      </c>
      <c r="I132" s="1443" t="e">
        <f>+I200*'geg LO'!I23/'geg LO'!I$36</f>
        <v>#DIV/0!</v>
      </c>
      <c r="J132" s="1443" t="e">
        <f>+J200*'geg LO'!J23/'geg LO'!J$36</f>
        <v>#DIV/0!</v>
      </c>
      <c r="K132" s="1443" t="e">
        <f>+K200*'geg LO'!K23/'geg LO'!K$36</f>
        <v>#DIV/0!</v>
      </c>
      <c r="L132" s="1443" t="e">
        <f>+L200*'geg LO'!L23/'geg LO'!L$36</f>
        <v>#DIV/0!</v>
      </c>
      <c r="M132" s="1443" t="e">
        <f>+M200*'geg LO'!M23/'geg LO'!M$36</f>
        <v>#DIV/0!</v>
      </c>
      <c r="N132" s="1000"/>
      <c r="O132" s="88"/>
    </row>
    <row r="133" spans="2:15" ht="13.15" customHeight="1" x14ac:dyDescent="0.2">
      <c r="B133" s="86"/>
      <c r="C133" s="1075"/>
      <c r="D133" s="1075"/>
      <c r="E133" s="1075"/>
      <c r="F133" s="1448">
        <f t="shared" ref="F133:L133" si="56">IF(F131&gt;F132,F132+F130,F131+F130)</f>
        <v>0</v>
      </c>
      <c r="G133" s="1448" t="e">
        <f t="shared" si="56"/>
        <v>#DIV/0!</v>
      </c>
      <c r="H133" s="1448" t="e">
        <f t="shared" si="56"/>
        <v>#DIV/0!</v>
      </c>
      <c r="I133" s="1448" t="e">
        <f t="shared" si="56"/>
        <v>#DIV/0!</v>
      </c>
      <c r="J133" s="1448" t="e">
        <f t="shared" si="56"/>
        <v>#DIV/0!</v>
      </c>
      <c r="K133" s="1448" t="e">
        <f t="shared" si="56"/>
        <v>#DIV/0!</v>
      </c>
      <c r="L133" s="1448" t="e">
        <f t="shared" si="56"/>
        <v>#DIV/0!</v>
      </c>
      <c r="M133" s="1448" t="e">
        <f t="shared" ref="M133" si="57">IF(M131&gt;M132,M132+M130,M131+M130)</f>
        <v>#DIV/0!</v>
      </c>
      <c r="N133" s="1075"/>
      <c r="O133" s="88"/>
    </row>
    <row r="134" spans="2:15" ht="13.15" customHeight="1" x14ac:dyDescent="0.2">
      <c r="B134" s="86"/>
      <c r="C134" s="1000"/>
      <c r="D134" s="1447" t="str">
        <f>+D53</f>
        <v>Naam SBO 4</v>
      </c>
      <c r="E134" s="1000"/>
      <c r="F134" s="1449"/>
      <c r="G134" s="1120"/>
      <c r="H134" s="1120"/>
      <c r="I134" s="1120"/>
      <c r="J134" s="1120"/>
      <c r="K134" s="1120"/>
      <c r="L134" s="1120"/>
      <c r="M134" s="1120"/>
      <c r="N134" s="1000"/>
      <c r="O134" s="88"/>
    </row>
    <row r="135" spans="2:15" ht="13.15" customHeight="1" x14ac:dyDescent="0.2">
      <c r="B135" s="86"/>
      <c r="C135" s="1000"/>
      <c r="D135" s="1000" t="s">
        <v>15</v>
      </c>
      <c r="E135" s="1000"/>
      <c r="F135" s="1443">
        <f>IF('geg LO'!F$96="ja",ROUND(('geg LO'!F63-'geg LO'!F24)*tab!$D$55,0),0)</f>
        <v>0</v>
      </c>
      <c r="G135" s="1443">
        <f>IF('geg LO'!G$96="ja",ROUND(('geg LO'!G63-'geg LO'!G24)*tab!$D$55,0),0)</f>
        <v>0</v>
      </c>
      <c r="H135" s="1443">
        <f>IF('geg LO'!H$96="ja",ROUND(('geg LO'!H63-'geg LO'!H24)*tab!$D$55,0),0)</f>
        <v>0</v>
      </c>
      <c r="I135" s="1443">
        <f>IF('geg LO'!I$96="ja",ROUND(('geg LO'!I63-'geg LO'!I24)*tab!$D$55,0),0)</f>
        <v>0</v>
      </c>
      <c r="J135" s="1443">
        <f>IF('geg LO'!J$96="ja",ROUND(('geg LO'!J63-'geg LO'!J24)*tab!$D$55,0),0)</f>
        <v>0</v>
      </c>
      <c r="K135" s="1443">
        <f>IF('geg LO'!K$96="ja",ROUND(('geg LO'!K63-'geg LO'!K24)*tab!$D$55,0),0)</f>
        <v>0</v>
      </c>
      <c r="L135" s="1443">
        <f>IF('geg LO'!L$96="ja",ROUND(('geg LO'!L63-'geg LO'!L24)*tab!$D$55,0),0)</f>
        <v>0</v>
      </c>
      <c r="M135" s="1443">
        <f>IF('geg LO'!M$96="ja",ROUND(('geg LO'!M63-'geg LO'!M24)*tab!$D$55,0),0)</f>
        <v>0</v>
      </c>
      <c r="N135" s="1000"/>
      <c r="O135" s="88"/>
    </row>
    <row r="136" spans="2:15" ht="13.15" customHeight="1" x14ac:dyDescent="0.2">
      <c r="B136" s="86"/>
      <c r="C136" s="1000"/>
      <c r="D136" s="1000" t="s">
        <v>776</v>
      </c>
      <c r="E136" s="1000"/>
      <c r="F136" s="1443">
        <f>IF('geg LO'!F$96="ja",ROUND(('geg LO'!F$63-'geg LO'!F$45)*tab!$D$56,0),ROUND(('geg LO'!F$24-'geg LO'!F$45)*tab!$D$56,0))</f>
        <v>0</v>
      </c>
      <c r="G136" s="1443">
        <f>IF('geg LO'!G$96="ja",ROUND(('geg LO'!G$63-'geg LO'!G$45)*tab!$D$56,0),ROUND(('geg LO'!G$24-'geg LO'!G$45)*tab!$D$56,0))</f>
        <v>0</v>
      </c>
      <c r="H136" s="1443">
        <f>IF('geg LO'!H$96="ja",ROUND(('geg LO'!H$63-'geg LO'!H$45)*tab!$D$56,0),ROUND(('geg LO'!H$24-'geg LO'!H$45)*tab!$D$56,0))</f>
        <v>0</v>
      </c>
      <c r="I136" s="1443">
        <f>IF('geg LO'!I$96="ja",ROUND(('geg LO'!I$63-'geg LO'!I$45)*tab!$D$56,0),ROUND(('geg LO'!I$24-'geg LO'!I$45)*tab!$D$56,0))</f>
        <v>0</v>
      </c>
      <c r="J136" s="1443">
        <f>IF('geg LO'!J$96="ja",ROUND(('geg LO'!J$63-'geg LO'!J$45)*tab!$D$56,0),ROUND(('geg LO'!J$24-'geg LO'!J$45)*tab!$D$56,0))</f>
        <v>0</v>
      </c>
      <c r="K136" s="1443">
        <f>IF('geg LO'!K$96="ja",ROUND(('geg LO'!K$63-'geg LO'!K$45)*tab!$D$56,0),ROUND(('geg LO'!K$24-'geg LO'!K$45)*tab!$D$56,0))</f>
        <v>0</v>
      </c>
      <c r="L136" s="1443">
        <f>IF('geg LO'!L$96="ja",ROUND(('geg LO'!L$63-'geg LO'!L$45)*tab!$D$56,0),ROUND(('geg LO'!L$24-'geg LO'!L$45)*tab!$D$56,0))</f>
        <v>0</v>
      </c>
      <c r="M136" s="1443">
        <f>IF('geg LO'!M$96="ja",ROUND(('geg LO'!M$63-'geg LO'!M$45)*tab!$D$56,0),ROUND(('geg LO'!M$24-'geg LO'!M$45)*tab!$D$56,0))</f>
        <v>0</v>
      </c>
      <c r="N136" s="1000"/>
      <c r="O136" s="88"/>
    </row>
    <row r="137" spans="2:15" ht="13.15" customHeight="1" x14ac:dyDescent="0.2">
      <c r="B137" s="86"/>
      <c r="C137" s="1000"/>
      <c r="D137" s="1000" t="s">
        <v>176</v>
      </c>
      <c r="E137" s="1000"/>
      <c r="F137" s="1443">
        <f>+F200*'geg LO'!F24/'geg LO'!F$36</f>
        <v>0</v>
      </c>
      <c r="G137" s="1443" t="e">
        <f>+G200*'geg LO'!G24/'geg LO'!G$36</f>
        <v>#DIV/0!</v>
      </c>
      <c r="H137" s="1443" t="e">
        <f>+H200*'geg LO'!H24/'geg LO'!H$36</f>
        <v>#DIV/0!</v>
      </c>
      <c r="I137" s="1443" t="e">
        <f>+I200*'geg LO'!I24/'geg LO'!I$36</f>
        <v>#DIV/0!</v>
      </c>
      <c r="J137" s="1443" t="e">
        <f>+J200*'geg LO'!J24/'geg LO'!J$36</f>
        <v>#DIV/0!</v>
      </c>
      <c r="K137" s="1443" t="e">
        <f>+K200*'geg LO'!K24/'geg LO'!K$36</f>
        <v>#DIV/0!</v>
      </c>
      <c r="L137" s="1443" t="e">
        <f>+L200*'geg LO'!L24/'geg LO'!L$36</f>
        <v>#DIV/0!</v>
      </c>
      <c r="M137" s="1443" t="e">
        <f>+M200*'geg LO'!M24/'geg LO'!M$36</f>
        <v>#DIV/0!</v>
      </c>
      <c r="N137" s="1000"/>
      <c r="O137" s="88"/>
    </row>
    <row r="138" spans="2:15" ht="13.15" customHeight="1" x14ac:dyDescent="0.2">
      <c r="B138" s="86"/>
      <c r="C138" s="1075"/>
      <c r="D138" s="1075"/>
      <c r="E138" s="1075"/>
      <c r="F138" s="1448">
        <f t="shared" ref="F138:L138" si="58">IF(F136&gt;F137,F137+F135,F136+F135)</f>
        <v>0</v>
      </c>
      <c r="G138" s="1448" t="e">
        <f t="shared" si="58"/>
        <v>#DIV/0!</v>
      </c>
      <c r="H138" s="1448" t="e">
        <f t="shared" si="58"/>
        <v>#DIV/0!</v>
      </c>
      <c r="I138" s="1448" t="e">
        <f t="shared" si="58"/>
        <v>#DIV/0!</v>
      </c>
      <c r="J138" s="1448" t="e">
        <f t="shared" si="58"/>
        <v>#DIV/0!</v>
      </c>
      <c r="K138" s="1448" t="e">
        <f t="shared" si="58"/>
        <v>#DIV/0!</v>
      </c>
      <c r="L138" s="1448" t="e">
        <f t="shared" si="58"/>
        <v>#DIV/0!</v>
      </c>
      <c r="M138" s="1448" t="e">
        <f t="shared" ref="M138" si="59">IF(M136&gt;M137,M137+M135,M136+M135)</f>
        <v>#DIV/0!</v>
      </c>
      <c r="N138" s="1075"/>
      <c r="O138" s="88"/>
    </row>
    <row r="139" spans="2:15" ht="13.15" customHeight="1" x14ac:dyDescent="0.2">
      <c r="B139" s="86"/>
      <c r="C139" s="1000"/>
      <c r="D139" s="1447" t="str">
        <f>+D57</f>
        <v>Naam SBO 5</v>
      </c>
      <c r="E139" s="1000"/>
      <c r="F139" s="1449"/>
      <c r="G139" s="1120"/>
      <c r="H139" s="1120"/>
      <c r="I139" s="1120"/>
      <c r="J139" s="1120"/>
      <c r="K139" s="1120"/>
      <c r="L139" s="1120"/>
      <c r="M139" s="1120"/>
      <c r="N139" s="1000"/>
      <c r="O139" s="88"/>
    </row>
    <row r="140" spans="2:15" ht="13.15" customHeight="1" x14ac:dyDescent="0.2">
      <c r="B140" s="86"/>
      <c r="C140" s="1000"/>
      <c r="D140" s="1000" t="s">
        <v>15</v>
      </c>
      <c r="E140" s="1000"/>
      <c r="F140" s="1443">
        <f>IF('geg LO'!F$96="ja",ROUND(('geg LO'!F64-'geg LO'!F25)*tab!$D$55,0),0)</f>
        <v>0</v>
      </c>
      <c r="G140" s="1443">
        <f>IF('geg LO'!G$96="ja",ROUND(('geg LO'!G64-'geg LO'!G25)*tab!$D$55,0),0)</f>
        <v>0</v>
      </c>
      <c r="H140" s="1443">
        <f>IF('geg LO'!H$96="ja",ROUND(('geg LO'!H64-'geg LO'!H25)*tab!$D$55,0),0)</f>
        <v>0</v>
      </c>
      <c r="I140" s="1443">
        <f>IF('geg LO'!I$96="ja",ROUND(('geg LO'!I64-'geg LO'!I25)*tab!$D$55,0),0)</f>
        <v>0</v>
      </c>
      <c r="J140" s="1443">
        <f>IF('geg LO'!J$96="ja",ROUND(('geg LO'!J64-'geg LO'!J25)*tab!$D$55,0),0)</f>
        <v>0</v>
      </c>
      <c r="K140" s="1443">
        <f>IF('geg LO'!K$96="ja",ROUND(('geg LO'!K64-'geg LO'!K25)*tab!$D$55,0),0)</f>
        <v>0</v>
      </c>
      <c r="L140" s="1443">
        <f>IF('geg LO'!L$96="ja",ROUND(('geg LO'!L64-'geg LO'!L25)*tab!$D$55,0),0)</f>
        <v>0</v>
      </c>
      <c r="M140" s="1443">
        <f>IF('geg LO'!M$96="ja",ROUND(('geg LO'!M64-'geg LO'!M25)*tab!$D$55,0),0)</f>
        <v>0</v>
      </c>
      <c r="N140" s="1000"/>
      <c r="O140" s="88"/>
    </row>
    <row r="141" spans="2:15" ht="13.15" customHeight="1" x14ac:dyDescent="0.2">
      <c r="B141" s="86"/>
      <c r="C141" s="1000"/>
      <c r="D141" s="1000" t="s">
        <v>776</v>
      </c>
      <c r="E141" s="1000"/>
      <c r="F141" s="1443">
        <f>IF('geg LO'!F$96="ja",ROUND(('geg LO'!F$64-'geg LO'!F$46)*tab!$D$56,0),ROUND(('geg LO'!F$25-'geg LO'!F$46)*tab!$D$56,0))</f>
        <v>0</v>
      </c>
      <c r="G141" s="1443">
        <f>IF('geg LO'!G$96="ja",ROUND(('geg LO'!G$64-'geg LO'!G$46)*tab!$D$56,0),ROUND(('geg LO'!G$25-'geg LO'!G$46)*tab!$D$56,0))</f>
        <v>0</v>
      </c>
      <c r="H141" s="1443">
        <f>IF('geg LO'!H$96="ja",ROUND(('geg LO'!H$64-'geg LO'!H$46)*tab!$D$56,0),ROUND(('geg LO'!H$25-'geg LO'!H$46)*tab!$D$56,0))</f>
        <v>0</v>
      </c>
      <c r="I141" s="1443">
        <f>IF('geg LO'!I$96="ja",ROUND(('geg LO'!I$64-'geg LO'!I$46)*tab!$D$56,0),ROUND(('geg LO'!I$25-'geg LO'!I$46)*tab!$D$56,0))</f>
        <v>0</v>
      </c>
      <c r="J141" s="1443">
        <f>IF('geg LO'!J$96="ja",ROUND(('geg LO'!J$64-'geg LO'!J$46)*tab!$D$56,0),ROUND(('geg LO'!J$25-'geg LO'!J$46)*tab!$D$56,0))</f>
        <v>0</v>
      </c>
      <c r="K141" s="1443">
        <f>IF('geg LO'!K$96="ja",ROUND(('geg LO'!K$64-'geg LO'!K$46)*tab!$D$56,0),ROUND(('geg LO'!K$25-'geg LO'!K$46)*tab!$D$56,0))</f>
        <v>0</v>
      </c>
      <c r="L141" s="1443">
        <f>IF('geg LO'!L$96="ja",ROUND(('geg LO'!L$64-'geg LO'!L$46)*tab!$D$56,0),ROUND(('geg LO'!L$25-'geg LO'!L$46)*tab!$D$56,0))</f>
        <v>0</v>
      </c>
      <c r="M141" s="1443">
        <f>IF('geg LO'!M$96="ja",ROUND(('geg LO'!M$64-'geg LO'!M$46)*tab!$D$56,0),ROUND(('geg LO'!M$25-'geg LO'!M$46)*tab!$D$56,0))</f>
        <v>0</v>
      </c>
      <c r="N141" s="1000"/>
      <c r="O141" s="88"/>
    </row>
    <row r="142" spans="2:15" ht="13.15" customHeight="1" x14ac:dyDescent="0.2">
      <c r="B142" s="86"/>
      <c r="C142" s="1000"/>
      <c r="D142" s="1000" t="s">
        <v>176</v>
      </c>
      <c r="E142" s="1000"/>
      <c r="F142" s="1443">
        <f>+F200*'geg LO'!F25/'geg LO'!F$36</f>
        <v>0</v>
      </c>
      <c r="G142" s="1443" t="e">
        <f>+G200*'geg LO'!G25/'geg LO'!G$36</f>
        <v>#DIV/0!</v>
      </c>
      <c r="H142" s="1443" t="e">
        <f>+H200*'geg LO'!H25/'geg LO'!H$36</f>
        <v>#DIV/0!</v>
      </c>
      <c r="I142" s="1443" t="e">
        <f>+I200*'geg LO'!I25/'geg LO'!I$36</f>
        <v>#DIV/0!</v>
      </c>
      <c r="J142" s="1443" t="e">
        <f>+J200*'geg LO'!J25/'geg LO'!J$36</f>
        <v>#DIV/0!</v>
      </c>
      <c r="K142" s="1443" t="e">
        <f>+K200*'geg LO'!K25/'geg LO'!K$36</f>
        <v>#DIV/0!</v>
      </c>
      <c r="L142" s="1443" t="e">
        <f>+L200*'geg LO'!L25/'geg LO'!L$36</f>
        <v>#DIV/0!</v>
      </c>
      <c r="M142" s="1443" t="e">
        <f>+M200*'geg LO'!M25/'geg LO'!M$36</f>
        <v>#DIV/0!</v>
      </c>
      <c r="N142" s="1000"/>
      <c r="O142" s="88"/>
    </row>
    <row r="143" spans="2:15" ht="13.15" customHeight="1" x14ac:dyDescent="0.2">
      <c r="B143" s="86"/>
      <c r="C143" s="1000"/>
      <c r="D143" s="1075"/>
      <c r="E143" s="1000"/>
      <c r="F143" s="1448">
        <f t="shared" ref="F143:L143" si="60">IF(F141&gt;F142,F142+F140,F141+F140)</f>
        <v>0</v>
      </c>
      <c r="G143" s="1448" t="e">
        <f t="shared" si="60"/>
        <v>#DIV/0!</v>
      </c>
      <c r="H143" s="1448" t="e">
        <f t="shared" si="60"/>
        <v>#DIV/0!</v>
      </c>
      <c r="I143" s="1448" t="e">
        <f t="shared" si="60"/>
        <v>#DIV/0!</v>
      </c>
      <c r="J143" s="1448" t="e">
        <f t="shared" si="60"/>
        <v>#DIV/0!</v>
      </c>
      <c r="K143" s="1448" t="e">
        <f t="shared" si="60"/>
        <v>#DIV/0!</v>
      </c>
      <c r="L143" s="1448" t="e">
        <f t="shared" si="60"/>
        <v>#DIV/0!</v>
      </c>
      <c r="M143" s="1448" t="e">
        <f t="shared" ref="M143" si="61">IF(M141&gt;M142,M142+M140,M141+M140)</f>
        <v>#DIV/0!</v>
      </c>
      <c r="N143" s="1000"/>
      <c r="O143" s="88"/>
    </row>
    <row r="144" spans="2:15" ht="13.15" customHeight="1" x14ac:dyDescent="0.2">
      <c r="B144" s="86"/>
      <c r="C144" s="1000"/>
      <c r="D144" s="1447" t="str">
        <f>+D61</f>
        <v>Naam SBO 6</v>
      </c>
      <c r="E144" s="1000"/>
      <c r="F144" s="1449"/>
      <c r="G144" s="1120"/>
      <c r="H144" s="1120"/>
      <c r="I144" s="1120"/>
      <c r="J144" s="1120"/>
      <c r="K144" s="1120"/>
      <c r="L144" s="1120"/>
      <c r="M144" s="1120"/>
      <c r="N144" s="1000"/>
      <c r="O144" s="88"/>
    </row>
    <row r="145" spans="2:15" ht="13.15" customHeight="1" x14ac:dyDescent="0.2">
      <c r="B145" s="86"/>
      <c r="C145" s="1000"/>
      <c r="D145" s="1000" t="s">
        <v>15</v>
      </c>
      <c r="E145" s="1000"/>
      <c r="F145" s="1443">
        <f>IF('geg LO'!F$96="ja",ROUND(('geg LO'!F65-'geg LO'!F26)*tab!$D$55,0),0)</f>
        <v>0</v>
      </c>
      <c r="G145" s="1443">
        <f>IF('geg LO'!G$96="ja",ROUND(('geg LO'!G65-'geg LO'!G26)*tab!$D$55,0),0)</f>
        <v>0</v>
      </c>
      <c r="H145" s="1443">
        <f>IF('geg LO'!H$96="ja",ROUND(('geg LO'!H65-'geg LO'!H26)*tab!$D$55,0),0)</f>
        <v>0</v>
      </c>
      <c r="I145" s="1443">
        <f>IF('geg LO'!I$96="ja",ROUND(('geg LO'!I65-'geg LO'!I26)*tab!$D$55,0),0)</f>
        <v>0</v>
      </c>
      <c r="J145" s="1443">
        <f>IF('geg LO'!J$96="ja",ROUND(('geg LO'!J65-'geg LO'!J26)*tab!$D$55,0),0)</f>
        <v>0</v>
      </c>
      <c r="K145" s="1443">
        <f>IF('geg LO'!K$96="ja",ROUND(('geg LO'!K65-'geg LO'!K26)*tab!$D$55,0),0)</f>
        <v>0</v>
      </c>
      <c r="L145" s="1443">
        <f>IF('geg LO'!L$96="ja",ROUND(('geg LO'!L65-'geg LO'!L26)*tab!$D$55,0),0)</f>
        <v>0</v>
      </c>
      <c r="M145" s="1443">
        <f>IF('geg LO'!M$96="ja",ROUND(('geg LO'!M65-'geg LO'!M26)*tab!$D$55,0),0)</f>
        <v>0</v>
      </c>
      <c r="N145" s="1000"/>
      <c r="O145" s="88"/>
    </row>
    <row r="146" spans="2:15" ht="13.15" customHeight="1" x14ac:dyDescent="0.2">
      <c r="B146" s="86"/>
      <c r="C146" s="1000"/>
      <c r="D146" s="1000" t="s">
        <v>776</v>
      </c>
      <c r="E146" s="1000"/>
      <c r="F146" s="1443">
        <f>IF('geg LO'!F$96="ja",ROUND(('geg LO'!F$65-'geg LO'!F$47)*tab!$D$56,0),ROUND(('geg LO'!F$26-'geg LO'!F$47)*tab!$D$56,0))</f>
        <v>0</v>
      </c>
      <c r="G146" s="1443">
        <f>IF('geg LO'!G$96="ja",ROUND(('geg LO'!G$65-'geg LO'!G$47)*tab!$D$56,0),ROUND(('geg LO'!G$26-'geg LO'!G$47)*tab!$D$56,0))</f>
        <v>0</v>
      </c>
      <c r="H146" s="1443">
        <f>IF('geg LO'!H$96="ja",ROUND(('geg LO'!H$65-'geg LO'!H$47)*tab!$D$56,0),ROUND(('geg LO'!H$26-'geg LO'!H$47)*tab!$D$56,0))</f>
        <v>0</v>
      </c>
      <c r="I146" s="1443">
        <f>IF('geg LO'!I$96="ja",ROUND(('geg LO'!I$65-'geg LO'!I$47)*tab!$D$56,0),ROUND(('geg LO'!I$26-'geg LO'!I$47)*tab!$D$56,0))</f>
        <v>0</v>
      </c>
      <c r="J146" s="1443">
        <f>IF('geg LO'!J$96="ja",ROUND(('geg LO'!J$65-'geg LO'!J$47)*tab!$D$56,0),ROUND(('geg LO'!J$26-'geg LO'!J$47)*tab!$D$56,0))</f>
        <v>0</v>
      </c>
      <c r="K146" s="1443">
        <f>IF('geg LO'!K$96="ja",ROUND(('geg LO'!K$65-'geg LO'!K$47)*tab!$D$56,0),ROUND(('geg LO'!K$26-'geg LO'!K$47)*tab!$D$56,0))</f>
        <v>0</v>
      </c>
      <c r="L146" s="1443">
        <f>IF('geg LO'!L$96="ja",ROUND(('geg LO'!L$65-'geg LO'!L$47)*tab!$D$56,0),ROUND(('geg LO'!L$26-'geg LO'!L$47)*tab!$D$56,0))</f>
        <v>0</v>
      </c>
      <c r="M146" s="1443">
        <f>IF('geg LO'!M$96="ja",ROUND(('geg LO'!M$65-'geg LO'!M$47)*tab!$D$56,0),ROUND(('geg LO'!M$26-'geg LO'!M$47)*tab!$D$56,0))</f>
        <v>0</v>
      </c>
      <c r="N146" s="1000"/>
      <c r="O146" s="88"/>
    </row>
    <row r="147" spans="2:15" ht="13.15" customHeight="1" x14ac:dyDescent="0.2">
      <c r="B147" s="86"/>
      <c r="C147" s="1000"/>
      <c r="D147" s="1000" t="s">
        <v>176</v>
      </c>
      <c r="E147" s="1000"/>
      <c r="F147" s="1443">
        <f>+F200*'geg LO'!F26/'geg LO'!F$36</f>
        <v>0</v>
      </c>
      <c r="G147" s="1443" t="e">
        <f>+G200*'geg LO'!G26/'geg LO'!G$36</f>
        <v>#DIV/0!</v>
      </c>
      <c r="H147" s="1443" t="e">
        <f>+H200*'geg LO'!H26/'geg LO'!H$36</f>
        <v>#DIV/0!</v>
      </c>
      <c r="I147" s="1443" t="e">
        <f>+I200*'geg LO'!I26/'geg LO'!I$36</f>
        <v>#DIV/0!</v>
      </c>
      <c r="J147" s="1443" t="e">
        <f>+J200*'geg LO'!J26/'geg LO'!J$36</f>
        <v>#DIV/0!</v>
      </c>
      <c r="K147" s="1443" t="e">
        <f>+K200*'geg LO'!K26/'geg LO'!K$36</f>
        <v>#DIV/0!</v>
      </c>
      <c r="L147" s="1443" t="e">
        <f>+L200*'geg LO'!L26/'geg LO'!L$36</f>
        <v>#DIV/0!</v>
      </c>
      <c r="M147" s="1443" t="e">
        <f>+M200*'geg LO'!M26/'geg LO'!M$36</f>
        <v>#DIV/0!</v>
      </c>
      <c r="N147" s="1000"/>
      <c r="O147" s="88"/>
    </row>
    <row r="148" spans="2:15" ht="13.15" customHeight="1" x14ac:dyDescent="0.2">
      <c r="B148" s="86"/>
      <c r="C148" s="1000"/>
      <c r="D148" s="1075"/>
      <c r="E148" s="1000"/>
      <c r="F148" s="1448">
        <f t="shared" ref="F148:L148" si="62">IF(F146&gt;F147,F147+F145,F146+F145)</f>
        <v>0</v>
      </c>
      <c r="G148" s="1448" t="e">
        <f t="shared" si="62"/>
        <v>#DIV/0!</v>
      </c>
      <c r="H148" s="1448" t="e">
        <f t="shared" si="62"/>
        <v>#DIV/0!</v>
      </c>
      <c r="I148" s="1448" t="e">
        <f t="shared" si="62"/>
        <v>#DIV/0!</v>
      </c>
      <c r="J148" s="1448" t="e">
        <f t="shared" si="62"/>
        <v>#DIV/0!</v>
      </c>
      <c r="K148" s="1448" t="e">
        <f t="shared" si="62"/>
        <v>#DIV/0!</v>
      </c>
      <c r="L148" s="1448" t="e">
        <f t="shared" si="62"/>
        <v>#DIV/0!</v>
      </c>
      <c r="M148" s="1448" t="e">
        <f t="shared" ref="M148" si="63">IF(M146&gt;M147,M147+M145,M146+M145)</f>
        <v>#DIV/0!</v>
      </c>
      <c r="N148" s="1000"/>
      <c r="O148" s="88"/>
    </row>
    <row r="149" spans="2:15" ht="13.15" customHeight="1" x14ac:dyDescent="0.2">
      <c r="B149" s="86"/>
      <c r="C149" s="1000"/>
      <c r="D149" s="1447" t="str">
        <f>+D65</f>
        <v>Naam SBO 7</v>
      </c>
      <c r="E149" s="1000"/>
      <c r="F149" s="1449"/>
      <c r="G149" s="1120"/>
      <c r="H149" s="1120"/>
      <c r="I149" s="1120"/>
      <c r="J149" s="1120"/>
      <c r="K149" s="1120"/>
      <c r="L149" s="1120"/>
      <c r="M149" s="1120"/>
      <c r="N149" s="1000"/>
      <c r="O149" s="88"/>
    </row>
    <row r="150" spans="2:15" ht="13.15" customHeight="1" x14ac:dyDescent="0.2">
      <c r="B150" s="86"/>
      <c r="C150" s="1000"/>
      <c r="D150" s="1000" t="s">
        <v>15</v>
      </c>
      <c r="E150" s="1000"/>
      <c r="F150" s="1443">
        <f>IF('geg LO'!F$96="ja",ROUND(('geg LO'!F66-'geg LO'!F27)*tab!$D$55,0),0)</f>
        <v>0</v>
      </c>
      <c r="G150" s="1443">
        <f>IF('geg LO'!G$96="ja",ROUND(('geg LO'!G66-'geg LO'!G27)*tab!$D$55,0),0)</f>
        <v>0</v>
      </c>
      <c r="H150" s="1443">
        <f>IF('geg LO'!H$96="ja",ROUND(('geg LO'!H66-'geg LO'!H27)*tab!$D$55,0),0)</f>
        <v>0</v>
      </c>
      <c r="I150" s="1443">
        <f>IF('geg LO'!I$96="ja",ROUND(('geg LO'!I66-'geg LO'!I27)*tab!$D$55,0),0)</f>
        <v>0</v>
      </c>
      <c r="J150" s="1443">
        <f>IF('geg LO'!J$96="ja",ROUND(('geg LO'!J66-'geg LO'!J27)*tab!$D$55,0),0)</f>
        <v>0</v>
      </c>
      <c r="K150" s="1443">
        <f>IF('geg LO'!K$96="ja",ROUND(('geg LO'!K66-'geg LO'!K27)*tab!$D$55,0),0)</f>
        <v>0</v>
      </c>
      <c r="L150" s="1443">
        <f>IF('geg LO'!L$96="ja",ROUND(('geg LO'!L66-'geg LO'!L27)*tab!$D$55,0),0)</f>
        <v>0</v>
      </c>
      <c r="M150" s="1443">
        <f>IF('geg LO'!M$96="ja",ROUND(('geg LO'!M66-'geg LO'!M27)*tab!$D$55,0),0)</f>
        <v>0</v>
      </c>
      <c r="N150" s="1000"/>
      <c r="O150" s="88"/>
    </row>
    <row r="151" spans="2:15" ht="13.15" customHeight="1" x14ac:dyDescent="0.2">
      <c r="B151" s="86"/>
      <c r="C151" s="1000"/>
      <c r="D151" s="1000" t="s">
        <v>776</v>
      </c>
      <c r="E151" s="1000"/>
      <c r="F151" s="1443">
        <f>IF('geg LO'!F$96="ja",ROUND(('geg LO'!F$66-'geg LO'!F$48)*tab!$D$56,0),ROUND(('geg LO'!F$27-'geg LO'!F$48)*tab!$D$56,0))</f>
        <v>0</v>
      </c>
      <c r="G151" s="1443">
        <f>IF('geg LO'!G$96="ja",ROUND(('geg LO'!G$66-'geg LO'!G$48)*tab!$D$56,0),ROUND(('geg LO'!G$27-'geg LO'!G$48)*tab!$D$56,0))</f>
        <v>0</v>
      </c>
      <c r="H151" s="1443">
        <f>IF('geg LO'!H$96="ja",ROUND(('geg LO'!H$66-'geg LO'!H$48)*tab!$D$56,0),ROUND(('geg LO'!H$27-'geg LO'!H$48)*tab!$D$56,0))</f>
        <v>0</v>
      </c>
      <c r="I151" s="1443">
        <f>IF('geg LO'!I$96="ja",ROUND(('geg LO'!I$66-'geg LO'!I$48)*tab!$D$56,0),ROUND(('geg LO'!I$27-'geg LO'!I$48)*tab!$D$56,0))</f>
        <v>0</v>
      </c>
      <c r="J151" s="1443">
        <f>IF('geg LO'!J$96="ja",ROUND(('geg LO'!J$66-'geg LO'!J$48)*tab!$D$56,0),ROUND(('geg LO'!J$27-'geg LO'!J$48)*tab!$D$56,0))</f>
        <v>0</v>
      </c>
      <c r="K151" s="1443">
        <f>IF('geg LO'!K$96="ja",ROUND(('geg LO'!K$66-'geg LO'!K$48)*tab!$D$56,0),ROUND(('geg LO'!K$27-'geg LO'!K$48)*tab!$D$56,0))</f>
        <v>0</v>
      </c>
      <c r="L151" s="1443">
        <f>IF('geg LO'!L$96="ja",ROUND(('geg LO'!L$66-'geg LO'!L$48)*tab!$D$56,0),ROUND(('geg LO'!L$27-'geg LO'!L$48)*tab!$D$56,0))</f>
        <v>0</v>
      </c>
      <c r="M151" s="1443">
        <f>IF('geg LO'!M$96="ja",ROUND(('geg LO'!M$66-'geg LO'!M$48)*tab!$D$56,0),ROUND(('geg LO'!M$27-'geg LO'!M$48)*tab!$D$56,0))</f>
        <v>0</v>
      </c>
      <c r="N151" s="1000"/>
      <c r="O151" s="88"/>
    </row>
    <row r="152" spans="2:15" ht="13.15" customHeight="1" x14ac:dyDescent="0.2">
      <c r="B152" s="86"/>
      <c r="C152" s="1000"/>
      <c r="D152" s="1000" t="s">
        <v>176</v>
      </c>
      <c r="E152" s="1000"/>
      <c r="F152" s="1443">
        <f>+F200*'geg LO'!F27/'geg LO'!F$36</f>
        <v>0</v>
      </c>
      <c r="G152" s="1443" t="e">
        <f>+G200*'geg LO'!G27/'geg LO'!G$36</f>
        <v>#DIV/0!</v>
      </c>
      <c r="H152" s="1443" t="e">
        <f>+H200*'geg LO'!H27/'geg LO'!H$36</f>
        <v>#DIV/0!</v>
      </c>
      <c r="I152" s="1443" t="e">
        <f>+I200*'geg LO'!I27/'geg LO'!I$36</f>
        <v>#DIV/0!</v>
      </c>
      <c r="J152" s="1443" t="e">
        <f>+J200*'geg LO'!J27/'geg LO'!J$36</f>
        <v>#DIV/0!</v>
      </c>
      <c r="K152" s="1443" t="e">
        <f>+K200*'geg LO'!K27/'geg LO'!K$36</f>
        <v>#DIV/0!</v>
      </c>
      <c r="L152" s="1443" t="e">
        <f>+L200*'geg LO'!L27/'geg LO'!L$36</f>
        <v>#DIV/0!</v>
      </c>
      <c r="M152" s="1443" t="e">
        <f>+M200*'geg LO'!M27/'geg LO'!M$36</f>
        <v>#DIV/0!</v>
      </c>
      <c r="N152" s="1000"/>
      <c r="O152" s="88"/>
    </row>
    <row r="153" spans="2:15" ht="13.15" customHeight="1" x14ac:dyDescent="0.2">
      <c r="B153" s="86"/>
      <c r="C153" s="1000"/>
      <c r="D153" s="1075"/>
      <c r="E153" s="1000"/>
      <c r="F153" s="1448">
        <f t="shared" ref="F153:L153" si="64">IF(F151&gt;F152,F152+F150,F151+F150)</f>
        <v>0</v>
      </c>
      <c r="G153" s="1448" t="e">
        <f t="shared" si="64"/>
        <v>#DIV/0!</v>
      </c>
      <c r="H153" s="1448" t="e">
        <f t="shared" si="64"/>
        <v>#DIV/0!</v>
      </c>
      <c r="I153" s="1448" t="e">
        <f t="shared" si="64"/>
        <v>#DIV/0!</v>
      </c>
      <c r="J153" s="1448" t="e">
        <f t="shared" si="64"/>
        <v>#DIV/0!</v>
      </c>
      <c r="K153" s="1448" t="e">
        <f t="shared" si="64"/>
        <v>#DIV/0!</v>
      </c>
      <c r="L153" s="1448" t="e">
        <f t="shared" si="64"/>
        <v>#DIV/0!</v>
      </c>
      <c r="M153" s="1448" t="e">
        <f t="shared" ref="M153" si="65">IF(M151&gt;M152,M152+M150,M151+M150)</f>
        <v>#DIV/0!</v>
      </c>
      <c r="N153" s="1000"/>
      <c r="O153" s="88"/>
    </row>
    <row r="154" spans="2:15" ht="13.15" customHeight="1" x14ac:dyDescent="0.2">
      <c r="B154" s="86"/>
      <c r="C154" s="1000"/>
      <c r="D154" s="1447" t="str">
        <f>+D69</f>
        <v>Naam SBO 8</v>
      </c>
      <c r="E154" s="1000"/>
      <c r="F154" s="1449"/>
      <c r="G154" s="1120"/>
      <c r="H154" s="1120"/>
      <c r="I154" s="1120"/>
      <c r="J154" s="1120"/>
      <c r="K154" s="1120"/>
      <c r="L154" s="1120"/>
      <c r="M154" s="1120"/>
      <c r="N154" s="1000"/>
      <c r="O154" s="88"/>
    </row>
    <row r="155" spans="2:15" ht="13.15" customHeight="1" x14ac:dyDescent="0.2">
      <c r="B155" s="86"/>
      <c r="C155" s="1000"/>
      <c r="D155" s="1000" t="s">
        <v>15</v>
      </c>
      <c r="E155" s="1000"/>
      <c r="F155" s="1443">
        <f>IF('geg LO'!F$96="ja",ROUND(('geg LO'!F67-'geg LO'!F28)*tab!$D$55,0),0)</f>
        <v>0</v>
      </c>
      <c r="G155" s="1443">
        <f>IF('geg LO'!G$96="ja",ROUND(('geg LO'!G67-'geg LO'!G28)*tab!$D$55,0),0)</f>
        <v>0</v>
      </c>
      <c r="H155" s="1443">
        <f>IF('geg LO'!H$96="ja",ROUND(('geg LO'!H67-'geg LO'!H28)*tab!$D$55,0),0)</f>
        <v>0</v>
      </c>
      <c r="I155" s="1443">
        <f>IF('geg LO'!I$96="ja",ROUND(('geg LO'!I67-'geg LO'!I28)*tab!$D$55,0),0)</f>
        <v>0</v>
      </c>
      <c r="J155" s="1443">
        <f>IF('geg LO'!J$96="ja",ROUND(('geg LO'!J67-'geg LO'!J28)*tab!$D$55,0),0)</f>
        <v>0</v>
      </c>
      <c r="K155" s="1443">
        <f>IF('geg LO'!K$96="ja",ROUND(('geg LO'!K67-'geg LO'!K28)*tab!$D$55,0),0)</f>
        <v>0</v>
      </c>
      <c r="L155" s="1443">
        <f>IF('geg LO'!L$96="ja",ROUND(('geg LO'!L67-'geg LO'!L28)*tab!$D$55,0),0)</f>
        <v>0</v>
      </c>
      <c r="M155" s="1443">
        <f>IF('geg LO'!M$96="ja",ROUND(('geg LO'!M67-'geg LO'!M28)*tab!$D$55,0),0)</f>
        <v>0</v>
      </c>
      <c r="N155" s="1000"/>
      <c r="O155" s="88"/>
    </row>
    <row r="156" spans="2:15" ht="13.15" customHeight="1" x14ac:dyDescent="0.2">
      <c r="B156" s="86"/>
      <c r="C156" s="1000"/>
      <c r="D156" s="1000" t="s">
        <v>776</v>
      </c>
      <c r="E156" s="1000"/>
      <c r="F156" s="1443">
        <f>IF('geg LO'!F$96="ja",ROUND(('geg LO'!F$67-'geg LO'!F$49)*tab!$D$56,0),ROUND(('geg LO'!F$28-'geg LO'!F$49)*tab!$D$56,0))</f>
        <v>0</v>
      </c>
      <c r="G156" s="1443">
        <f>IF('geg LO'!G$96="ja",ROUND(('geg LO'!G$67-'geg LO'!G$49)*tab!$D$56,0),ROUND(('geg LO'!G$28-'geg LO'!G$49)*tab!$D$56,0))</f>
        <v>0</v>
      </c>
      <c r="H156" s="1443">
        <f>IF('geg LO'!H$96="ja",ROUND(('geg LO'!H$67-'geg LO'!H$49)*tab!$D$56,0),ROUND(('geg LO'!H$28-'geg LO'!H$49)*tab!$D$56,0))</f>
        <v>0</v>
      </c>
      <c r="I156" s="1443">
        <f>IF('geg LO'!I$96="ja",ROUND(('geg LO'!I$67-'geg LO'!I$49)*tab!$D$56,0),ROUND(('geg LO'!I$28-'geg LO'!I$49)*tab!$D$56,0))</f>
        <v>0</v>
      </c>
      <c r="J156" s="1443">
        <f>IF('geg LO'!J$96="ja",ROUND(('geg LO'!J$67-'geg LO'!J$49)*tab!$D$56,0),ROUND(('geg LO'!J$28-'geg LO'!J$49)*tab!$D$56,0))</f>
        <v>0</v>
      </c>
      <c r="K156" s="1443">
        <f>IF('geg LO'!K$96="ja",ROUND(('geg LO'!K$67-'geg LO'!K$49)*tab!$D$56,0),ROUND(('geg LO'!K$28-'geg LO'!K$49)*tab!$D$56,0))</f>
        <v>0</v>
      </c>
      <c r="L156" s="1443">
        <f>IF('geg LO'!L$96="ja",ROUND(('geg LO'!L$67-'geg LO'!L$49)*tab!$D$56,0),ROUND(('geg LO'!L$28-'geg LO'!L$49)*tab!$D$56,0))</f>
        <v>0</v>
      </c>
      <c r="M156" s="1443">
        <f>IF('geg LO'!M$96="ja",ROUND(('geg LO'!M$67-'geg LO'!M$49)*tab!$D$56,0),ROUND(('geg LO'!M$28-'geg LO'!M$49)*tab!$D$56,0))</f>
        <v>0</v>
      </c>
      <c r="N156" s="1000"/>
      <c r="O156" s="88"/>
    </row>
    <row r="157" spans="2:15" ht="13.15" customHeight="1" x14ac:dyDescent="0.2">
      <c r="B157" s="86"/>
      <c r="C157" s="1000"/>
      <c r="D157" s="1000" t="s">
        <v>176</v>
      </c>
      <c r="E157" s="1000"/>
      <c r="F157" s="1443">
        <f>+F200*'geg LO'!F28/'geg LO'!F$36</f>
        <v>0</v>
      </c>
      <c r="G157" s="1443" t="e">
        <f>+G200*'geg LO'!G28/'geg LO'!G$36</f>
        <v>#DIV/0!</v>
      </c>
      <c r="H157" s="1443" t="e">
        <f>+H200*'geg LO'!H28/'geg LO'!H$36</f>
        <v>#DIV/0!</v>
      </c>
      <c r="I157" s="1443" t="e">
        <f>+I200*'geg LO'!I28/'geg LO'!I$36</f>
        <v>#DIV/0!</v>
      </c>
      <c r="J157" s="1443" t="e">
        <f>+J200*'geg LO'!J28/'geg LO'!J$36</f>
        <v>#DIV/0!</v>
      </c>
      <c r="K157" s="1443" t="e">
        <f>+K200*'geg LO'!K28/'geg LO'!K$36</f>
        <v>#DIV/0!</v>
      </c>
      <c r="L157" s="1443" t="e">
        <f>+L200*'geg LO'!L28/'geg LO'!L$36</f>
        <v>#DIV/0!</v>
      </c>
      <c r="M157" s="1443" t="e">
        <f>+M200*'geg LO'!M28/'geg LO'!M$36</f>
        <v>#DIV/0!</v>
      </c>
      <c r="N157" s="1000"/>
      <c r="O157" s="88"/>
    </row>
    <row r="158" spans="2:15" ht="13.15" customHeight="1" x14ac:dyDescent="0.2">
      <c r="B158" s="86"/>
      <c r="C158" s="1000"/>
      <c r="D158" s="1075"/>
      <c r="E158" s="1000"/>
      <c r="F158" s="1448">
        <f t="shared" ref="F158:L158" si="66">IF(F156&gt;F157,F157+F155,F156+F155)</f>
        <v>0</v>
      </c>
      <c r="G158" s="1448" t="e">
        <f t="shared" si="66"/>
        <v>#DIV/0!</v>
      </c>
      <c r="H158" s="1448" t="e">
        <f t="shared" si="66"/>
        <v>#DIV/0!</v>
      </c>
      <c r="I158" s="1448" t="e">
        <f t="shared" si="66"/>
        <v>#DIV/0!</v>
      </c>
      <c r="J158" s="1448" t="e">
        <f t="shared" si="66"/>
        <v>#DIV/0!</v>
      </c>
      <c r="K158" s="1448" t="e">
        <f t="shared" si="66"/>
        <v>#DIV/0!</v>
      </c>
      <c r="L158" s="1448" t="e">
        <f t="shared" si="66"/>
        <v>#DIV/0!</v>
      </c>
      <c r="M158" s="1448" t="e">
        <f t="shared" ref="M158" si="67">IF(M156&gt;M157,M157+M155,M156+M155)</f>
        <v>#DIV/0!</v>
      </c>
      <c r="N158" s="1000"/>
      <c r="O158" s="88"/>
    </row>
    <row r="159" spans="2:15" ht="13.15" customHeight="1" x14ac:dyDescent="0.2">
      <c r="B159" s="86"/>
      <c r="C159" s="1000"/>
      <c r="D159" s="1447" t="str">
        <f>+D73</f>
        <v>Naam SBO 9</v>
      </c>
      <c r="E159" s="1000"/>
      <c r="F159" s="1449"/>
      <c r="G159" s="1120"/>
      <c r="H159" s="1120"/>
      <c r="I159" s="1120"/>
      <c r="J159" s="1120"/>
      <c r="K159" s="1120"/>
      <c r="L159" s="1120"/>
      <c r="M159" s="1120"/>
      <c r="N159" s="1000"/>
      <c r="O159" s="88"/>
    </row>
    <row r="160" spans="2:15" ht="13.15" customHeight="1" x14ac:dyDescent="0.2">
      <c r="B160" s="86"/>
      <c r="C160" s="1000"/>
      <c r="D160" s="1000" t="s">
        <v>15</v>
      </c>
      <c r="E160" s="1000"/>
      <c r="F160" s="1443">
        <f>IF('geg LO'!F$96="ja",ROUND(('geg LO'!F68-'geg LO'!F29)*tab!$D$55,0),0)</f>
        <v>0</v>
      </c>
      <c r="G160" s="1443">
        <f>IF('geg LO'!G$96="ja",ROUND(('geg LO'!G68-'geg LO'!G29)*tab!$D$55,0),0)</f>
        <v>0</v>
      </c>
      <c r="H160" s="1443">
        <f>IF('geg LO'!H$96="ja",ROUND(('geg LO'!H68-'geg LO'!H29)*tab!$D$55,0),0)</f>
        <v>0</v>
      </c>
      <c r="I160" s="1443">
        <f>IF('geg LO'!I$96="ja",ROUND(('geg LO'!I68-'geg LO'!I29)*tab!$D$55,0),0)</f>
        <v>0</v>
      </c>
      <c r="J160" s="1443">
        <f>IF('geg LO'!J$96="ja",ROUND(('geg LO'!J68-'geg LO'!J29)*tab!$D$55,0),0)</f>
        <v>0</v>
      </c>
      <c r="K160" s="1443">
        <f>IF('geg LO'!K$96="ja",ROUND(('geg LO'!K68-'geg LO'!K29)*tab!$D$55,0),0)</f>
        <v>0</v>
      </c>
      <c r="L160" s="1443">
        <f>IF('geg LO'!L$96="ja",ROUND(('geg LO'!L68-'geg LO'!L29)*tab!$D$55,0),0)</f>
        <v>0</v>
      </c>
      <c r="M160" s="1443">
        <f>IF('geg LO'!M$96="ja",ROUND(('geg LO'!M68-'geg LO'!M29)*tab!$D$55,0),0)</f>
        <v>0</v>
      </c>
      <c r="N160" s="1000"/>
      <c r="O160" s="88"/>
    </row>
    <row r="161" spans="2:15" ht="13.15" customHeight="1" x14ac:dyDescent="0.2">
      <c r="B161" s="86"/>
      <c r="C161" s="1000"/>
      <c r="D161" s="1000" t="s">
        <v>776</v>
      </c>
      <c r="E161" s="1000"/>
      <c r="F161" s="1443">
        <f>IF('geg LO'!F$96="ja",ROUND(('geg LO'!F$68-'geg LO'!F$50)*tab!$D$56,0),ROUND(('geg LO'!F$29-'geg LO'!F$50)*tab!$D$56,0))</f>
        <v>0</v>
      </c>
      <c r="G161" s="1443">
        <f>IF('geg LO'!G$96="ja",ROUND(('geg LO'!G$68-'geg LO'!G$50)*tab!$D$56,0),ROUND(('geg LO'!G$29-'geg LO'!G$50)*tab!$D$56,0))</f>
        <v>0</v>
      </c>
      <c r="H161" s="1443">
        <f>IF('geg LO'!H$96="ja",ROUND(('geg LO'!H$68-'geg LO'!H$50)*tab!$D$56,0),ROUND(('geg LO'!H$29-'geg LO'!H$50)*tab!$D$56,0))</f>
        <v>0</v>
      </c>
      <c r="I161" s="1443">
        <f>IF('geg LO'!I$96="ja",ROUND(('geg LO'!I$68-'geg LO'!I$50)*tab!$D$56,0),ROUND(('geg LO'!I$29-'geg LO'!I$50)*tab!$D$56,0))</f>
        <v>0</v>
      </c>
      <c r="J161" s="1443">
        <f>IF('geg LO'!J$96="ja",ROUND(('geg LO'!J$68-'geg LO'!J$50)*tab!$D$56,0),ROUND(('geg LO'!J$29-'geg LO'!J$50)*tab!$D$56,0))</f>
        <v>0</v>
      </c>
      <c r="K161" s="1443">
        <f>IF('geg LO'!K$96="ja",ROUND(('geg LO'!K$68-'geg LO'!K$50)*tab!$D$56,0),ROUND(('geg LO'!K$29-'geg LO'!K$50)*tab!$D$56,0))</f>
        <v>0</v>
      </c>
      <c r="L161" s="1443">
        <f>IF('geg LO'!L$96="ja",ROUND(('geg LO'!L$68-'geg LO'!L$50)*tab!$D$56,0),ROUND(('geg LO'!L$29-'geg LO'!L$50)*tab!$D$56,0))</f>
        <v>0</v>
      </c>
      <c r="M161" s="1443">
        <f>IF('geg LO'!M$96="ja",ROUND(('geg LO'!M$68-'geg LO'!M$50)*tab!$D$56,0),ROUND(('geg LO'!M$29-'geg LO'!M$50)*tab!$D$56,0))</f>
        <v>0</v>
      </c>
      <c r="N161" s="1000"/>
      <c r="O161" s="88"/>
    </row>
    <row r="162" spans="2:15" ht="13.15" customHeight="1" x14ac:dyDescent="0.2">
      <c r="B162" s="86"/>
      <c r="C162" s="1000"/>
      <c r="D162" s="1000" t="s">
        <v>176</v>
      </c>
      <c r="E162" s="1000"/>
      <c r="F162" s="1443">
        <f>+F200*'geg LO'!F29/'geg LO'!F$36</f>
        <v>0</v>
      </c>
      <c r="G162" s="1443" t="e">
        <f>+G200*'geg LO'!G29/'geg LO'!G$36</f>
        <v>#DIV/0!</v>
      </c>
      <c r="H162" s="1443" t="e">
        <f>+H200*'geg LO'!H29/'geg LO'!H$36</f>
        <v>#DIV/0!</v>
      </c>
      <c r="I162" s="1443" t="e">
        <f>+I200*'geg LO'!I29/'geg LO'!I$36</f>
        <v>#DIV/0!</v>
      </c>
      <c r="J162" s="1443" t="e">
        <f>+J200*'geg LO'!J29/'geg LO'!J$36</f>
        <v>#DIV/0!</v>
      </c>
      <c r="K162" s="1443" t="e">
        <f>+K200*'geg LO'!K29/'geg LO'!K$36</f>
        <v>#DIV/0!</v>
      </c>
      <c r="L162" s="1443" t="e">
        <f>+L200*'geg LO'!L29/'geg LO'!L$36</f>
        <v>#DIV/0!</v>
      </c>
      <c r="M162" s="1443" t="e">
        <f>+M200*'geg LO'!M29/'geg LO'!M$36</f>
        <v>#DIV/0!</v>
      </c>
      <c r="N162" s="1000"/>
      <c r="O162" s="88"/>
    </row>
    <row r="163" spans="2:15" ht="13.15" customHeight="1" x14ac:dyDescent="0.2">
      <c r="B163" s="86"/>
      <c r="C163" s="1000"/>
      <c r="D163" s="1075"/>
      <c r="E163" s="1000"/>
      <c r="F163" s="1448">
        <f t="shared" ref="F163:L163" si="68">IF(F161&gt;F162,F162+F160,F161+F160)</f>
        <v>0</v>
      </c>
      <c r="G163" s="1448" t="e">
        <f t="shared" si="68"/>
        <v>#DIV/0!</v>
      </c>
      <c r="H163" s="1448" t="e">
        <f t="shared" si="68"/>
        <v>#DIV/0!</v>
      </c>
      <c r="I163" s="1448" t="e">
        <f t="shared" si="68"/>
        <v>#DIV/0!</v>
      </c>
      <c r="J163" s="1448" t="e">
        <f t="shared" si="68"/>
        <v>#DIV/0!</v>
      </c>
      <c r="K163" s="1448" t="e">
        <f t="shared" si="68"/>
        <v>#DIV/0!</v>
      </c>
      <c r="L163" s="1448" t="e">
        <f t="shared" si="68"/>
        <v>#DIV/0!</v>
      </c>
      <c r="M163" s="1448" t="e">
        <f t="shared" ref="M163" si="69">IF(M161&gt;M162,M162+M160,M161+M160)</f>
        <v>#DIV/0!</v>
      </c>
      <c r="N163" s="1000"/>
      <c r="O163" s="88"/>
    </row>
    <row r="164" spans="2:15" ht="13.15" customHeight="1" x14ac:dyDescent="0.2">
      <c r="B164" s="86"/>
      <c r="C164" s="1000"/>
      <c r="D164" s="1447" t="str">
        <f>+D77</f>
        <v>Naam SBO 10</v>
      </c>
      <c r="E164" s="1000"/>
      <c r="F164" s="1449"/>
      <c r="G164" s="1120"/>
      <c r="H164" s="1120"/>
      <c r="I164" s="1120"/>
      <c r="J164" s="1120"/>
      <c r="K164" s="1120"/>
      <c r="L164" s="1120"/>
      <c r="M164" s="1120"/>
      <c r="N164" s="1000"/>
      <c r="O164" s="88"/>
    </row>
    <row r="165" spans="2:15" ht="13.15" customHeight="1" x14ac:dyDescent="0.2">
      <c r="B165" s="86"/>
      <c r="C165" s="1000"/>
      <c r="D165" s="1000" t="s">
        <v>15</v>
      </c>
      <c r="E165" s="1000"/>
      <c r="F165" s="1443">
        <f>IF('geg LO'!F$96="ja",ROUND(('geg LO'!F69-'geg LO'!F30)*tab!$D$55,0),0)</f>
        <v>0</v>
      </c>
      <c r="G165" s="1443">
        <f>IF('geg LO'!G$96="ja",ROUND(('geg LO'!G69-'geg LO'!G30)*tab!$D$55,0),0)</f>
        <v>0</v>
      </c>
      <c r="H165" s="1443">
        <f>IF('geg LO'!H$96="ja",ROUND(('geg LO'!H69-'geg LO'!H30)*tab!$D$55,0),0)</f>
        <v>0</v>
      </c>
      <c r="I165" s="1443">
        <f>IF('geg LO'!I$96="ja",ROUND(('geg LO'!I69-'geg LO'!I30)*tab!$D$55,0),0)</f>
        <v>0</v>
      </c>
      <c r="J165" s="1443">
        <f>IF('geg LO'!J$96="ja",ROUND(('geg LO'!J69-'geg LO'!J30)*tab!$D$55,0),0)</f>
        <v>0</v>
      </c>
      <c r="K165" s="1443">
        <f>IF('geg LO'!K$96="ja",ROUND(('geg LO'!K69-'geg LO'!K30)*tab!$D$55,0),0)</f>
        <v>0</v>
      </c>
      <c r="L165" s="1443">
        <f>IF('geg LO'!L$96="ja",ROUND(('geg LO'!L69-'geg LO'!L30)*tab!$D$55,0),0)</f>
        <v>0</v>
      </c>
      <c r="M165" s="1443">
        <f>IF('geg LO'!M$96="ja",ROUND(('geg LO'!M69-'geg LO'!M30)*tab!$D$55,0),0)</f>
        <v>0</v>
      </c>
      <c r="N165" s="1000"/>
      <c r="O165" s="88"/>
    </row>
    <row r="166" spans="2:15" ht="13.15" customHeight="1" x14ac:dyDescent="0.2">
      <c r="B166" s="86"/>
      <c r="C166" s="1000"/>
      <c r="D166" s="1000" t="s">
        <v>776</v>
      </c>
      <c r="E166" s="1000"/>
      <c r="F166" s="1443">
        <f>IF('geg LO'!F$96="ja",ROUND(('geg LO'!F$69-'geg LO'!F$51)*tab!$D$56,0),ROUND(('geg LO'!F$30-'geg LO'!F$51)*tab!$D$56,0))</f>
        <v>0</v>
      </c>
      <c r="G166" s="1443">
        <f>IF('geg LO'!G$96="ja",ROUND(('geg LO'!G$69-'geg LO'!G$51)*tab!$D$56,0),ROUND(('geg LO'!G$30-'geg LO'!G$51)*tab!$D$56,0))</f>
        <v>0</v>
      </c>
      <c r="H166" s="1443">
        <f>IF('geg LO'!H$96="ja",ROUND(('geg LO'!H$69-'geg LO'!H$51)*tab!$D$56,0),ROUND(('geg LO'!H$30-'geg LO'!H$51)*tab!$D$56,0))</f>
        <v>0</v>
      </c>
      <c r="I166" s="1443">
        <f>IF('geg LO'!I$96="ja",ROUND(('geg LO'!I$69-'geg LO'!I$51)*tab!$D$56,0),ROUND(('geg LO'!I$30-'geg LO'!I$51)*tab!$D$56,0))</f>
        <v>0</v>
      </c>
      <c r="J166" s="1443">
        <f>IF('geg LO'!J$96="ja",ROUND(('geg LO'!J$69-'geg LO'!J$51)*tab!$D$56,0),ROUND(('geg LO'!J$30-'geg LO'!J$51)*tab!$D$56,0))</f>
        <v>0</v>
      </c>
      <c r="K166" s="1443">
        <f>IF('geg LO'!K$96="ja",ROUND(('geg LO'!K$69-'geg LO'!K$51)*tab!$D$56,0),ROUND(('geg LO'!K$30-'geg LO'!K$51)*tab!$D$56,0))</f>
        <v>0</v>
      </c>
      <c r="L166" s="1443">
        <f>IF('geg LO'!L$96="ja",ROUND(('geg LO'!L$69-'geg LO'!L$51)*tab!$D$56,0),ROUND(('geg LO'!L$30-'geg LO'!L$51)*tab!$D$56,0))</f>
        <v>0</v>
      </c>
      <c r="M166" s="1443">
        <f>IF('geg LO'!M$96="ja",ROUND(('geg LO'!M$69-'geg LO'!M$51)*tab!$D$56,0),ROUND(('geg LO'!M$30-'geg LO'!M$51)*tab!$D$56,0))</f>
        <v>0</v>
      </c>
      <c r="N166" s="1000"/>
      <c r="O166" s="88"/>
    </row>
    <row r="167" spans="2:15" ht="13.15" customHeight="1" x14ac:dyDescent="0.2">
      <c r="B167" s="86"/>
      <c r="C167" s="1000"/>
      <c r="D167" s="1000" t="s">
        <v>176</v>
      </c>
      <c r="E167" s="1000"/>
      <c r="F167" s="1443">
        <f>+F200*'geg LO'!F30/'geg LO'!F$36</f>
        <v>0</v>
      </c>
      <c r="G167" s="1443" t="e">
        <f>+G200*'geg LO'!G30/'geg LO'!G$36</f>
        <v>#DIV/0!</v>
      </c>
      <c r="H167" s="1443" t="e">
        <f>+H200*'geg LO'!H30/'geg LO'!H$36</f>
        <v>#DIV/0!</v>
      </c>
      <c r="I167" s="1443" t="e">
        <f>+I200*'geg LO'!I30/'geg LO'!I$36</f>
        <v>#DIV/0!</v>
      </c>
      <c r="J167" s="1443" t="e">
        <f>+J200*'geg LO'!J30/'geg LO'!J$36</f>
        <v>#DIV/0!</v>
      </c>
      <c r="K167" s="1443" t="e">
        <f>+K200*'geg LO'!K30/'geg LO'!K$36</f>
        <v>#DIV/0!</v>
      </c>
      <c r="L167" s="1443" t="e">
        <f>+L200*'geg LO'!L30/'geg LO'!L$36</f>
        <v>#DIV/0!</v>
      </c>
      <c r="M167" s="1443" t="e">
        <f>+M200*'geg LO'!M30/'geg LO'!M$36</f>
        <v>#DIV/0!</v>
      </c>
      <c r="N167" s="1000"/>
      <c r="O167" s="88"/>
    </row>
    <row r="168" spans="2:15" ht="13.15" customHeight="1" x14ac:dyDescent="0.2">
      <c r="B168" s="86"/>
      <c r="C168" s="1000"/>
      <c r="D168" s="1075"/>
      <c r="E168" s="1000"/>
      <c r="F168" s="1448">
        <f t="shared" ref="F168:L168" si="70">IF(F166&gt;F167,F167+F165,F166+F165)</f>
        <v>0</v>
      </c>
      <c r="G168" s="1448" t="e">
        <f t="shared" si="70"/>
        <v>#DIV/0!</v>
      </c>
      <c r="H168" s="1448" t="e">
        <f t="shared" si="70"/>
        <v>#DIV/0!</v>
      </c>
      <c r="I168" s="1448" t="e">
        <f t="shared" si="70"/>
        <v>#DIV/0!</v>
      </c>
      <c r="J168" s="1448" t="e">
        <f t="shared" si="70"/>
        <v>#DIV/0!</v>
      </c>
      <c r="K168" s="1448" t="e">
        <f t="shared" si="70"/>
        <v>#DIV/0!</v>
      </c>
      <c r="L168" s="1448" t="e">
        <f t="shared" si="70"/>
        <v>#DIV/0!</v>
      </c>
      <c r="M168" s="1448" t="e">
        <f t="shared" ref="M168" si="71">IF(M166&gt;M167,M167+M165,M166+M165)</f>
        <v>#DIV/0!</v>
      </c>
      <c r="N168" s="1000"/>
      <c r="O168" s="88"/>
    </row>
    <row r="169" spans="2:15" ht="13.15" customHeight="1" x14ac:dyDescent="0.2">
      <c r="B169" s="86"/>
      <c r="C169" s="1000"/>
      <c r="D169" s="1447" t="str">
        <f>+D81</f>
        <v>Naam SBO 11</v>
      </c>
      <c r="E169" s="1000"/>
      <c r="F169" s="1449"/>
      <c r="G169" s="1120"/>
      <c r="H169" s="1120"/>
      <c r="I169" s="1120"/>
      <c r="J169" s="1120"/>
      <c r="K169" s="1120"/>
      <c r="L169" s="1120"/>
      <c r="M169" s="1120"/>
      <c r="N169" s="1000"/>
      <c r="O169" s="88"/>
    </row>
    <row r="170" spans="2:15" ht="13.15" customHeight="1" x14ac:dyDescent="0.2">
      <c r="B170" s="86"/>
      <c r="C170" s="1000"/>
      <c r="D170" s="1000" t="s">
        <v>15</v>
      </c>
      <c r="E170" s="1000"/>
      <c r="F170" s="1443">
        <f>IF('geg LO'!F$96="ja",ROUND(('geg LO'!F70-'geg LO'!F31)*tab!$D$55,0),0)</f>
        <v>0</v>
      </c>
      <c r="G170" s="1443">
        <f>IF('geg LO'!G$96="ja",ROUND(('geg LO'!G70-'geg LO'!G31)*tab!$D$55,0),0)</f>
        <v>0</v>
      </c>
      <c r="H170" s="1443">
        <f>IF('geg LO'!H$96="ja",ROUND(('geg LO'!H70-'geg LO'!H31)*tab!$D$55,0),0)</f>
        <v>0</v>
      </c>
      <c r="I170" s="1443">
        <f>IF('geg LO'!I$96="ja",ROUND(('geg LO'!I70-'geg LO'!I31)*tab!$D$55,0),0)</f>
        <v>0</v>
      </c>
      <c r="J170" s="1443">
        <f>IF('geg LO'!J$96="ja",ROUND(('geg LO'!J70-'geg LO'!J31)*tab!$D$55,0),0)</f>
        <v>0</v>
      </c>
      <c r="K170" s="1443">
        <f>IF('geg LO'!K$96="ja",ROUND(('geg LO'!K70-'geg LO'!K31)*tab!$D$55,0),0)</f>
        <v>0</v>
      </c>
      <c r="L170" s="1443">
        <f>IF('geg LO'!L$96="ja",ROUND(('geg LO'!L70-'geg LO'!L31)*tab!$D$55,0),0)</f>
        <v>0</v>
      </c>
      <c r="M170" s="1443">
        <f>IF('geg LO'!M$96="ja",ROUND(('geg LO'!M70-'geg LO'!M31)*tab!$D$55,0),0)</f>
        <v>0</v>
      </c>
      <c r="N170" s="1000"/>
      <c r="O170" s="88"/>
    </row>
    <row r="171" spans="2:15" ht="13.15" customHeight="1" x14ac:dyDescent="0.2">
      <c r="B171" s="86"/>
      <c r="C171" s="1000"/>
      <c r="D171" s="1000" t="s">
        <v>776</v>
      </c>
      <c r="E171" s="1000"/>
      <c r="F171" s="1443">
        <f>IF('geg LO'!F$96="ja",ROUND(('geg LO'!F$70-'geg LO'!F$52)*tab!$D$56,0),ROUND(('geg LO'!F$31-'geg LO'!F$52)*tab!$D$56,0))</f>
        <v>0</v>
      </c>
      <c r="G171" s="1443">
        <f>IF('geg LO'!G$96="ja",ROUND(('geg LO'!G$70-'geg LO'!G$52)*tab!$D$56,0),ROUND(('geg LO'!G$31-'geg LO'!G$52)*tab!$D$56,0))</f>
        <v>0</v>
      </c>
      <c r="H171" s="1443">
        <f>IF('geg LO'!H$96="ja",ROUND(('geg LO'!H$70-'geg LO'!H$52)*tab!$D$56,0),ROUND(('geg LO'!H$31-'geg LO'!H$52)*tab!$D$56,0))</f>
        <v>0</v>
      </c>
      <c r="I171" s="1443">
        <f>IF('geg LO'!I$96="ja",ROUND(('geg LO'!I$70-'geg LO'!I$52)*tab!$D$56,0),ROUND(('geg LO'!I$31-'geg LO'!I$52)*tab!$D$56,0))</f>
        <v>0</v>
      </c>
      <c r="J171" s="1443">
        <f>IF('geg LO'!J$96="ja",ROUND(('geg LO'!J$70-'geg LO'!J$52)*tab!$D$56,0),ROUND(('geg LO'!J$31-'geg LO'!J$52)*tab!$D$56,0))</f>
        <v>0</v>
      </c>
      <c r="K171" s="1443">
        <f>IF('geg LO'!K$96="ja",ROUND(('geg LO'!K$70-'geg LO'!K$52)*tab!$D$56,0),ROUND(('geg LO'!K$31-'geg LO'!K$52)*tab!$D$56,0))</f>
        <v>0</v>
      </c>
      <c r="L171" s="1443">
        <f>IF('geg LO'!L$96="ja",ROUND(('geg LO'!L$70-'geg LO'!L$52)*tab!$D$56,0),ROUND(('geg LO'!L$31-'geg LO'!L$52)*tab!$D$56,0))</f>
        <v>0</v>
      </c>
      <c r="M171" s="1443">
        <f>IF('geg LO'!M$96="ja",ROUND(('geg LO'!M$70-'geg LO'!M$52)*tab!$D$56,0),ROUND(('geg LO'!M$31-'geg LO'!M$52)*tab!$D$56,0))</f>
        <v>0</v>
      </c>
      <c r="N171" s="1000"/>
      <c r="O171" s="88"/>
    </row>
    <row r="172" spans="2:15" ht="13.15" customHeight="1" x14ac:dyDescent="0.2">
      <c r="B172" s="86"/>
      <c r="C172" s="1000"/>
      <c r="D172" s="1000" t="s">
        <v>176</v>
      </c>
      <c r="E172" s="1000"/>
      <c r="F172" s="1443">
        <f>+F200*'geg LO'!F31/'geg LO'!F$36</f>
        <v>0</v>
      </c>
      <c r="G172" s="1443" t="e">
        <f>+G200*'geg LO'!G31/'geg LO'!G$36</f>
        <v>#DIV/0!</v>
      </c>
      <c r="H172" s="1443" t="e">
        <f>+H200*'geg LO'!H31/'geg LO'!H$36</f>
        <v>#DIV/0!</v>
      </c>
      <c r="I172" s="1443" t="e">
        <f>+I200*'geg LO'!I31/'geg LO'!I$36</f>
        <v>#DIV/0!</v>
      </c>
      <c r="J172" s="1443" t="e">
        <f>+J200*'geg LO'!J31/'geg LO'!J$36</f>
        <v>#DIV/0!</v>
      </c>
      <c r="K172" s="1443" t="e">
        <f>+K200*'geg LO'!K31/'geg LO'!K$36</f>
        <v>#DIV/0!</v>
      </c>
      <c r="L172" s="1443" t="e">
        <f>+L200*'geg LO'!L31/'geg LO'!L$36</f>
        <v>#DIV/0!</v>
      </c>
      <c r="M172" s="1443" t="e">
        <f>+M200*'geg LO'!M31/'geg LO'!M$36</f>
        <v>#DIV/0!</v>
      </c>
      <c r="N172" s="1000"/>
      <c r="O172" s="88"/>
    </row>
    <row r="173" spans="2:15" ht="13.15" customHeight="1" x14ac:dyDescent="0.2">
      <c r="B173" s="86"/>
      <c r="C173" s="1000"/>
      <c r="D173" s="1075"/>
      <c r="E173" s="1000"/>
      <c r="F173" s="1448">
        <f t="shared" ref="F173:L173" si="72">IF(F171&gt;F172,F172+F170,F171+F170)</f>
        <v>0</v>
      </c>
      <c r="G173" s="1448" t="e">
        <f t="shared" si="72"/>
        <v>#DIV/0!</v>
      </c>
      <c r="H173" s="1448" t="e">
        <f t="shared" si="72"/>
        <v>#DIV/0!</v>
      </c>
      <c r="I173" s="1448" t="e">
        <f t="shared" si="72"/>
        <v>#DIV/0!</v>
      </c>
      <c r="J173" s="1448" t="e">
        <f t="shared" si="72"/>
        <v>#DIV/0!</v>
      </c>
      <c r="K173" s="1448" t="e">
        <f t="shared" si="72"/>
        <v>#DIV/0!</v>
      </c>
      <c r="L173" s="1448" t="e">
        <f t="shared" si="72"/>
        <v>#DIV/0!</v>
      </c>
      <c r="M173" s="1448" t="e">
        <f t="shared" ref="M173" si="73">IF(M171&gt;M172,M172+M170,M171+M170)</f>
        <v>#DIV/0!</v>
      </c>
      <c r="N173" s="1000"/>
      <c r="O173" s="88"/>
    </row>
    <row r="174" spans="2:15" ht="13.15" customHeight="1" x14ac:dyDescent="0.2">
      <c r="B174" s="86"/>
      <c r="C174" s="1000"/>
      <c r="D174" s="1447" t="str">
        <f>+D85</f>
        <v>Naam SBO 12</v>
      </c>
      <c r="E174" s="1000"/>
      <c r="F174" s="1449"/>
      <c r="G174" s="1120"/>
      <c r="H174" s="1120"/>
      <c r="I174" s="1120"/>
      <c r="J174" s="1120"/>
      <c r="K174" s="1120"/>
      <c r="L174" s="1120"/>
      <c r="M174" s="1120"/>
      <c r="N174" s="1000"/>
      <c r="O174" s="88"/>
    </row>
    <row r="175" spans="2:15" ht="13.15" customHeight="1" x14ac:dyDescent="0.2">
      <c r="B175" s="86"/>
      <c r="C175" s="1000"/>
      <c r="D175" s="1000" t="s">
        <v>15</v>
      </c>
      <c r="E175" s="1000"/>
      <c r="F175" s="1443">
        <f>IF('geg LO'!F$96="ja",ROUND(('geg LO'!F71-'geg LO'!F32)*tab!$D$55,0),0)</f>
        <v>0</v>
      </c>
      <c r="G175" s="1443">
        <f>IF('geg LO'!G$96="ja",ROUND(('geg LO'!G71-'geg LO'!G32)*tab!$D$55,0),0)</f>
        <v>0</v>
      </c>
      <c r="H175" s="1443">
        <f>IF('geg LO'!H$96="ja",ROUND(('geg LO'!H71-'geg LO'!H32)*tab!$D$55,0),0)</f>
        <v>0</v>
      </c>
      <c r="I175" s="1443">
        <f>IF('geg LO'!I$96="ja",ROUND(('geg LO'!I71-'geg LO'!I32)*tab!$D$55,0),0)</f>
        <v>0</v>
      </c>
      <c r="J175" s="1443">
        <f>IF('geg LO'!J$96="ja",ROUND(('geg LO'!J71-'geg LO'!J32)*tab!$D$55,0),0)</f>
        <v>0</v>
      </c>
      <c r="K175" s="1443">
        <f>IF('geg LO'!K$96="ja",ROUND(('geg LO'!K71-'geg LO'!K32)*tab!$D$55,0),0)</f>
        <v>0</v>
      </c>
      <c r="L175" s="1443">
        <f>IF('geg LO'!L$96="ja",ROUND(('geg LO'!L71-'geg LO'!L32)*tab!$D$55,0),0)</f>
        <v>0</v>
      </c>
      <c r="M175" s="1443">
        <f>IF('geg LO'!M$96="ja",ROUND(('geg LO'!M71-'geg LO'!M32)*tab!$D$55,0),0)</f>
        <v>0</v>
      </c>
      <c r="N175" s="1000"/>
      <c r="O175" s="88"/>
    </row>
    <row r="176" spans="2:15" ht="13.15" customHeight="1" x14ac:dyDescent="0.2">
      <c r="B176" s="86"/>
      <c r="C176" s="1000"/>
      <c r="D176" s="1000" t="s">
        <v>776</v>
      </c>
      <c r="E176" s="1000"/>
      <c r="F176" s="1443">
        <f>IF('geg LO'!F$96="ja",ROUND(('geg LO'!F$71-'geg LO'!F$53)*tab!$D$56,0),ROUND(('geg LO'!F$32-'geg LO'!F$53)*tab!$D$56,0))</f>
        <v>0</v>
      </c>
      <c r="G176" s="1443">
        <f>IF('geg LO'!G$96="ja",ROUND(('geg LO'!G$71-'geg LO'!G$53)*tab!$D$56,0),ROUND(('geg LO'!G$32-'geg LO'!G$53)*tab!$D$56,0))</f>
        <v>0</v>
      </c>
      <c r="H176" s="1443">
        <f>IF('geg LO'!H$96="ja",ROUND(('geg LO'!H$71-'geg LO'!H$53)*tab!$D$56,0),ROUND(('geg LO'!H$32-'geg LO'!H$53)*tab!$D$56,0))</f>
        <v>0</v>
      </c>
      <c r="I176" s="1443">
        <f>IF('geg LO'!I$96="ja",ROUND(('geg LO'!I$71-'geg LO'!I$53)*tab!$D$56,0),ROUND(('geg LO'!I$32-'geg LO'!I$53)*tab!$D$56,0))</f>
        <v>0</v>
      </c>
      <c r="J176" s="1443">
        <f>IF('geg LO'!J$96="ja",ROUND(('geg LO'!J$71-'geg LO'!J$53)*tab!$D$56,0),ROUND(('geg LO'!J$32-'geg LO'!J$53)*tab!$D$56,0))</f>
        <v>0</v>
      </c>
      <c r="K176" s="1443">
        <f>IF('geg LO'!K$96="ja",ROUND(('geg LO'!K$71-'geg LO'!K$53)*tab!$D$56,0),ROUND(('geg LO'!K$32-'geg LO'!K$53)*tab!$D$56,0))</f>
        <v>0</v>
      </c>
      <c r="L176" s="1443">
        <f>IF('geg LO'!L$96="ja",ROUND(('geg LO'!L$71-'geg LO'!L$53)*tab!$D$56,0),ROUND(('geg LO'!L$32-'geg LO'!L$53)*tab!$D$56,0))</f>
        <v>0</v>
      </c>
      <c r="M176" s="1443">
        <f>IF('geg LO'!M$96="ja",ROUND(('geg LO'!M$71-'geg LO'!M$53)*tab!$D$56,0),ROUND(('geg LO'!M$32-'geg LO'!M$53)*tab!$D$56,0))</f>
        <v>0</v>
      </c>
      <c r="N176" s="1000"/>
      <c r="O176" s="88"/>
    </row>
    <row r="177" spans="2:15" ht="13.15" customHeight="1" x14ac:dyDescent="0.2">
      <c r="B177" s="86"/>
      <c r="C177" s="1000"/>
      <c r="D177" s="1000" t="s">
        <v>176</v>
      </c>
      <c r="E177" s="1000"/>
      <c r="F177" s="1443">
        <f>+F200*'geg LO'!F32/'geg LO'!F$36</f>
        <v>0</v>
      </c>
      <c r="G177" s="1443" t="e">
        <f>+G200*'geg LO'!G32/'geg LO'!G$36</f>
        <v>#DIV/0!</v>
      </c>
      <c r="H177" s="1443" t="e">
        <f>+H200*'geg LO'!H32/'geg LO'!H$36</f>
        <v>#DIV/0!</v>
      </c>
      <c r="I177" s="1443" t="e">
        <f>+I200*'geg LO'!I32/'geg LO'!I$36</f>
        <v>#DIV/0!</v>
      </c>
      <c r="J177" s="1443" t="e">
        <f>+J200*'geg LO'!J32/'geg LO'!J$36</f>
        <v>#DIV/0!</v>
      </c>
      <c r="K177" s="1443" t="e">
        <f>+K200*'geg LO'!K32/'geg LO'!K$36</f>
        <v>#DIV/0!</v>
      </c>
      <c r="L177" s="1443" t="e">
        <f>+L200*'geg LO'!L32/'geg LO'!L$36</f>
        <v>#DIV/0!</v>
      </c>
      <c r="M177" s="1443" t="e">
        <f>+M200*'geg LO'!M32/'geg LO'!M$36</f>
        <v>#DIV/0!</v>
      </c>
      <c r="N177" s="1000"/>
      <c r="O177" s="88"/>
    </row>
    <row r="178" spans="2:15" ht="13.15" customHeight="1" x14ac:dyDescent="0.2">
      <c r="B178" s="86"/>
      <c r="C178" s="1000"/>
      <c r="D178" s="1075"/>
      <c r="E178" s="1000"/>
      <c r="F178" s="1448">
        <f t="shared" ref="F178:L178" si="74">IF(F176&gt;F177,F177+F175,F176+F175)</f>
        <v>0</v>
      </c>
      <c r="G178" s="1448" t="e">
        <f t="shared" si="74"/>
        <v>#DIV/0!</v>
      </c>
      <c r="H178" s="1448" t="e">
        <f t="shared" si="74"/>
        <v>#DIV/0!</v>
      </c>
      <c r="I178" s="1448" t="e">
        <f t="shared" si="74"/>
        <v>#DIV/0!</v>
      </c>
      <c r="J178" s="1448" t="e">
        <f t="shared" si="74"/>
        <v>#DIV/0!</v>
      </c>
      <c r="K178" s="1448" t="e">
        <f t="shared" si="74"/>
        <v>#DIV/0!</v>
      </c>
      <c r="L178" s="1448" t="e">
        <f t="shared" si="74"/>
        <v>#DIV/0!</v>
      </c>
      <c r="M178" s="1448" t="e">
        <f t="shared" ref="M178" si="75">IF(M176&gt;M177,M177+M175,M176+M175)</f>
        <v>#DIV/0!</v>
      </c>
      <c r="N178" s="1000"/>
      <c r="O178" s="88"/>
    </row>
    <row r="179" spans="2:15" ht="13.15" customHeight="1" x14ac:dyDescent="0.2">
      <c r="B179" s="86"/>
      <c r="C179" s="1000"/>
      <c r="D179" s="1447" t="str">
        <f>+D89</f>
        <v>Naam SBO 13</v>
      </c>
      <c r="E179" s="1000"/>
      <c r="F179" s="1449"/>
      <c r="G179" s="1120"/>
      <c r="H179" s="1120"/>
      <c r="I179" s="1120"/>
      <c r="J179" s="1120"/>
      <c r="K179" s="1120"/>
      <c r="L179" s="1120"/>
      <c r="M179" s="1120"/>
      <c r="N179" s="1000"/>
      <c r="O179" s="88"/>
    </row>
    <row r="180" spans="2:15" ht="13.15" customHeight="1" x14ac:dyDescent="0.2">
      <c r="B180" s="86"/>
      <c r="C180" s="1000"/>
      <c r="D180" s="1000" t="s">
        <v>15</v>
      </c>
      <c r="E180" s="1000"/>
      <c r="F180" s="1443">
        <f>IF('geg LO'!F$96="ja",ROUND(('geg LO'!F72-'geg LO'!F33)*tab!$D$55,0),0)</f>
        <v>0</v>
      </c>
      <c r="G180" s="1443">
        <f>IF('geg LO'!G$96="ja",ROUND(('geg LO'!G72-'geg LO'!G33)*tab!$D$55,0),0)</f>
        <v>0</v>
      </c>
      <c r="H180" s="1443">
        <f>IF('geg LO'!H$96="ja",ROUND(('geg LO'!H72-'geg LO'!H33)*tab!$D$55,0),0)</f>
        <v>0</v>
      </c>
      <c r="I180" s="1443">
        <f>IF('geg LO'!I$96="ja",ROUND(('geg LO'!I72-'geg LO'!I33)*tab!$D$55,0),0)</f>
        <v>0</v>
      </c>
      <c r="J180" s="1443">
        <f>IF('geg LO'!J$96="ja",ROUND(('geg LO'!J72-'geg LO'!J33)*tab!$D$55,0),0)</f>
        <v>0</v>
      </c>
      <c r="K180" s="1443">
        <f>IF('geg LO'!K$96="ja",ROUND(('geg LO'!K72-'geg LO'!K33)*tab!$D$55,0),0)</f>
        <v>0</v>
      </c>
      <c r="L180" s="1443">
        <f>IF('geg LO'!L$96="ja",ROUND(('geg LO'!L72-'geg LO'!L33)*tab!$D$55,0),0)</f>
        <v>0</v>
      </c>
      <c r="M180" s="1443">
        <f>IF('geg LO'!M$96="ja",ROUND(('geg LO'!M72-'geg LO'!M33)*tab!$D$55,0),0)</f>
        <v>0</v>
      </c>
      <c r="N180" s="1000"/>
      <c r="O180" s="88"/>
    </row>
    <row r="181" spans="2:15" ht="13.15" customHeight="1" x14ac:dyDescent="0.2">
      <c r="B181" s="86"/>
      <c r="C181" s="1000"/>
      <c r="D181" s="1000" t="s">
        <v>776</v>
      </c>
      <c r="E181" s="1000"/>
      <c r="F181" s="1443">
        <f>IF('geg LO'!F$96="ja",ROUND(('geg LO'!F$72-'geg LO'!F$54)*tab!$D$56,0),ROUND(('geg LO'!F$33-'geg LO'!F$54)*tab!$D$56,0))</f>
        <v>0</v>
      </c>
      <c r="G181" s="1443">
        <f>IF('geg LO'!G$96="ja",ROUND(('geg LO'!G$72-'geg LO'!G$54)*tab!$D$56,0),ROUND(('geg LO'!G$33-'geg LO'!G$54)*tab!$D$56,0))</f>
        <v>0</v>
      </c>
      <c r="H181" s="1443">
        <f>IF('geg LO'!H$96="ja",ROUND(('geg LO'!H$72-'geg LO'!H$54)*tab!$D$56,0),ROUND(('geg LO'!H$33-'geg LO'!H$54)*tab!$D$56,0))</f>
        <v>0</v>
      </c>
      <c r="I181" s="1443">
        <f>IF('geg LO'!I$96="ja",ROUND(('geg LO'!I$72-'geg LO'!I$54)*tab!$D$56,0),ROUND(('geg LO'!I$33-'geg LO'!I$54)*tab!$D$56,0))</f>
        <v>0</v>
      </c>
      <c r="J181" s="1443">
        <f>IF('geg LO'!J$96="ja",ROUND(('geg LO'!J$72-'geg LO'!J$54)*tab!$D$56,0),ROUND(('geg LO'!J$33-'geg LO'!J$54)*tab!$D$56,0))</f>
        <v>0</v>
      </c>
      <c r="K181" s="1443">
        <f>IF('geg LO'!K$96="ja",ROUND(('geg LO'!K$72-'geg LO'!K$54)*tab!$D$56,0),ROUND(('geg LO'!K$33-'geg LO'!K$54)*tab!$D$56,0))</f>
        <v>0</v>
      </c>
      <c r="L181" s="1443">
        <f>IF('geg LO'!L$96="ja",ROUND(('geg LO'!L$72-'geg LO'!L$54)*tab!$D$56,0),ROUND(('geg LO'!L$33-'geg LO'!L$54)*tab!$D$56,0))</f>
        <v>0</v>
      </c>
      <c r="M181" s="1443">
        <f>IF('geg LO'!M$96="ja",ROUND(('geg LO'!M$72-'geg LO'!M$54)*tab!$D$56,0),ROUND(('geg LO'!M$33-'geg LO'!M$54)*tab!$D$56,0))</f>
        <v>0</v>
      </c>
      <c r="N181" s="1000"/>
      <c r="O181" s="88"/>
    </row>
    <row r="182" spans="2:15" ht="13.15" customHeight="1" x14ac:dyDescent="0.2">
      <c r="B182" s="86"/>
      <c r="C182" s="1000"/>
      <c r="D182" s="1000" t="s">
        <v>176</v>
      </c>
      <c r="E182" s="1000"/>
      <c r="F182" s="1443">
        <f>+F200*'geg LO'!F33/'geg LO'!F$36</f>
        <v>0</v>
      </c>
      <c r="G182" s="1443" t="e">
        <f>+G200*'geg LO'!G33/'geg LO'!G$36</f>
        <v>#DIV/0!</v>
      </c>
      <c r="H182" s="1443" t="e">
        <f>+H200*'geg LO'!H33/'geg LO'!H$36</f>
        <v>#DIV/0!</v>
      </c>
      <c r="I182" s="1443" t="e">
        <f>+I200*'geg LO'!I33/'geg LO'!I$36</f>
        <v>#DIV/0!</v>
      </c>
      <c r="J182" s="1443" t="e">
        <f>+J200*'geg LO'!J33/'geg LO'!J$36</f>
        <v>#DIV/0!</v>
      </c>
      <c r="K182" s="1443" t="e">
        <f>+K200*'geg LO'!K33/'geg LO'!K$36</f>
        <v>#DIV/0!</v>
      </c>
      <c r="L182" s="1443" t="e">
        <f>+L200*'geg LO'!L33/'geg LO'!L$36</f>
        <v>#DIV/0!</v>
      </c>
      <c r="M182" s="1443" t="e">
        <f>+M200*'geg LO'!M33/'geg LO'!M$36</f>
        <v>#DIV/0!</v>
      </c>
      <c r="N182" s="1000"/>
      <c r="O182" s="88"/>
    </row>
    <row r="183" spans="2:15" ht="13.15" customHeight="1" x14ac:dyDescent="0.2">
      <c r="B183" s="86"/>
      <c r="C183" s="1000"/>
      <c r="D183" s="1075"/>
      <c r="E183" s="1000"/>
      <c r="F183" s="1448">
        <f t="shared" ref="F183:L183" si="76">IF(F181&gt;F182,F182+F180,F181+F180)</f>
        <v>0</v>
      </c>
      <c r="G183" s="1448" t="e">
        <f t="shared" si="76"/>
        <v>#DIV/0!</v>
      </c>
      <c r="H183" s="1448" t="e">
        <f t="shared" si="76"/>
        <v>#DIV/0!</v>
      </c>
      <c r="I183" s="1448" t="e">
        <f t="shared" si="76"/>
        <v>#DIV/0!</v>
      </c>
      <c r="J183" s="1448" t="e">
        <f t="shared" si="76"/>
        <v>#DIV/0!</v>
      </c>
      <c r="K183" s="1448" t="e">
        <f t="shared" si="76"/>
        <v>#DIV/0!</v>
      </c>
      <c r="L183" s="1448" t="e">
        <f t="shared" si="76"/>
        <v>#DIV/0!</v>
      </c>
      <c r="M183" s="1448" t="e">
        <f t="shared" ref="M183" si="77">IF(M181&gt;M182,M182+M180,M181+M180)</f>
        <v>#DIV/0!</v>
      </c>
      <c r="N183" s="1000"/>
      <c r="O183" s="88"/>
    </row>
    <row r="184" spans="2:15" ht="13.15" customHeight="1" x14ac:dyDescent="0.2">
      <c r="B184" s="86"/>
      <c r="C184" s="1000"/>
      <c r="D184" s="1447" t="str">
        <f>+D93</f>
        <v>Naam SBO 14</v>
      </c>
      <c r="E184" s="1000"/>
      <c r="F184" s="1449"/>
      <c r="G184" s="1120"/>
      <c r="H184" s="1120"/>
      <c r="I184" s="1120"/>
      <c r="J184" s="1120"/>
      <c r="K184" s="1120"/>
      <c r="L184" s="1120"/>
      <c r="M184" s="1120"/>
      <c r="N184" s="1000"/>
      <c r="O184" s="88"/>
    </row>
    <row r="185" spans="2:15" ht="13.15" customHeight="1" x14ac:dyDescent="0.2">
      <c r="B185" s="86"/>
      <c r="C185" s="1000"/>
      <c r="D185" s="1000" t="s">
        <v>15</v>
      </c>
      <c r="E185" s="1000"/>
      <c r="F185" s="1443">
        <f>IF('geg LO'!F$96="ja",ROUND(('geg LO'!F73-'geg LO'!F34)*tab!$D$55,0),0)</f>
        <v>0</v>
      </c>
      <c r="G185" s="1443">
        <f>IF('geg LO'!G$96="ja",ROUND(('geg LO'!G73-'geg LO'!G34)*tab!$D$55,0),0)</f>
        <v>0</v>
      </c>
      <c r="H185" s="1443">
        <f>IF('geg LO'!H$96="ja",ROUND(('geg LO'!H73-'geg LO'!H34)*tab!$D$55,0),0)</f>
        <v>0</v>
      </c>
      <c r="I185" s="1443">
        <f>IF('geg LO'!I$96="ja",ROUND(('geg LO'!I73-'geg LO'!I34)*tab!$D$55,0),0)</f>
        <v>0</v>
      </c>
      <c r="J185" s="1443">
        <f>IF('geg LO'!J$96="ja",ROUND(('geg LO'!J73-'geg LO'!J34)*tab!$D$55,0),0)</f>
        <v>0</v>
      </c>
      <c r="K185" s="1443">
        <f>IF('geg LO'!K$96="ja",ROUND(('geg LO'!K73-'geg LO'!K34)*tab!$D$55,0),0)</f>
        <v>0</v>
      </c>
      <c r="L185" s="1443">
        <f>IF('geg LO'!L$96="ja",ROUND(('geg LO'!L73-'geg LO'!L34)*tab!$D$55,0),0)</f>
        <v>0</v>
      </c>
      <c r="M185" s="1443">
        <f>IF('geg LO'!M$96="ja",ROUND(('geg LO'!M73-'geg LO'!M34)*tab!$D$55,0),0)</f>
        <v>0</v>
      </c>
      <c r="N185" s="1000"/>
      <c r="O185" s="88"/>
    </row>
    <row r="186" spans="2:15" ht="13.15" customHeight="1" x14ac:dyDescent="0.2">
      <c r="B186" s="86"/>
      <c r="C186" s="1000"/>
      <c r="D186" s="1000" t="s">
        <v>776</v>
      </c>
      <c r="E186" s="1000"/>
      <c r="F186" s="1443">
        <f>IF('geg LO'!F$96="ja",ROUND(('geg LO'!F$73-'geg LO'!F$55)*tab!$D$56,0),ROUND(('geg LO'!F$34-'geg LO'!F$55)*tab!$D$56,0))</f>
        <v>0</v>
      </c>
      <c r="G186" s="1443">
        <f>IF('geg LO'!G$96="ja",ROUND(('geg LO'!G$73-'geg LO'!G$55)*tab!$D$56,0),ROUND(('geg LO'!G$34-'geg LO'!G$55)*tab!$D$56,0))</f>
        <v>0</v>
      </c>
      <c r="H186" s="1443">
        <f>IF('geg LO'!H$96="ja",ROUND(('geg LO'!H$73-'geg LO'!H$55)*tab!$D$56,0),ROUND(('geg LO'!H$34-'geg LO'!H$55)*tab!$D$56,0))</f>
        <v>0</v>
      </c>
      <c r="I186" s="1443">
        <f>IF('geg LO'!I$96="ja",ROUND(('geg LO'!I$73-'geg LO'!I$55)*tab!$D$56,0),ROUND(('geg LO'!I$34-'geg LO'!I$55)*tab!$D$56,0))</f>
        <v>0</v>
      </c>
      <c r="J186" s="1443">
        <f>IF('geg LO'!J$96="ja",ROUND(('geg LO'!J$73-'geg LO'!J$55)*tab!$D$56,0),ROUND(('geg LO'!J$34-'geg LO'!J$55)*tab!$D$56,0))</f>
        <v>0</v>
      </c>
      <c r="K186" s="1443">
        <f>IF('geg LO'!K$96="ja",ROUND(('geg LO'!K$73-'geg LO'!K$55)*tab!$D$56,0),ROUND(('geg LO'!K$34-'geg LO'!K$55)*tab!$D$56,0))</f>
        <v>0</v>
      </c>
      <c r="L186" s="1443">
        <f>IF('geg LO'!L$96="ja",ROUND(('geg LO'!L$73-'geg LO'!L$55)*tab!$D$56,0),ROUND(('geg LO'!L$34-'geg LO'!L$55)*tab!$D$56,0))</f>
        <v>0</v>
      </c>
      <c r="M186" s="1443">
        <f>IF('geg LO'!M$96="ja",ROUND(('geg LO'!M$73-'geg LO'!M$55)*tab!$D$56,0),ROUND(('geg LO'!M$34-'geg LO'!M$55)*tab!$D$56,0))</f>
        <v>0</v>
      </c>
      <c r="N186" s="1000"/>
      <c r="O186" s="88"/>
    </row>
    <row r="187" spans="2:15" ht="13.15" customHeight="1" x14ac:dyDescent="0.2">
      <c r="B187" s="86"/>
      <c r="C187" s="1000"/>
      <c r="D187" s="1000" t="s">
        <v>176</v>
      </c>
      <c r="E187" s="1000"/>
      <c r="F187" s="1443">
        <f>+F200*'geg LO'!F34/'geg LO'!F$36</f>
        <v>0</v>
      </c>
      <c r="G187" s="1443" t="e">
        <f>+G200*'geg LO'!G34/'geg LO'!G$36</f>
        <v>#DIV/0!</v>
      </c>
      <c r="H187" s="1443" t="e">
        <f>+H200*'geg LO'!H34/'geg LO'!H$36</f>
        <v>#DIV/0!</v>
      </c>
      <c r="I187" s="1443" t="e">
        <f>+I200*'geg LO'!I34/'geg LO'!I$36</f>
        <v>#DIV/0!</v>
      </c>
      <c r="J187" s="1443" t="e">
        <f>+J200*'geg LO'!J34/'geg LO'!J$36</f>
        <v>#DIV/0!</v>
      </c>
      <c r="K187" s="1443" t="e">
        <f>+K200*'geg LO'!K34/'geg LO'!K$36</f>
        <v>#DIV/0!</v>
      </c>
      <c r="L187" s="1443" t="e">
        <f>+L200*'geg LO'!L34/'geg LO'!L$36</f>
        <v>#DIV/0!</v>
      </c>
      <c r="M187" s="1443" t="e">
        <f>+M200*'geg LO'!M34/'geg LO'!M$36</f>
        <v>#DIV/0!</v>
      </c>
      <c r="N187" s="1000"/>
      <c r="O187" s="88"/>
    </row>
    <row r="188" spans="2:15" ht="13.15" customHeight="1" x14ac:dyDescent="0.2">
      <c r="B188" s="86"/>
      <c r="C188" s="1000"/>
      <c r="D188" s="1075"/>
      <c r="E188" s="1000"/>
      <c r="F188" s="1448">
        <f t="shared" ref="F188:L188" si="78">IF(F186&gt;F187,F187+F185,F186+F185)</f>
        <v>0</v>
      </c>
      <c r="G188" s="1448" t="e">
        <f t="shared" si="78"/>
        <v>#DIV/0!</v>
      </c>
      <c r="H188" s="1448" t="e">
        <f t="shared" si="78"/>
        <v>#DIV/0!</v>
      </c>
      <c r="I188" s="1448" t="e">
        <f t="shared" si="78"/>
        <v>#DIV/0!</v>
      </c>
      <c r="J188" s="1448" t="e">
        <f t="shared" si="78"/>
        <v>#DIV/0!</v>
      </c>
      <c r="K188" s="1448" t="e">
        <f t="shared" si="78"/>
        <v>#DIV/0!</v>
      </c>
      <c r="L188" s="1448" t="e">
        <f t="shared" si="78"/>
        <v>#DIV/0!</v>
      </c>
      <c r="M188" s="1448" t="e">
        <f t="shared" ref="M188" si="79">IF(M186&gt;M187,M187+M185,M186+M185)</f>
        <v>#DIV/0!</v>
      </c>
      <c r="N188" s="1000"/>
      <c r="O188" s="88"/>
    </row>
    <row r="189" spans="2:15" ht="13.15" customHeight="1" x14ac:dyDescent="0.2">
      <c r="B189" s="86"/>
      <c r="C189" s="1000"/>
      <c r="D189" s="1447" t="str">
        <f>+D97</f>
        <v>Naam SBO 15</v>
      </c>
      <c r="E189" s="1000"/>
      <c r="F189" s="1449"/>
      <c r="G189" s="1120"/>
      <c r="H189" s="1120"/>
      <c r="I189" s="1120"/>
      <c r="J189" s="1120"/>
      <c r="K189" s="1120"/>
      <c r="L189" s="1120"/>
      <c r="M189" s="1120"/>
      <c r="N189" s="1000"/>
      <c r="O189" s="88"/>
    </row>
    <row r="190" spans="2:15" ht="13.15" customHeight="1" x14ac:dyDescent="0.2">
      <c r="B190" s="86"/>
      <c r="C190" s="1000"/>
      <c r="D190" s="1000" t="s">
        <v>15</v>
      </c>
      <c r="E190" s="1000"/>
      <c r="F190" s="1443">
        <f>IF('geg LO'!F$96="ja",ROUND(('geg LO'!F74-'geg LO'!F35)*tab!$D$55,0),0)</f>
        <v>0</v>
      </c>
      <c r="G190" s="1443">
        <f>IF('geg LO'!G$96="ja",ROUND(('geg LO'!G74-'geg LO'!G35)*tab!$D$55,0),0)</f>
        <v>0</v>
      </c>
      <c r="H190" s="1443">
        <f>IF('geg LO'!H$96="ja",ROUND(('geg LO'!H74-'geg LO'!H35)*tab!$D$55,0),0)</f>
        <v>0</v>
      </c>
      <c r="I190" s="1443">
        <f>IF('geg LO'!I$96="ja",ROUND(('geg LO'!I74-'geg LO'!I35)*tab!$D$55,0),0)</f>
        <v>0</v>
      </c>
      <c r="J190" s="1443">
        <f>IF('geg LO'!J$96="ja",ROUND(('geg LO'!J74-'geg LO'!J35)*tab!$D$55,0),0)</f>
        <v>0</v>
      </c>
      <c r="K190" s="1443">
        <f>IF('geg LO'!K$96="ja",ROUND(('geg LO'!K74-'geg LO'!K35)*tab!$D$55,0),0)</f>
        <v>0</v>
      </c>
      <c r="L190" s="1443">
        <f>IF('geg LO'!L$96="ja",ROUND(('geg LO'!L74-'geg LO'!L35)*tab!$D$55,0),0)</f>
        <v>0</v>
      </c>
      <c r="M190" s="1443">
        <f>IF('geg LO'!M$96="ja",ROUND(('geg LO'!M74-'geg LO'!M35)*tab!$D$55,0),0)</f>
        <v>0</v>
      </c>
      <c r="N190" s="1000"/>
      <c r="O190" s="88"/>
    </row>
    <row r="191" spans="2:15" ht="13.15" customHeight="1" x14ac:dyDescent="0.2">
      <c r="B191" s="86"/>
      <c r="C191" s="1000"/>
      <c r="D191" s="1000" t="s">
        <v>776</v>
      </c>
      <c r="E191" s="1000"/>
      <c r="F191" s="1443">
        <f>IF('geg LO'!F$96="ja",ROUND(('geg LO'!F$74-'geg LO'!F$56)*tab!$D$56,0),ROUND(('geg LO'!F$35-'geg LO'!F$56)*tab!$D$56,0))</f>
        <v>0</v>
      </c>
      <c r="G191" s="1443">
        <f>IF('geg LO'!G$96="ja",ROUND(('geg LO'!G$74-'geg LO'!G$56)*tab!$D$56,0),ROUND(('geg LO'!G$35-'geg LO'!G$56)*tab!$D$56,0))</f>
        <v>0</v>
      </c>
      <c r="H191" s="1443">
        <f>IF('geg LO'!H$96="ja",ROUND(('geg LO'!H$74-'geg LO'!H$56)*tab!$D$56,0),ROUND(('geg LO'!H$35-'geg LO'!H$56)*tab!$D$56,0))</f>
        <v>0</v>
      </c>
      <c r="I191" s="1443">
        <f>IF('geg LO'!I$96="ja",ROUND(('geg LO'!I$74-'geg LO'!I$56)*tab!$D$56,0),ROUND(('geg LO'!I$35-'geg LO'!I$56)*tab!$D$56,0))</f>
        <v>0</v>
      </c>
      <c r="J191" s="1443">
        <f>IF('geg LO'!J$96="ja",ROUND(('geg LO'!J$74-'geg LO'!J$56)*tab!$D$56,0),ROUND(('geg LO'!J$35-'geg LO'!J$56)*tab!$D$56,0))</f>
        <v>0</v>
      </c>
      <c r="K191" s="1443">
        <f>IF('geg LO'!K$96="ja",ROUND(('geg LO'!K$74-'geg LO'!K$56)*tab!$D$56,0),ROUND(('geg LO'!K$35-'geg LO'!K$56)*tab!$D$56,0))</f>
        <v>0</v>
      </c>
      <c r="L191" s="1443">
        <f>IF('geg LO'!L$96="ja",ROUND(('geg LO'!L$74-'geg LO'!L$56)*tab!$D$56,0),ROUND(('geg LO'!L$35-'geg LO'!L$56)*tab!$D$56,0))</f>
        <v>0</v>
      </c>
      <c r="M191" s="1443">
        <f>IF('geg LO'!M$96="ja",ROUND(('geg LO'!M$74-'geg LO'!M$56)*tab!$D$56,0),ROUND(('geg LO'!M$35-'geg LO'!M$56)*tab!$D$56,0))</f>
        <v>0</v>
      </c>
      <c r="N191" s="1000"/>
      <c r="O191" s="88"/>
    </row>
    <row r="192" spans="2:15" ht="13.15" customHeight="1" x14ac:dyDescent="0.2">
      <c r="B192" s="86"/>
      <c r="C192" s="1000"/>
      <c r="D192" s="1000" t="s">
        <v>176</v>
      </c>
      <c r="E192" s="1000"/>
      <c r="F192" s="1443">
        <f>+F200*'geg LO'!F35/'geg LO'!F$36</f>
        <v>0</v>
      </c>
      <c r="G192" s="1443" t="e">
        <f>+G200*'geg LO'!G35/'geg LO'!G$36</f>
        <v>#DIV/0!</v>
      </c>
      <c r="H192" s="1443" t="e">
        <f>+H200*'geg LO'!H35/'geg LO'!H$36</f>
        <v>#DIV/0!</v>
      </c>
      <c r="I192" s="1443" t="e">
        <f>+I200*'geg LO'!I35/'geg LO'!I$36</f>
        <v>#DIV/0!</v>
      </c>
      <c r="J192" s="1443" t="e">
        <f>+J200*'geg LO'!J35/'geg LO'!J$36</f>
        <v>#DIV/0!</v>
      </c>
      <c r="K192" s="1443" t="e">
        <f>+K200*'geg LO'!K35/'geg LO'!K$36</f>
        <v>#DIV/0!</v>
      </c>
      <c r="L192" s="1443" t="e">
        <f>+L200*'geg LO'!L35/'geg LO'!L$36</f>
        <v>#DIV/0!</v>
      </c>
      <c r="M192" s="1443" t="e">
        <f>+M200*'geg LO'!M35/'geg LO'!M$36</f>
        <v>#DIV/0!</v>
      </c>
      <c r="N192" s="1000"/>
      <c r="O192" s="88"/>
    </row>
    <row r="193" spans="2:17" ht="13.15" customHeight="1" x14ac:dyDescent="0.2">
      <c r="B193" s="86"/>
      <c r="C193" s="1000"/>
      <c r="D193" s="1075"/>
      <c r="E193" s="1000"/>
      <c r="F193" s="1448">
        <f t="shared" ref="F193:L193" si="80">IF(F191&gt;F192,F192+F190,F191+F190)</f>
        <v>0</v>
      </c>
      <c r="G193" s="1448" t="e">
        <f t="shared" si="80"/>
        <v>#DIV/0!</v>
      </c>
      <c r="H193" s="1448" t="e">
        <f t="shared" si="80"/>
        <v>#DIV/0!</v>
      </c>
      <c r="I193" s="1448" t="e">
        <f t="shared" si="80"/>
        <v>#DIV/0!</v>
      </c>
      <c r="J193" s="1448" t="e">
        <f t="shared" si="80"/>
        <v>#DIV/0!</v>
      </c>
      <c r="K193" s="1448" t="e">
        <f t="shared" si="80"/>
        <v>#DIV/0!</v>
      </c>
      <c r="L193" s="1448" t="e">
        <f t="shared" si="80"/>
        <v>#DIV/0!</v>
      </c>
      <c r="M193" s="1448" t="e">
        <f t="shared" ref="M193" si="81">IF(M191&gt;M192,M192+M190,M191+M190)</f>
        <v>#DIV/0!</v>
      </c>
      <c r="N193" s="1000"/>
      <c r="O193" s="88"/>
    </row>
    <row r="194" spans="2:17" ht="13.15" customHeight="1" x14ac:dyDescent="0.2">
      <c r="B194" s="86"/>
      <c r="C194" s="1000"/>
      <c r="D194" s="1000"/>
      <c r="E194" s="1000"/>
      <c r="F194" s="1120"/>
      <c r="G194" s="1120"/>
      <c r="H194" s="1120"/>
      <c r="I194" s="1120"/>
      <c r="J194" s="1120"/>
      <c r="K194" s="1120"/>
      <c r="L194" s="1120"/>
      <c r="M194" s="1120"/>
      <c r="N194" s="1000"/>
      <c r="O194" s="88"/>
    </row>
    <row r="195" spans="2:17" ht="13.15" customHeight="1" x14ac:dyDescent="0.2">
      <c r="B195" s="86"/>
      <c r="C195" s="87"/>
      <c r="D195" s="87"/>
      <c r="E195" s="87"/>
      <c r="F195" s="143"/>
      <c r="G195" s="143"/>
      <c r="H195" s="143"/>
      <c r="I195" s="143"/>
      <c r="J195" s="143"/>
      <c r="K195" s="143"/>
      <c r="L195" s="143"/>
      <c r="M195" s="143"/>
      <c r="N195" s="87"/>
      <c r="O195" s="88"/>
    </row>
    <row r="196" spans="2:17" ht="13.15" customHeight="1" x14ac:dyDescent="0.2">
      <c r="B196" s="86"/>
      <c r="C196" s="1000"/>
      <c r="D196" s="1000"/>
      <c r="E196" s="1000"/>
      <c r="F196" s="1120"/>
      <c r="G196" s="1120"/>
      <c r="H196" s="1120"/>
      <c r="I196" s="1120"/>
      <c r="J196" s="1120"/>
      <c r="K196" s="1120"/>
      <c r="L196" s="1120"/>
      <c r="M196" s="1120"/>
      <c r="N196" s="1000"/>
      <c r="O196" s="88"/>
    </row>
    <row r="197" spans="2:17" ht="13.15" customHeight="1" x14ac:dyDescent="0.2">
      <c r="B197" s="86"/>
      <c r="C197" s="1000"/>
      <c r="D197" s="1075" t="s">
        <v>317</v>
      </c>
      <c r="E197" s="1000"/>
      <c r="F197" s="1451" t="s">
        <v>232</v>
      </c>
      <c r="G197" s="1120"/>
      <c r="H197" s="1120"/>
      <c r="I197" s="1120"/>
      <c r="J197" s="1120"/>
      <c r="K197" s="1120"/>
      <c r="L197" s="1120"/>
      <c r="M197" s="1120"/>
      <c r="N197" s="1000"/>
      <c r="O197" s="88"/>
    </row>
    <row r="198" spans="2:17" ht="13.15" customHeight="1" x14ac:dyDescent="0.2">
      <c r="B198" s="86"/>
      <c r="C198" s="1000"/>
      <c r="D198" s="1000" t="s">
        <v>15</v>
      </c>
      <c r="E198" s="1000"/>
      <c r="F198" s="1444">
        <f>5/12*IF('geg LO'!F96="ja",ROUND(('geg LO'!F75-'geg LO'!F36)*tab!$C$55,2),0)</f>
        <v>3270.8333333333335</v>
      </c>
      <c r="G198" s="1444">
        <f>IF('geg LO'!G96="ja",ROUND(('geg LO'!G75-'geg LO'!G36)*tab!$D$55,2),0)</f>
        <v>0</v>
      </c>
      <c r="H198" s="1444">
        <f>IF('geg LO'!H96="ja",ROUND(('geg LO'!H75-'geg LO'!H36)*tab!$D$55,2),0)</f>
        <v>0</v>
      </c>
      <c r="I198" s="1444">
        <f>IF('geg LO'!I96="ja",ROUND(('geg LO'!I75-'geg LO'!I36)*tab!$D$55,2),0)</f>
        <v>0</v>
      </c>
      <c r="J198" s="1444">
        <f>IF('geg LO'!J96="ja",ROUND(('geg LO'!J75-'geg LO'!J36)*tab!$D$55,2),0)</f>
        <v>0</v>
      </c>
      <c r="K198" s="1444">
        <f>IF('geg LO'!K96="ja",ROUND(('geg LO'!K75-'geg LO'!K36)*tab!$D$55,2),0)</f>
        <v>0</v>
      </c>
      <c r="L198" s="1444">
        <f>IF('geg LO'!L96="ja",ROUND(('geg LO'!L75-'geg LO'!L36)*tab!$D$55,2),0)</f>
        <v>0</v>
      </c>
      <c r="M198" s="1444">
        <f>IF('geg LO'!M96="ja",ROUND(('geg LO'!M75-'geg LO'!M36)*tab!$D$55,2),0)</f>
        <v>0</v>
      </c>
      <c r="N198" s="1000"/>
      <c r="O198" s="88"/>
    </row>
    <row r="199" spans="2:17" ht="13.15" customHeight="1" x14ac:dyDescent="0.2">
      <c r="B199" s="86"/>
      <c r="C199" s="1000"/>
      <c r="D199" s="1000" t="s">
        <v>776</v>
      </c>
      <c r="E199" s="1000"/>
      <c r="F199" s="1444">
        <f>5/12*IF('geg LO'!F96="ja",ROUND(('geg LO'!F75-'geg LO'!F40)*tab!$C$56,2),ROUND(('geg LO'!F36-'geg LO'!F40)*tab!$C$56,2))</f>
        <v>2605.4</v>
      </c>
      <c r="G199" s="1444">
        <f>IF('geg LO'!G96="ja",ROUND(('geg LO'!G75-'geg LO'!G40)*tab!$D$56,2),ROUND(('geg LO'!G36-'geg LO'!G40)*tab!$D$56,2))</f>
        <v>0</v>
      </c>
      <c r="H199" s="1444">
        <f>IF('geg LO'!H96="ja",ROUND(('geg LO'!H75-'geg LO'!H40)*tab!$D$56,2),ROUND(('geg LO'!H36-'geg LO'!H40)*tab!$D$56,2))</f>
        <v>0</v>
      </c>
      <c r="I199" s="1444">
        <f>IF('geg LO'!I96="ja",ROUND(('geg LO'!I75-'geg LO'!I40)*tab!$D$56,2),ROUND(('geg LO'!I36-'geg LO'!I40)*tab!$D$56,2))</f>
        <v>0</v>
      </c>
      <c r="J199" s="1444">
        <f>IF('geg LO'!J96="ja",ROUND(('geg LO'!J75-'geg LO'!J40)*tab!$D$56,2),ROUND(('geg LO'!J36-'geg LO'!J40)*tab!$D$56,2))</f>
        <v>0</v>
      </c>
      <c r="K199" s="1444">
        <f>IF('geg LO'!K96="ja",ROUND(('geg LO'!K75-'geg LO'!K40)*tab!$D$56,2),ROUND(('geg LO'!K36-'geg LO'!K40)*tab!$D$56,2))</f>
        <v>0</v>
      </c>
      <c r="L199" s="1444">
        <f>IF('geg LO'!L96="ja",ROUND(('geg LO'!L75-'geg LO'!L40)*tab!$D$56,2),ROUND(('geg LO'!L36-'geg LO'!L40)*tab!$D$56,2))</f>
        <v>0</v>
      </c>
      <c r="M199" s="1444">
        <f>IF('geg LO'!M96="ja",ROUND(('geg LO'!M75-'geg LO'!M40)*tab!$D$56,2),ROUND(('geg LO'!M36-'geg LO'!M40)*tab!$D$56,2))</f>
        <v>0</v>
      </c>
      <c r="N199" s="1000"/>
      <c r="O199" s="88"/>
    </row>
    <row r="200" spans="2:17" ht="13.15" customHeight="1" x14ac:dyDescent="0.2">
      <c r="B200" s="86"/>
      <c r="C200" s="1000"/>
      <c r="D200" s="1000" t="s">
        <v>36</v>
      </c>
      <c r="E200" s="1000"/>
      <c r="F200" s="1444">
        <f>5/12*'geg LO'!F17*tab!$C$57</f>
        <v>30958.333333333336</v>
      </c>
      <c r="G200" s="1444">
        <f>+'geg LO'!G17*tab!$D$57</f>
        <v>0</v>
      </c>
      <c r="H200" s="1444">
        <f>+'geg LO'!H17*tab!$D$57</f>
        <v>0</v>
      </c>
      <c r="I200" s="1444">
        <f>+'geg LO'!I17*tab!$D$57</f>
        <v>0</v>
      </c>
      <c r="J200" s="1444">
        <f>+'geg LO'!J17*tab!$D$57</f>
        <v>0</v>
      </c>
      <c r="K200" s="1444">
        <f>+'geg LO'!K17*tab!$D$57</f>
        <v>0</v>
      </c>
      <c r="L200" s="1444">
        <f>+'geg LO'!L17*tab!$D$57</f>
        <v>0</v>
      </c>
      <c r="M200" s="1444">
        <f>+'geg LO'!M17*tab!$D$57</f>
        <v>0</v>
      </c>
      <c r="N200" s="1000"/>
      <c r="O200" s="88"/>
    </row>
    <row r="201" spans="2:17" ht="13.15" customHeight="1" x14ac:dyDescent="0.2">
      <c r="B201" s="86"/>
      <c r="C201" s="1075"/>
      <c r="D201" s="1075" t="s">
        <v>175</v>
      </c>
      <c r="E201" s="1075"/>
      <c r="F201" s="1448">
        <f t="shared" ref="F201:L201" si="82">IF(F199&gt;F200,F198+F200,F198+F199)</f>
        <v>5876.2333333333336</v>
      </c>
      <c r="G201" s="1448">
        <f t="shared" si="82"/>
        <v>0</v>
      </c>
      <c r="H201" s="1448">
        <f t="shared" si="82"/>
        <v>0</v>
      </c>
      <c r="I201" s="1448">
        <f t="shared" si="82"/>
        <v>0</v>
      </c>
      <c r="J201" s="1448">
        <f t="shared" si="82"/>
        <v>0</v>
      </c>
      <c r="K201" s="1448">
        <f t="shared" si="82"/>
        <v>0</v>
      </c>
      <c r="L201" s="1448">
        <f t="shared" si="82"/>
        <v>0</v>
      </c>
      <c r="M201" s="1448">
        <f t="shared" ref="M201" si="83">IF(M199&gt;M200,M198+M200,M198+M199)</f>
        <v>0</v>
      </c>
      <c r="N201" s="1075"/>
      <c r="O201" s="88"/>
    </row>
    <row r="202" spans="2:17" ht="13.15" customHeight="1" x14ac:dyDescent="0.2">
      <c r="B202" s="86"/>
      <c r="C202" s="1000"/>
      <c r="D202" s="1000"/>
      <c r="E202" s="1000"/>
      <c r="F202" s="1446"/>
      <c r="G202" s="1172"/>
      <c r="H202" s="1172"/>
      <c r="I202" s="1172"/>
      <c r="J202" s="1172"/>
      <c r="K202" s="1172"/>
      <c r="L202" s="1172"/>
      <c r="M202" s="1172"/>
      <c r="N202" s="1000"/>
      <c r="O202" s="88"/>
    </row>
    <row r="203" spans="2:17" ht="13.15" customHeight="1" x14ac:dyDescent="0.2">
      <c r="B203" s="86"/>
      <c r="C203" s="87"/>
      <c r="D203" s="87"/>
      <c r="E203" s="87"/>
      <c r="F203" s="143"/>
      <c r="G203" s="143"/>
      <c r="H203" s="143"/>
      <c r="I203" s="143"/>
      <c r="J203" s="143"/>
      <c r="K203" s="143"/>
      <c r="L203" s="143"/>
      <c r="M203" s="143"/>
      <c r="N203" s="87"/>
      <c r="O203" s="88"/>
    </row>
    <row r="204" spans="2:17" ht="13.15" customHeight="1" x14ac:dyDescent="0.25">
      <c r="B204" s="96"/>
      <c r="C204" s="93"/>
      <c r="D204" s="93"/>
      <c r="E204" s="93"/>
      <c r="F204" s="156"/>
      <c r="G204" s="284"/>
      <c r="H204" s="284"/>
      <c r="I204" s="284"/>
      <c r="J204" s="284"/>
      <c r="K204" s="284"/>
      <c r="L204" s="284"/>
      <c r="M204" s="284"/>
      <c r="N204" s="36" t="s">
        <v>464</v>
      </c>
      <c r="O204" s="95"/>
      <c r="P204" s="476"/>
      <c r="Q204" s="476"/>
    </row>
    <row r="205" spans="2:17" s="601" customFormat="1" ht="13.15" customHeight="1" x14ac:dyDescent="0.2">
      <c r="B205" s="476"/>
      <c r="C205" s="476"/>
      <c r="D205" s="476"/>
      <c r="E205" s="476"/>
      <c r="F205" s="497"/>
      <c r="G205" s="689"/>
      <c r="H205" s="689"/>
      <c r="I205" s="689"/>
      <c r="J205" s="689"/>
      <c r="K205" s="689"/>
      <c r="L205" s="689"/>
      <c r="M205" s="689"/>
      <c r="N205" s="476"/>
      <c r="O205" s="476"/>
      <c r="P205" s="476"/>
      <c r="Q205" s="476"/>
    </row>
    <row r="206" spans="2:17" s="601" customFormat="1" ht="13.15" customHeight="1" x14ac:dyDescent="0.2">
      <c r="B206" s="476"/>
      <c r="C206" s="476"/>
      <c r="D206" s="476"/>
      <c r="E206" s="476"/>
      <c r="F206" s="497"/>
      <c r="G206" s="497"/>
      <c r="H206" s="497"/>
      <c r="I206" s="497"/>
      <c r="J206" s="497"/>
      <c r="K206" s="497"/>
      <c r="L206" s="497"/>
      <c r="M206" s="497"/>
      <c r="N206" s="476"/>
      <c r="O206" s="476"/>
      <c r="P206" s="476"/>
      <c r="Q206" s="476"/>
    </row>
    <row r="207" spans="2:17" s="601" customFormat="1" ht="13.15" customHeight="1" x14ac:dyDescent="0.2">
      <c r="B207" s="476"/>
      <c r="C207" s="476"/>
      <c r="D207" s="476"/>
      <c r="E207" s="476"/>
      <c r="F207" s="497"/>
      <c r="G207" s="497"/>
      <c r="H207" s="497"/>
      <c r="I207" s="497"/>
      <c r="J207" s="497"/>
      <c r="K207" s="497"/>
      <c r="L207" s="497"/>
      <c r="M207" s="497"/>
      <c r="N207" s="476"/>
      <c r="O207" s="476"/>
      <c r="P207" s="476"/>
      <c r="Q207" s="476"/>
    </row>
    <row r="208" spans="2:17" s="601" customFormat="1" ht="13.15" customHeight="1" x14ac:dyDescent="0.2">
      <c r="B208" s="476"/>
      <c r="C208" s="476"/>
      <c r="D208" s="476"/>
      <c r="E208" s="476"/>
      <c r="F208" s="497"/>
      <c r="G208" s="497"/>
      <c r="H208" s="497"/>
      <c r="I208" s="497"/>
      <c r="J208" s="497"/>
      <c r="K208" s="497"/>
      <c r="L208" s="497"/>
      <c r="M208" s="497"/>
      <c r="N208" s="476"/>
      <c r="O208" s="476"/>
      <c r="P208" s="476"/>
      <c r="Q208" s="476"/>
    </row>
    <row r="209" spans="2:17" s="601" customFormat="1" ht="13.15" customHeight="1" x14ac:dyDescent="0.2">
      <c r="B209" s="476"/>
      <c r="C209" s="476"/>
      <c r="D209" s="476"/>
      <c r="E209" s="476"/>
      <c r="F209" s="497"/>
      <c r="G209" s="497"/>
      <c r="H209" s="497"/>
      <c r="I209" s="497"/>
      <c r="J209" s="497"/>
      <c r="K209" s="497"/>
      <c r="L209" s="497"/>
      <c r="M209" s="497"/>
      <c r="N209" s="476"/>
      <c r="O209" s="476"/>
      <c r="P209" s="476"/>
      <c r="Q209" s="476"/>
    </row>
    <row r="210" spans="2:17" s="601" customFormat="1" ht="13.15" customHeight="1" x14ac:dyDescent="0.2">
      <c r="B210" s="476"/>
      <c r="C210" s="476"/>
      <c r="D210" s="476"/>
      <c r="E210" s="476"/>
      <c r="F210" s="497"/>
      <c r="G210" s="497"/>
      <c r="H210" s="497"/>
      <c r="I210" s="497"/>
      <c r="J210" s="497"/>
      <c r="K210" s="497"/>
      <c r="L210" s="497"/>
      <c r="M210" s="497"/>
      <c r="N210" s="476"/>
      <c r="O210" s="476"/>
      <c r="P210" s="476"/>
      <c r="Q210" s="476"/>
    </row>
    <row r="211" spans="2:17" s="601" customFormat="1" ht="13.15" customHeight="1" x14ac:dyDescent="0.2">
      <c r="B211" s="476"/>
      <c r="C211" s="476"/>
      <c r="D211" s="476"/>
      <c r="E211" s="476"/>
      <c r="F211" s="497"/>
      <c r="G211" s="497"/>
      <c r="H211" s="497"/>
      <c r="I211" s="497"/>
      <c r="J211" s="497"/>
      <c r="K211" s="497"/>
      <c r="L211" s="497"/>
      <c r="M211" s="497"/>
      <c r="N211" s="476"/>
      <c r="O211" s="476"/>
      <c r="P211" s="476"/>
      <c r="Q211" s="476"/>
    </row>
    <row r="212" spans="2:17" s="601" customFormat="1" ht="13.15" customHeight="1" x14ac:dyDescent="0.2">
      <c r="B212" s="476"/>
      <c r="C212" s="476"/>
      <c r="D212" s="476"/>
      <c r="E212" s="476"/>
      <c r="F212" s="497"/>
      <c r="G212" s="497"/>
      <c r="H212" s="497"/>
      <c r="I212" s="497"/>
      <c r="J212" s="497"/>
      <c r="K212" s="497"/>
      <c r="L212" s="497"/>
      <c r="M212" s="497"/>
      <c r="N212" s="476"/>
      <c r="O212" s="476"/>
      <c r="P212" s="476"/>
      <c r="Q212" s="476"/>
    </row>
    <row r="213" spans="2:17" s="601" customFormat="1" ht="13.15" customHeight="1" x14ac:dyDescent="0.2">
      <c r="B213" s="476"/>
      <c r="C213" s="476"/>
      <c r="D213" s="476"/>
      <c r="E213" s="476"/>
      <c r="F213" s="497"/>
      <c r="G213" s="497"/>
      <c r="H213" s="497"/>
      <c r="I213" s="497"/>
      <c r="J213" s="497"/>
      <c r="K213" s="497"/>
      <c r="L213" s="497"/>
      <c r="M213" s="497"/>
      <c r="N213" s="476"/>
      <c r="O213" s="476"/>
      <c r="P213" s="476"/>
      <c r="Q213" s="476"/>
    </row>
    <row r="214" spans="2:17" s="601" customFormat="1" ht="13.15" customHeight="1" x14ac:dyDescent="0.2">
      <c r="B214" s="476"/>
      <c r="C214" s="476"/>
      <c r="D214" s="476"/>
      <c r="E214" s="476"/>
      <c r="F214" s="497"/>
      <c r="G214" s="497"/>
      <c r="H214" s="497"/>
      <c r="I214" s="497"/>
      <c r="J214" s="497"/>
      <c r="K214" s="497"/>
      <c r="L214" s="497"/>
      <c r="M214" s="497"/>
      <c r="N214" s="476"/>
      <c r="O214" s="476"/>
      <c r="P214" s="476"/>
      <c r="Q214" s="476"/>
    </row>
    <row r="215" spans="2:17" s="601" customFormat="1" ht="13.15" customHeight="1" x14ac:dyDescent="0.2">
      <c r="B215" s="476"/>
      <c r="C215" s="476"/>
      <c r="D215" s="476"/>
      <c r="E215" s="476"/>
      <c r="F215" s="497"/>
      <c r="G215" s="497"/>
      <c r="H215" s="497"/>
      <c r="I215" s="497"/>
      <c r="J215" s="497"/>
      <c r="K215" s="497"/>
      <c r="L215" s="497"/>
      <c r="M215" s="497"/>
      <c r="N215" s="476"/>
      <c r="O215" s="476"/>
      <c r="P215" s="476"/>
      <c r="Q215" s="476"/>
    </row>
    <row r="216" spans="2:17" s="601" customFormat="1" ht="13.15" customHeight="1" x14ac:dyDescent="0.2">
      <c r="B216" s="476"/>
      <c r="C216" s="476"/>
      <c r="D216" s="476"/>
      <c r="E216" s="476"/>
      <c r="F216" s="497"/>
      <c r="G216" s="497"/>
      <c r="H216" s="497"/>
      <c r="I216" s="497"/>
      <c r="J216" s="497"/>
      <c r="K216" s="497"/>
      <c r="L216" s="497"/>
      <c r="M216" s="497"/>
      <c r="N216" s="476"/>
      <c r="O216" s="476"/>
      <c r="P216" s="476"/>
      <c r="Q216" s="476"/>
    </row>
    <row r="217" spans="2:17" s="601" customFormat="1" ht="13.15" customHeight="1" x14ac:dyDescent="0.2">
      <c r="B217" s="476"/>
      <c r="C217" s="476"/>
      <c r="D217" s="476"/>
      <c r="E217" s="476"/>
      <c r="F217" s="497"/>
      <c r="G217" s="497"/>
      <c r="H217" s="497"/>
      <c r="I217" s="497"/>
      <c r="J217" s="497"/>
      <c r="K217" s="497"/>
      <c r="L217" s="497"/>
      <c r="M217" s="497"/>
      <c r="N217" s="476"/>
      <c r="O217" s="476"/>
      <c r="P217" s="476"/>
      <c r="Q217" s="476"/>
    </row>
    <row r="218" spans="2:17" s="601" customFormat="1" ht="13.15" customHeight="1" x14ac:dyDescent="0.2">
      <c r="B218" s="476"/>
      <c r="C218" s="476"/>
      <c r="D218" s="476"/>
      <c r="E218" s="476"/>
      <c r="F218" s="497"/>
      <c r="G218" s="497"/>
      <c r="H218" s="497"/>
      <c r="I218" s="497"/>
      <c r="J218" s="497"/>
      <c r="K218" s="497"/>
      <c r="L218" s="497"/>
      <c r="M218" s="497"/>
      <c r="N218" s="476"/>
      <c r="O218" s="476"/>
      <c r="P218" s="476"/>
      <c r="Q218" s="476"/>
    </row>
    <row r="219" spans="2:17" s="601" customFormat="1" ht="13.15" customHeight="1" x14ac:dyDescent="0.2">
      <c r="B219" s="476"/>
      <c r="C219" s="476"/>
      <c r="D219" s="476"/>
      <c r="E219" s="476"/>
      <c r="F219" s="497"/>
      <c r="G219" s="497"/>
      <c r="H219" s="497"/>
      <c r="I219" s="497"/>
      <c r="J219" s="497"/>
      <c r="K219" s="497"/>
      <c r="L219" s="497"/>
      <c r="M219" s="497"/>
      <c r="N219" s="476"/>
      <c r="O219" s="476"/>
      <c r="P219" s="476"/>
      <c r="Q219" s="476"/>
    </row>
    <row r="220" spans="2:17" s="601" customFormat="1" ht="13.15" customHeight="1" x14ac:dyDescent="0.2">
      <c r="B220" s="476"/>
      <c r="C220" s="476"/>
      <c r="D220" s="476"/>
      <c r="E220" s="476"/>
      <c r="F220" s="497"/>
      <c r="G220" s="497"/>
      <c r="H220" s="497"/>
      <c r="I220" s="497"/>
      <c r="J220" s="497"/>
      <c r="K220" s="497"/>
      <c r="L220" s="497"/>
      <c r="M220" s="497"/>
      <c r="N220" s="476"/>
      <c r="O220" s="476"/>
      <c r="P220" s="476"/>
      <c r="Q220" s="476"/>
    </row>
    <row r="221" spans="2:17" s="601" customFormat="1" ht="13.15" customHeight="1" x14ac:dyDescent="0.2">
      <c r="B221" s="476"/>
      <c r="C221" s="476"/>
      <c r="D221" s="476"/>
      <c r="E221" s="476"/>
      <c r="F221" s="497"/>
      <c r="G221" s="497"/>
      <c r="H221" s="497"/>
      <c r="I221" s="497"/>
      <c r="J221" s="497"/>
      <c r="K221" s="497"/>
      <c r="L221" s="497"/>
      <c r="M221" s="497"/>
      <c r="N221" s="476"/>
      <c r="O221" s="476"/>
      <c r="P221" s="476"/>
      <c r="Q221" s="476"/>
    </row>
    <row r="222" spans="2:17" s="601" customFormat="1" ht="13.15" customHeight="1" x14ac:dyDescent="0.2">
      <c r="B222" s="476"/>
      <c r="C222" s="476"/>
      <c r="D222" s="476"/>
      <c r="E222" s="476"/>
      <c r="F222" s="497"/>
      <c r="G222" s="497"/>
      <c r="H222" s="497"/>
      <c r="I222" s="497"/>
      <c r="J222" s="497"/>
      <c r="K222" s="497"/>
      <c r="L222" s="497"/>
      <c r="M222" s="497"/>
      <c r="N222" s="476"/>
      <c r="O222" s="476"/>
      <c r="P222" s="476"/>
      <c r="Q222" s="476"/>
    </row>
    <row r="223" spans="2:17" s="601" customFormat="1" ht="13.15" customHeight="1" x14ac:dyDescent="0.2">
      <c r="B223" s="476"/>
      <c r="C223" s="476"/>
      <c r="D223" s="476"/>
      <c r="E223" s="476"/>
      <c r="F223" s="497"/>
      <c r="G223" s="497"/>
      <c r="H223" s="497"/>
      <c r="I223" s="497"/>
      <c r="J223" s="497"/>
      <c r="K223" s="497"/>
      <c r="L223" s="497"/>
      <c r="M223" s="497"/>
      <c r="N223" s="476"/>
      <c r="O223" s="476"/>
      <c r="P223" s="476"/>
      <c r="Q223" s="476"/>
    </row>
    <row r="224" spans="2:17" s="601" customFormat="1" ht="13.15" customHeight="1" x14ac:dyDescent="0.2">
      <c r="B224" s="476"/>
      <c r="C224" s="476"/>
      <c r="D224" s="476"/>
      <c r="E224" s="476"/>
      <c r="F224" s="497"/>
      <c r="G224" s="497"/>
      <c r="H224" s="497"/>
      <c r="I224" s="497"/>
      <c r="J224" s="497"/>
      <c r="K224" s="497"/>
      <c r="L224" s="497"/>
      <c r="M224" s="497"/>
      <c r="N224" s="476"/>
      <c r="O224" s="476"/>
      <c r="P224" s="476"/>
      <c r="Q224" s="476"/>
    </row>
    <row r="225" spans="2:17" s="601" customFormat="1" ht="13.15" customHeight="1" x14ac:dyDescent="0.2">
      <c r="B225" s="476"/>
      <c r="C225" s="476"/>
      <c r="D225" s="476"/>
      <c r="E225" s="476"/>
      <c r="F225" s="497"/>
      <c r="G225" s="497"/>
      <c r="H225" s="497"/>
      <c r="I225" s="497"/>
      <c r="J225" s="497"/>
      <c r="K225" s="497"/>
      <c r="L225" s="497"/>
      <c r="M225" s="497"/>
      <c r="N225" s="476"/>
      <c r="O225" s="476"/>
      <c r="P225" s="476"/>
      <c r="Q225" s="476"/>
    </row>
    <row r="226" spans="2:17" s="601" customFormat="1" ht="13.15" customHeight="1" x14ac:dyDescent="0.2">
      <c r="B226" s="476"/>
      <c r="C226" s="476"/>
      <c r="D226" s="476"/>
      <c r="E226" s="476"/>
      <c r="F226" s="497"/>
      <c r="G226" s="497"/>
      <c r="H226" s="497"/>
      <c r="I226" s="497"/>
      <c r="J226" s="497"/>
      <c r="K226" s="497"/>
      <c r="L226" s="497"/>
      <c r="M226" s="497"/>
      <c r="N226" s="476"/>
      <c r="O226" s="476"/>
      <c r="P226" s="476"/>
      <c r="Q226" s="476"/>
    </row>
    <row r="227" spans="2:17" s="601" customFormat="1" ht="13.15" customHeight="1" x14ac:dyDescent="0.2">
      <c r="B227" s="476"/>
      <c r="C227" s="476"/>
      <c r="D227" s="476"/>
      <c r="E227" s="476"/>
      <c r="F227" s="497"/>
      <c r="G227" s="497"/>
      <c r="H227" s="497"/>
      <c r="I227" s="497"/>
      <c r="J227" s="497"/>
      <c r="K227" s="497"/>
      <c r="L227" s="497"/>
      <c r="M227" s="497"/>
      <c r="N227" s="476"/>
      <c r="O227" s="476"/>
      <c r="P227" s="476"/>
      <c r="Q227" s="476"/>
    </row>
    <row r="228" spans="2:17" s="601" customFormat="1" ht="13.15" customHeight="1" x14ac:dyDescent="0.2">
      <c r="B228" s="476"/>
      <c r="C228" s="476"/>
      <c r="D228" s="476"/>
      <c r="E228" s="476"/>
      <c r="F228" s="497"/>
      <c r="G228" s="497"/>
      <c r="H228" s="497"/>
      <c r="I228" s="497"/>
      <c r="J228" s="497"/>
      <c r="K228" s="497"/>
      <c r="L228" s="497"/>
      <c r="M228" s="497"/>
      <c r="N228" s="476"/>
      <c r="O228" s="476"/>
      <c r="P228" s="476"/>
      <c r="Q228" s="476"/>
    </row>
    <row r="229" spans="2:17" s="601" customFormat="1" ht="13.15" customHeight="1" x14ac:dyDescent="0.2">
      <c r="B229" s="476"/>
      <c r="C229" s="476"/>
      <c r="D229" s="476"/>
      <c r="E229" s="476"/>
      <c r="F229" s="497"/>
      <c r="G229" s="497"/>
      <c r="H229" s="497"/>
      <c r="I229" s="497"/>
      <c r="J229" s="497"/>
      <c r="K229" s="497"/>
      <c r="L229" s="497"/>
      <c r="M229" s="497"/>
      <c r="N229" s="476"/>
      <c r="O229" s="476"/>
      <c r="P229" s="476"/>
      <c r="Q229" s="476"/>
    </row>
    <row r="230" spans="2:17" s="601" customFormat="1" ht="13.15" customHeight="1" x14ac:dyDescent="0.2">
      <c r="B230" s="476"/>
      <c r="C230" s="476"/>
      <c r="D230" s="476"/>
      <c r="E230" s="476"/>
      <c r="F230" s="497"/>
      <c r="G230" s="497"/>
      <c r="H230" s="497"/>
      <c r="I230" s="497"/>
      <c r="J230" s="497"/>
      <c r="K230" s="497"/>
      <c r="L230" s="497"/>
      <c r="M230" s="497"/>
      <c r="N230" s="476"/>
      <c r="O230" s="476"/>
      <c r="P230" s="476"/>
      <c r="Q230" s="476"/>
    </row>
    <row r="231" spans="2:17" s="601" customFormat="1" ht="13.15" customHeight="1" x14ac:dyDescent="0.2">
      <c r="B231" s="476"/>
      <c r="C231" s="476"/>
      <c r="D231" s="476"/>
      <c r="E231" s="476"/>
      <c r="F231" s="497"/>
      <c r="G231" s="497"/>
      <c r="H231" s="497"/>
      <c r="I231" s="497"/>
      <c r="J231" s="497"/>
      <c r="K231" s="497"/>
      <c r="L231" s="497"/>
      <c r="M231" s="497"/>
      <c r="N231" s="476"/>
      <c r="O231" s="476"/>
      <c r="P231" s="476"/>
      <c r="Q231" s="476"/>
    </row>
    <row r="232" spans="2:17" s="601" customFormat="1" ht="13.15" customHeight="1" x14ac:dyDescent="0.2">
      <c r="B232" s="476"/>
      <c r="C232" s="476"/>
      <c r="D232" s="476"/>
      <c r="E232" s="476"/>
      <c r="F232" s="497"/>
      <c r="G232" s="497"/>
      <c r="H232" s="497"/>
      <c r="I232" s="497"/>
      <c r="J232" s="497"/>
      <c r="K232" s="497"/>
      <c r="L232" s="497"/>
      <c r="M232" s="497"/>
      <c r="N232" s="476"/>
      <c r="O232" s="476"/>
      <c r="P232" s="476"/>
      <c r="Q232" s="476"/>
    </row>
    <row r="233" spans="2:17" s="601" customFormat="1" ht="13.15" customHeight="1" x14ac:dyDescent="0.2">
      <c r="B233" s="476"/>
      <c r="C233" s="476"/>
      <c r="D233" s="476"/>
      <c r="E233" s="476"/>
      <c r="F233" s="497"/>
      <c r="G233" s="497"/>
      <c r="H233" s="497"/>
      <c r="I233" s="497"/>
      <c r="J233" s="497"/>
      <c r="K233" s="497"/>
      <c r="L233" s="497"/>
      <c r="M233" s="497"/>
      <c r="N233" s="476"/>
      <c r="O233" s="476"/>
      <c r="P233" s="476"/>
      <c r="Q233" s="476"/>
    </row>
    <row r="234" spans="2:17" s="601" customFormat="1" ht="13.15" customHeight="1" x14ac:dyDescent="0.2">
      <c r="B234" s="476"/>
      <c r="C234" s="476"/>
      <c r="D234" s="476"/>
      <c r="E234" s="476"/>
      <c r="F234" s="497"/>
      <c r="G234" s="497"/>
      <c r="H234" s="497"/>
      <c r="I234" s="497"/>
      <c r="J234" s="497"/>
      <c r="K234" s="497"/>
      <c r="L234" s="497"/>
      <c r="M234" s="497"/>
      <c r="N234" s="476"/>
      <c r="O234" s="476"/>
      <c r="P234" s="476"/>
      <c r="Q234" s="476"/>
    </row>
    <row r="235" spans="2:17" s="601" customFormat="1" ht="13.15" customHeight="1" x14ac:dyDescent="0.2">
      <c r="B235" s="476"/>
      <c r="C235" s="476"/>
      <c r="D235" s="476"/>
      <c r="E235" s="476"/>
      <c r="F235" s="497"/>
      <c r="G235" s="497"/>
      <c r="H235" s="497"/>
      <c r="I235" s="497"/>
      <c r="J235" s="497"/>
      <c r="K235" s="497"/>
      <c r="L235" s="497"/>
      <c r="M235" s="497"/>
      <c r="N235" s="476"/>
      <c r="O235" s="476"/>
      <c r="P235" s="476"/>
      <c r="Q235" s="476"/>
    </row>
    <row r="236" spans="2:17" s="601" customFormat="1" ht="13.15" customHeight="1" x14ac:dyDescent="0.2">
      <c r="B236" s="476"/>
      <c r="C236" s="476"/>
      <c r="D236" s="476"/>
      <c r="E236" s="476"/>
      <c r="F236" s="497"/>
      <c r="G236" s="497"/>
      <c r="H236" s="497"/>
      <c r="I236" s="497"/>
      <c r="J236" s="497"/>
      <c r="K236" s="497"/>
      <c r="L236" s="497"/>
      <c r="M236" s="497"/>
      <c r="N236" s="476"/>
      <c r="O236" s="476"/>
      <c r="P236" s="476"/>
      <c r="Q236" s="476"/>
    </row>
    <row r="237" spans="2:17" s="601" customFormat="1" ht="13.15" customHeight="1" x14ac:dyDescent="0.2">
      <c r="B237" s="476"/>
      <c r="C237" s="476"/>
      <c r="D237" s="476"/>
      <c r="E237" s="476"/>
      <c r="F237" s="497"/>
      <c r="G237" s="497"/>
      <c r="H237" s="497"/>
      <c r="I237" s="497"/>
      <c r="J237" s="497"/>
      <c r="K237" s="497"/>
      <c r="L237" s="497"/>
      <c r="M237" s="497"/>
      <c r="N237" s="476"/>
      <c r="O237" s="476"/>
      <c r="P237" s="476"/>
      <c r="Q237" s="476"/>
    </row>
    <row r="238" spans="2:17" s="601" customFormat="1" ht="13.15" customHeight="1" x14ac:dyDescent="0.2">
      <c r="B238" s="476"/>
      <c r="C238" s="476"/>
      <c r="D238" s="476"/>
      <c r="E238" s="476"/>
      <c r="F238" s="497"/>
      <c r="G238" s="497"/>
      <c r="H238" s="497"/>
      <c r="I238" s="497"/>
      <c r="J238" s="497"/>
      <c r="K238" s="497"/>
      <c r="L238" s="497"/>
      <c r="M238" s="497"/>
      <c r="N238" s="476"/>
      <c r="O238" s="476"/>
      <c r="P238" s="476"/>
      <c r="Q238" s="476"/>
    </row>
    <row r="239" spans="2:17" s="601" customFormat="1" ht="13.15" customHeight="1" x14ac:dyDescent="0.2">
      <c r="B239" s="476"/>
      <c r="C239" s="476"/>
      <c r="D239" s="476"/>
      <c r="E239" s="476"/>
      <c r="F239" s="497"/>
      <c r="G239" s="497"/>
      <c r="H239" s="497"/>
      <c r="I239" s="497"/>
      <c r="J239" s="497"/>
      <c r="K239" s="497"/>
      <c r="L239" s="497"/>
      <c r="M239" s="497"/>
      <c r="N239" s="476"/>
      <c r="O239" s="476"/>
      <c r="P239" s="476"/>
      <c r="Q239" s="476"/>
    </row>
    <row r="240" spans="2:17" s="601" customFormat="1" ht="13.15" customHeight="1" x14ac:dyDescent="0.2">
      <c r="B240" s="476"/>
      <c r="C240" s="476"/>
      <c r="D240" s="476"/>
      <c r="E240" s="476"/>
      <c r="F240" s="497"/>
      <c r="G240" s="497"/>
      <c r="H240" s="497"/>
      <c r="I240" s="497"/>
      <c r="J240" s="497"/>
      <c r="K240" s="497"/>
      <c r="L240" s="497"/>
      <c r="M240" s="497"/>
      <c r="N240" s="476"/>
      <c r="O240" s="476"/>
      <c r="P240" s="476"/>
      <c r="Q240" s="476"/>
    </row>
    <row r="241" spans="2:17" s="601" customFormat="1" ht="13.15" customHeight="1" x14ac:dyDescent="0.2">
      <c r="B241" s="476"/>
      <c r="C241" s="476"/>
      <c r="D241" s="476"/>
      <c r="E241" s="476"/>
      <c r="F241" s="497"/>
      <c r="G241" s="497"/>
      <c r="H241" s="497"/>
      <c r="I241" s="497"/>
      <c r="J241" s="497"/>
      <c r="K241" s="497"/>
      <c r="L241" s="497"/>
      <c r="M241" s="497"/>
      <c r="N241" s="476"/>
      <c r="O241" s="476"/>
      <c r="P241" s="476"/>
      <c r="Q241" s="476"/>
    </row>
    <row r="242" spans="2:17" s="601" customFormat="1" ht="13.15" customHeight="1" x14ac:dyDescent="0.2">
      <c r="B242" s="476"/>
      <c r="C242" s="476"/>
      <c r="D242" s="476"/>
      <c r="E242" s="476"/>
      <c r="F242" s="497"/>
      <c r="G242" s="497"/>
      <c r="H242" s="497"/>
      <c r="I242" s="497"/>
      <c r="J242" s="497"/>
      <c r="K242" s="497"/>
      <c r="L242" s="497"/>
      <c r="M242" s="497"/>
      <c r="N242" s="476"/>
      <c r="O242" s="476"/>
      <c r="P242" s="476"/>
      <c r="Q242" s="476"/>
    </row>
    <row r="243" spans="2:17" s="601" customFormat="1" ht="13.15" customHeight="1" x14ac:dyDescent="0.2">
      <c r="B243" s="476"/>
      <c r="C243" s="476"/>
      <c r="D243" s="476"/>
      <c r="E243" s="476"/>
      <c r="F243" s="497"/>
      <c r="G243" s="497"/>
      <c r="H243" s="497"/>
      <c r="I243" s="497"/>
      <c r="J243" s="497"/>
      <c r="K243" s="497"/>
      <c r="L243" s="497"/>
      <c r="M243" s="497"/>
      <c r="N243" s="476"/>
      <c r="O243" s="476"/>
      <c r="P243" s="476"/>
      <c r="Q243" s="476"/>
    </row>
    <row r="244" spans="2:17" s="601" customFormat="1" ht="13.15" customHeight="1" x14ac:dyDescent="0.2">
      <c r="B244" s="476"/>
      <c r="C244" s="476"/>
      <c r="D244" s="476"/>
      <c r="E244" s="476"/>
      <c r="F244" s="497"/>
      <c r="G244" s="497"/>
      <c r="H244" s="497"/>
      <c r="I244" s="497"/>
      <c r="J244" s="497"/>
      <c r="K244" s="497"/>
      <c r="L244" s="497"/>
      <c r="M244" s="497"/>
      <c r="N244" s="476"/>
      <c r="O244" s="476"/>
      <c r="P244" s="476"/>
      <c r="Q244" s="476"/>
    </row>
    <row r="245" spans="2:17" s="601" customFormat="1" ht="13.15" customHeight="1" x14ac:dyDescent="0.2">
      <c r="B245" s="476"/>
      <c r="C245" s="476"/>
      <c r="D245" s="476"/>
      <c r="E245" s="476"/>
      <c r="F245" s="497"/>
      <c r="G245" s="497"/>
      <c r="H245" s="497"/>
      <c r="I245" s="497"/>
      <c r="J245" s="497"/>
      <c r="K245" s="497"/>
      <c r="L245" s="497"/>
      <c r="M245" s="497"/>
      <c r="N245" s="476"/>
      <c r="O245" s="476"/>
      <c r="P245" s="476"/>
      <c r="Q245" s="476"/>
    </row>
    <row r="246" spans="2:17" s="601" customFormat="1" ht="13.15" customHeight="1" x14ac:dyDescent="0.2">
      <c r="B246" s="476"/>
      <c r="C246" s="476"/>
      <c r="D246" s="476"/>
      <c r="E246" s="476"/>
      <c r="F246" s="497"/>
      <c r="G246" s="497"/>
      <c r="H246" s="497"/>
      <c r="I246" s="497"/>
      <c r="J246" s="497"/>
      <c r="K246" s="497"/>
      <c r="L246" s="497"/>
      <c r="M246" s="497"/>
      <c r="N246" s="476"/>
      <c r="O246" s="476"/>
      <c r="P246" s="476"/>
      <c r="Q246" s="476"/>
    </row>
    <row r="247" spans="2:17" s="601" customFormat="1" ht="13.15" customHeight="1" x14ac:dyDescent="0.2">
      <c r="B247" s="476"/>
      <c r="C247" s="476"/>
      <c r="D247" s="476"/>
      <c r="E247" s="476"/>
      <c r="F247" s="497"/>
      <c r="G247" s="497"/>
      <c r="H247" s="497"/>
      <c r="I247" s="497"/>
      <c r="J247" s="497"/>
      <c r="K247" s="497"/>
      <c r="L247" s="497"/>
      <c r="M247" s="497"/>
      <c r="N247" s="476"/>
      <c r="O247" s="476"/>
      <c r="P247" s="476"/>
      <c r="Q247" s="476"/>
    </row>
    <row r="248" spans="2:17" s="601" customFormat="1" ht="13.15" customHeight="1" x14ac:dyDescent="0.2">
      <c r="B248" s="476"/>
      <c r="C248" s="476"/>
      <c r="D248" s="476"/>
      <c r="E248" s="476"/>
      <c r="F248" s="497"/>
      <c r="G248" s="497"/>
      <c r="H248" s="497"/>
      <c r="I248" s="497"/>
      <c r="J248" s="497"/>
      <c r="K248" s="497"/>
      <c r="L248" s="497"/>
      <c r="M248" s="497"/>
      <c r="N248" s="476"/>
      <c r="O248" s="476"/>
      <c r="P248" s="476"/>
      <c r="Q248" s="476"/>
    </row>
    <row r="249" spans="2:17" s="601" customFormat="1" ht="13.15" customHeight="1" x14ac:dyDescent="0.2">
      <c r="B249" s="476"/>
      <c r="C249" s="476"/>
      <c r="D249" s="476"/>
      <c r="E249" s="476"/>
      <c r="F249" s="497"/>
      <c r="G249" s="497"/>
      <c r="H249" s="497"/>
      <c r="I249" s="497"/>
      <c r="J249" s="497"/>
      <c r="K249" s="497"/>
      <c r="L249" s="497"/>
      <c r="M249" s="497"/>
      <c r="N249" s="476"/>
      <c r="O249" s="476"/>
      <c r="P249" s="476"/>
      <c r="Q249" s="476"/>
    </row>
    <row r="250" spans="2:17" s="601" customFormat="1" ht="13.15" customHeight="1" x14ac:dyDescent="0.2">
      <c r="B250" s="476"/>
      <c r="C250" s="476"/>
      <c r="D250" s="476"/>
      <c r="E250" s="476"/>
      <c r="F250" s="497"/>
      <c r="G250" s="497"/>
      <c r="H250" s="497"/>
      <c r="I250" s="497"/>
      <c r="J250" s="497"/>
      <c r="K250" s="497"/>
      <c r="L250" s="497"/>
      <c r="M250" s="497"/>
      <c r="N250" s="476"/>
      <c r="O250" s="476"/>
      <c r="P250" s="476"/>
      <c r="Q250" s="476"/>
    </row>
    <row r="251" spans="2:17" s="601" customFormat="1" ht="13.15" customHeight="1" x14ac:dyDescent="0.2">
      <c r="B251" s="476"/>
      <c r="C251" s="476"/>
      <c r="D251" s="476"/>
      <c r="E251" s="476"/>
      <c r="F251" s="497"/>
      <c r="G251" s="497"/>
      <c r="H251" s="497"/>
      <c r="I251" s="497"/>
      <c r="J251" s="497"/>
      <c r="K251" s="497"/>
      <c r="L251" s="497"/>
      <c r="M251" s="497"/>
      <c r="N251" s="476"/>
      <c r="O251" s="476"/>
      <c r="P251" s="476"/>
      <c r="Q251" s="476"/>
    </row>
    <row r="252" spans="2:17" s="601" customFormat="1" ht="13.15" customHeight="1" x14ac:dyDescent="0.2">
      <c r="B252" s="476"/>
      <c r="C252" s="476"/>
      <c r="D252" s="476"/>
      <c r="E252" s="476"/>
      <c r="F252" s="497"/>
      <c r="G252" s="497"/>
      <c r="H252" s="497"/>
      <c r="I252" s="497"/>
      <c r="J252" s="497"/>
      <c r="K252" s="497"/>
      <c r="L252" s="497"/>
      <c r="M252" s="497"/>
      <c r="N252" s="476"/>
      <c r="O252" s="476"/>
      <c r="P252" s="476"/>
      <c r="Q252" s="476"/>
    </row>
    <row r="253" spans="2:17" s="601" customFormat="1" ht="13.15" customHeight="1" x14ac:dyDescent="0.2">
      <c r="B253" s="476"/>
      <c r="C253" s="476"/>
      <c r="D253" s="476"/>
      <c r="E253" s="476"/>
      <c r="F253" s="497"/>
      <c r="G253" s="497"/>
      <c r="H253" s="497"/>
      <c r="I253" s="497"/>
      <c r="J253" s="497"/>
      <c r="K253" s="497"/>
      <c r="L253" s="497"/>
      <c r="M253" s="497"/>
      <c r="N253" s="476"/>
      <c r="O253" s="476"/>
      <c r="P253" s="476"/>
      <c r="Q253" s="476"/>
    </row>
    <row r="254" spans="2:17" s="601" customFormat="1" ht="13.15" customHeight="1" x14ac:dyDescent="0.2">
      <c r="B254" s="476"/>
      <c r="C254" s="476"/>
      <c r="D254" s="476"/>
      <c r="E254" s="476"/>
      <c r="F254" s="497"/>
      <c r="G254" s="497"/>
      <c r="H254" s="497"/>
      <c r="I254" s="497"/>
      <c r="J254" s="497"/>
      <c r="K254" s="497"/>
      <c r="L254" s="497"/>
      <c r="M254" s="497"/>
      <c r="N254" s="476"/>
      <c r="O254" s="476"/>
      <c r="P254" s="476"/>
      <c r="Q254" s="476"/>
    </row>
    <row r="255" spans="2:17" s="601" customFormat="1" ht="13.15" customHeight="1" x14ac:dyDescent="0.2">
      <c r="B255" s="476"/>
      <c r="C255" s="476"/>
      <c r="D255" s="476"/>
      <c r="E255" s="476"/>
      <c r="F255" s="497"/>
      <c r="G255" s="497"/>
      <c r="H255" s="497"/>
      <c r="I255" s="497"/>
      <c r="J255" s="497"/>
      <c r="K255" s="497"/>
      <c r="L255" s="497"/>
      <c r="M255" s="497"/>
      <c r="N255" s="476"/>
      <c r="O255" s="476"/>
      <c r="P255" s="476"/>
      <c r="Q255" s="476"/>
    </row>
    <row r="256" spans="2:17" s="601" customFormat="1" ht="13.15" customHeight="1" x14ac:dyDescent="0.2">
      <c r="B256" s="476"/>
      <c r="C256" s="476"/>
      <c r="D256" s="476"/>
      <c r="E256" s="476"/>
      <c r="F256" s="497"/>
      <c r="G256" s="497"/>
      <c r="H256" s="497"/>
      <c r="I256" s="497"/>
      <c r="J256" s="497"/>
      <c r="K256" s="497"/>
      <c r="L256" s="497"/>
      <c r="M256" s="497"/>
      <c r="N256" s="476"/>
      <c r="O256" s="476"/>
      <c r="P256" s="476"/>
      <c r="Q256" s="476"/>
    </row>
    <row r="257" spans="2:17" s="601" customFormat="1" ht="13.15" customHeight="1" x14ac:dyDescent="0.2">
      <c r="B257" s="476"/>
      <c r="C257" s="476"/>
      <c r="D257" s="476"/>
      <c r="E257" s="476"/>
      <c r="F257" s="497"/>
      <c r="G257" s="497"/>
      <c r="H257" s="497"/>
      <c r="I257" s="497"/>
      <c r="J257" s="497"/>
      <c r="K257" s="497"/>
      <c r="L257" s="497"/>
      <c r="M257" s="497"/>
      <c r="N257" s="476"/>
      <c r="O257" s="476"/>
      <c r="P257" s="476"/>
      <c r="Q257" s="476"/>
    </row>
    <row r="258" spans="2:17" s="601" customFormat="1" ht="13.15" customHeight="1" x14ac:dyDescent="0.2">
      <c r="B258" s="476"/>
      <c r="C258" s="476"/>
      <c r="D258" s="476"/>
      <c r="E258" s="476"/>
      <c r="F258" s="497"/>
      <c r="G258" s="497"/>
      <c r="H258" s="497"/>
      <c r="I258" s="497"/>
      <c r="J258" s="497"/>
      <c r="K258" s="497"/>
      <c r="L258" s="497"/>
      <c r="M258" s="497"/>
      <c r="N258" s="476"/>
      <c r="O258" s="476"/>
      <c r="P258" s="476"/>
      <c r="Q258" s="476"/>
    </row>
    <row r="259" spans="2:17" s="601" customFormat="1" ht="13.15" customHeight="1" x14ac:dyDescent="0.2">
      <c r="B259" s="476"/>
      <c r="C259" s="476"/>
      <c r="D259" s="476"/>
      <c r="E259" s="476"/>
      <c r="F259" s="497"/>
      <c r="G259" s="497"/>
      <c r="H259" s="497"/>
      <c r="I259" s="497"/>
      <c r="J259" s="497"/>
      <c r="K259" s="497"/>
      <c r="L259" s="497"/>
      <c r="M259" s="497"/>
      <c r="N259" s="476"/>
      <c r="O259" s="476"/>
      <c r="P259" s="476"/>
      <c r="Q259" s="476"/>
    </row>
    <row r="260" spans="2:17" s="601" customFormat="1" ht="13.15" customHeight="1" x14ac:dyDescent="0.2">
      <c r="B260" s="476"/>
      <c r="C260" s="476"/>
      <c r="D260" s="476"/>
      <c r="E260" s="476"/>
      <c r="F260" s="497"/>
      <c r="G260" s="497"/>
      <c r="H260" s="497"/>
      <c r="I260" s="497"/>
      <c r="J260" s="497"/>
      <c r="K260" s="497"/>
      <c r="L260" s="497"/>
      <c r="M260" s="497"/>
      <c r="N260" s="476"/>
      <c r="O260" s="476"/>
      <c r="P260" s="476"/>
      <c r="Q260" s="476"/>
    </row>
    <row r="261" spans="2:17" s="601" customFormat="1" ht="13.15" customHeight="1" x14ac:dyDescent="0.2">
      <c r="B261" s="476"/>
      <c r="C261" s="476"/>
      <c r="D261" s="476"/>
      <c r="E261" s="476"/>
      <c r="F261" s="497"/>
      <c r="G261" s="497"/>
      <c r="H261" s="497"/>
      <c r="I261" s="497"/>
      <c r="J261" s="497"/>
      <c r="K261" s="497"/>
      <c r="L261" s="497"/>
      <c r="M261" s="497"/>
      <c r="N261" s="476"/>
      <c r="O261" s="476"/>
      <c r="P261" s="476"/>
      <c r="Q261" s="476"/>
    </row>
    <row r="262" spans="2:17" s="601" customFormat="1" ht="13.15" customHeight="1" x14ac:dyDescent="0.2">
      <c r="B262" s="476"/>
      <c r="C262" s="476"/>
      <c r="D262" s="476"/>
      <c r="E262" s="476"/>
      <c r="F262" s="497"/>
      <c r="G262" s="497"/>
      <c r="H262" s="497"/>
      <c r="I262" s="497"/>
      <c r="J262" s="497"/>
      <c r="K262" s="497"/>
      <c r="L262" s="497"/>
      <c r="M262" s="497"/>
      <c r="N262" s="476"/>
      <c r="O262" s="476"/>
      <c r="P262" s="476"/>
      <c r="Q262" s="476"/>
    </row>
    <row r="263" spans="2:17" s="601" customFormat="1" ht="13.15" customHeight="1" x14ac:dyDescent="0.2">
      <c r="B263" s="476"/>
      <c r="C263" s="476"/>
      <c r="D263" s="476"/>
      <c r="E263" s="476"/>
      <c r="F263" s="497"/>
      <c r="G263" s="497"/>
      <c r="H263" s="497"/>
      <c r="I263" s="497"/>
      <c r="J263" s="497"/>
      <c r="K263" s="497"/>
      <c r="L263" s="497"/>
      <c r="M263" s="497"/>
      <c r="N263" s="476"/>
      <c r="O263" s="476"/>
      <c r="P263" s="476"/>
      <c r="Q263" s="476"/>
    </row>
    <row r="264" spans="2:17" s="601" customFormat="1" ht="13.15" customHeight="1" x14ac:dyDescent="0.2">
      <c r="B264" s="476"/>
      <c r="C264" s="476"/>
      <c r="D264" s="476"/>
      <c r="E264" s="476"/>
      <c r="F264" s="497"/>
      <c r="G264" s="497"/>
      <c r="H264" s="497"/>
      <c r="I264" s="497"/>
      <c r="J264" s="497"/>
      <c r="K264" s="497"/>
      <c r="L264" s="497"/>
      <c r="M264" s="497"/>
      <c r="N264" s="476"/>
      <c r="O264" s="476"/>
      <c r="P264" s="476"/>
      <c r="Q264" s="476"/>
    </row>
    <row r="265" spans="2:17" s="601" customFormat="1" ht="13.15" customHeight="1" x14ac:dyDescent="0.2">
      <c r="B265" s="476"/>
      <c r="C265" s="476"/>
      <c r="D265" s="476"/>
      <c r="E265" s="476"/>
      <c r="F265" s="497"/>
      <c r="G265" s="497"/>
      <c r="H265" s="497"/>
      <c r="I265" s="497"/>
      <c r="J265" s="497"/>
      <c r="K265" s="497"/>
      <c r="L265" s="497"/>
      <c r="M265" s="497"/>
      <c r="N265" s="476"/>
      <c r="O265" s="476"/>
      <c r="P265" s="476"/>
      <c r="Q265" s="476"/>
    </row>
    <row r="266" spans="2:17" s="601" customFormat="1" ht="13.15" customHeight="1" x14ac:dyDescent="0.2">
      <c r="B266" s="476"/>
      <c r="C266" s="476"/>
      <c r="D266" s="476"/>
      <c r="E266" s="476"/>
      <c r="F266" s="497"/>
      <c r="G266" s="497"/>
      <c r="H266" s="497"/>
      <c r="I266" s="497"/>
      <c r="J266" s="497"/>
      <c r="K266" s="497"/>
      <c r="L266" s="497"/>
      <c r="M266" s="497"/>
      <c r="N266" s="476"/>
      <c r="O266" s="476"/>
      <c r="P266" s="476"/>
      <c r="Q266" s="476"/>
    </row>
    <row r="267" spans="2:17" s="601" customFormat="1" ht="13.15" customHeight="1" x14ac:dyDescent="0.2">
      <c r="B267" s="476"/>
      <c r="C267" s="476"/>
      <c r="D267" s="476"/>
      <c r="E267" s="476"/>
      <c r="F267" s="497"/>
      <c r="G267" s="497"/>
      <c r="H267" s="497"/>
      <c r="I267" s="497"/>
      <c r="J267" s="497"/>
      <c r="K267" s="497"/>
      <c r="L267" s="497"/>
      <c r="M267" s="497"/>
      <c r="N267" s="476"/>
      <c r="O267" s="476"/>
      <c r="P267" s="476"/>
      <c r="Q267" s="476"/>
    </row>
    <row r="268" spans="2:17" s="601" customFormat="1" ht="13.15" customHeight="1" x14ac:dyDescent="0.2">
      <c r="B268" s="476"/>
      <c r="C268" s="476"/>
      <c r="D268" s="476"/>
      <c r="E268" s="476"/>
      <c r="F268" s="497"/>
      <c r="G268" s="497"/>
      <c r="H268" s="497"/>
      <c r="I268" s="497"/>
      <c r="J268" s="497"/>
      <c r="K268" s="497"/>
      <c r="L268" s="497"/>
      <c r="M268" s="497"/>
      <c r="N268" s="476"/>
      <c r="O268" s="476"/>
      <c r="P268" s="476"/>
      <c r="Q268" s="476"/>
    </row>
    <row r="269" spans="2:17" s="601" customFormat="1" ht="13.15" customHeight="1" x14ac:dyDescent="0.2">
      <c r="B269" s="476"/>
      <c r="C269" s="476"/>
      <c r="D269" s="476"/>
      <c r="E269" s="476"/>
      <c r="F269" s="497"/>
      <c r="G269" s="497"/>
      <c r="H269" s="497"/>
      <c r="I269" s="497"/>
      <c r="J269" s="497"/>
      <c r="K269" s="497"/>
      <c r="L269" s="497"/>
      <c r="M269" s="497"/>
      <c r="N269" s="476"/>
      <c r="O269" s="476"/>
      <c r="P269" s="476"/>
      <c r="Q269" s="476"/>
    </row>
    <row r="270" spans="2:17" s="601" customFormat="1" ht="13.15" customHeight="1" x14ac:dyDescent="0.2">
      <c r="B270" s="476"/>
      <c r="C270" s="476"/>
      <c r="D270" s="476"/>
      <c r="E270" s="476"/>
      <c r="F270" s="497"/>
      <c r="G270" s="497"/>
      <c r="H270" s="497"/>
      <c r="I270" s="497"/>
      <c r="J270" s="497"/>
      <c r="K270" s="497"/>
      <c r="L270" s="497"/>
      <c r="M270" s="497"/>
      <c r="N270" s="476"/>
      <c r="O270" s="476"/>
      <c r="P270" s="476"/>
      <c r="Q270" s="476"/>
    </row>
    <row r="271" spans="2:17" s="601" customFormat="1" ht="13.15" customHeight="1" x14ac:dyDescent="0.2">
      <c r="B271" s="476"/>
      <c r="C271" s="476"/>
      <c r="D271" s="476"/>
      <c r="E271" s="476"/>
      <c r="F271" s="497"/>
      <c r="G271" s="497"/>
      <c r="H271" s="497"/>
      <c r="I271" s="497"/>
      <c r="J271" s="497"/>
      <c r="K271" s="497"/>
      <c r="L271" s="497"/>
      <c r="M271" s="497"/>
      <c r="N271" s="476"/>
      <c r="O271" s="476"/>
      <c r="P271" s="476"/>
      <c r="Q271" s="476"/>
    </row>
    <row r="272" spans="2:17" s="601" customFormat="1" ht="13.15" customHeight="1" x14ac:dyDescent="0.2">
      <c r="B272" s="476"/>
      <c r="C272" s="476"/>
      <c r="D272" s="476"/>
      <c r="E272" s="476"/>
      <c r="F272" s="497"/>
      <c r="G272" s="497"/>
      <c r="H272" s="497"/>
      <c r="I272" s="497"/>
      <c r="J272" s="497"/>
      <c r="K272" s="497"/>
      <c r="L272" s="497"/>
      <c r="M272" s="497"/>
      <c r="N272" s="476"/>
      <c r="O272" s="476"/>
      <c r="P272" s="476"/>
      <c r="Q272" s="476"/>
    </row>
    <row r="273" spans="2:17" s="601" customFormat="1" ht="13.15" customHeight="1" x14ac:dyDescent="0.2">
      <c r="B273" s="476"/>
      <c r="C273" s="476"/>
      <c r="D273" s="476"/>
      <c r="E273" s="476"/>
      <c r="F273" s="497"/>
      <c r="G273" s="497"/>
      <c r="H273" s="497"/>
      <c r="I273" s="497"/>
      <c r="J273" s="497"/>
      <c r="K273" s="497"/>
      <c r="L273" s="497"/>
      <c r="M273" s="497"/>
      <c r="N273" s="476"/>
      <c r="O273" s="476"/>
      <c r="P273" s="476"/>
      <c r="Q273" s="476"/>
    </row>
    <row r="274" spans="2:17" s="601" customFormat="1" ht="13.15" customHeight="1" x14ac:dyDescent="0.2">
      <c r="B274" s="476"/>
      <c r="C274" s="476"/>
      <c r="D274" s="476"/>
      <c r="E274" s="476"/>
      <c r="F274" s="497"/>
      <c r="G274" s="497"/>
      <c r="H274" s="497"/>
      <c r="I274" s="497"/>
      <c r="J274" s="497"/>
      <c r="K274" s="497"/>
      <c r="L274" s="497"/>
      <c r="M274" s="497"/>
      <c r="N274" s="476"/>
      <c r="O274" s="476"/>
      <c r="P274" s="476"/>
      <c r="Q274" s="476"/>
    </row>
    <row r="275" spans="2:17" s="601" customFormat="1" ht="13.15" customHeight="1" x14ac:dyDescent="0.2">
      <c r="B275" s="476"/>
      <c r="C275" s="476"/>
      <c r="D275" s="476"/>
      <c r="E275" s="476"/>
      <c r="F275" s="497"/>
      <c r="G275" s="497"/>
      <c r="H275" s="497"/>
      <c r="I275" s="497"/>
      <c r="J275" s="497"/>
      <c r="K275" s="497"/>
      <c r="L275" s="497"/>
      <c r="M275" s="497"/>
      <c r="N275" s="476"/>
      <c r="O275" s="476"/>
      <c r="P275" s="476"/>
      <c r="Q275" s="476"/>
    </row>
    <row r="276" spans="2:17" s="601" customFormat="1" ht="13.15" customHeight="1" x14ac:dyDescent="0.2">
      <c r="B276" s="476"/>
      <c r="C276" s="476"/>
      <c r="D276" s="476"/>
      <c r="E276" s="476"/>
      <c r="F276" s="497"/>
      <c r="G276" s="497"/>
      <c r="H276" s="497"/>
      <c r="I276" s="497"/>
      <c r="J276" s="497"/>
      <c r="K276" s="497"/>
      <c r="L276" s="497"/>
      <c r="M276" s="497"/>
      <c r="N276" s="476"/>
      <c r="O276" s="476"/>
      <c r="P276" s="476"/>
      <c r="Q276" s="476"/>
    </row>
    <row r="277" spans="2:17" s="601" customFormat="1" ht="13.15" customHeight="1" x14ac:dyDescent="0.2">
      <c r="B277" s="476"/>
      <c r="C277" s="476"/>
      <c r="D277" s="476"/>
      <c r="E277" s="476"/>
      <c r="F277" s="497"/>
      <c r="G277" s="497"/>
      <c r="H277" s="497"/>
      <c r="I277" s="497"/>
      <c r="J277" s="497"/>
      <c r="K277" s="497"/>
      <c r="L277" s="497"/>
      <c r="M277" s="497"/>
      <c r="N277" s="476"/>
      <c r="O277" s="476"/>
      <c r="P277" s="476"/>
      <c r="Q277" s="476"/>
    </row>
    <row r="278" spans="2:17" s="601" customFormat="1" ht="13.15" customHeight="1" x14ac:dyDescent="0.2">
      <c r="B278" s="476"/>
      <c r="C278" s="476"/>
      <c r="D278" s="476"/>
      <c r="E278" s="476"/>
      <c r="F278" s="497"/>
      <c r="G278" s="497"/>
      <c r="H278" s="497"/>
      <c r="I278" s="497"/>
      <c r="J278" s="497"/>
      <c r="K278" s="497"/>
      <c r="L278" s="497"/>
      <c r="M278" s="497"/>
      <c r="N278" s="476"/>
      <c r="O278" s="476"/>
      <c r="P278" s="476"/>
      <c r="Q278" s="476"/>
    </row>
    <row r="279" spans="2:17" s="601" customFormat="1" ht="13.15" customHeight="1" x14ac:dyDescent="0.2">
      <c r="B279" s="476"/>
      <c r="C279" s="476"/>
      <c r="D279" s="476"/>
      <c r="E279" s="476"/>
      <c r="F279" s="497"/>
      <c r="G279" s="497"/>
      <c r="H279" s="497"/>
      <c r="I279" s="497"/>
      <c r="J279" s="497"/>
      <c r="K279" s="497"/>
      <c r="L279" s="497"/>
      <c r="M279" s="497"/>
      <c r="N279" s="476"/>
      <c r="O279" s="476"/>
      <c r="P279" s="476"/>
      <c r="Q279" s="476"/>
    </row>
    <row r="280" spans="2:17" s="601" customFormat="1" ht="13.15" customHeight="1" x14ac:dyDescent="0.2">
      <c r="B280" s="476"/>
      <c r="C280" s="476"/>
      <c r="D280" s="476"/>
      <c r="E280" s="476"/>
      <c r="F280" s="497"/>
      <c r="G280" s="497"/>
      <c r="H280" s="497"/>
      <c r="I280" s="497"/>
      <c r="J280" s="497"/>
      <c r="K280" s="497"/>
      <c r="L280" s="497"/>
      <c r="M280" s="497"/>
      <c r="N280" s="476"/>
      <c r="O280" s="476"/>
      <c r="P280" s="476"/>
      <c r="Q280" s="476"/>
    </row>
    <row r="281" spans="2:17" s="601" customFormat="1" ht="13.15" customHeight="1" x14ac:dyDescent="0.2">
      <c r="B281" s="476"/>
      <c r="C281" s="476"/>
      <c r="D281" s="476"/>
      <c r="E281" s="476"/>
      <c r="F281" s="497"/>
      <c r="G281" s="497"/>
      <c r="H281" s="497"/>
      <c r="I281" s="497"/>
      <c r="J281" s="497"/>
      <c r="K281" s="497"/>
      <c r="L281" s="497"/>
      <c r="M281" s="497"/>
      <c r="N281" s="476"/>
      <c r="O281" s="476"/>
      <c r="P281" s="476"/>
      <c r="Q281" s="476"/>
    </row>
    <row r="282" spans="2:17" s="601" customFormat="1" ht="13.15" customHeight="1" x14ac:dyDescent="0.2">
      <c r="B282" s="476"/>
      <c r="C282" s="476"/>
      <c r="D282" s="476"/>
      <c r="E282" s="476"/>
      <c r="F282" s="497"/>
      <c r="G282" s="497"/>
      <c r="H282" s="497"/>
      <c r="I282" s="497"/>
      <c r="J282" s="497"/>
      <c r="K282" s="497"/>
      <c r="L282" s="497"/>
      <c r="M282" s="497"/>
      <c r="N282" s="476"/>
      <c r="O282" s="476"/>
      <c r="P282" s="476"/>
      <c r="Q282" s="476"/>
    </row>
    <row r="283" spans="2:17" s="601" customFormat="1" ht="13.15" customHeight="1" x14ac:dyDescent="0.2">
      <c r="B283" s="476"/>
      <c r="C283" s="476"/>
      <c r="D283" s="476"/>
      <c r="E283" s="476"/>
      <c r="F283" s="497"/>
      <c r="G283" s="497"/>
      <c r="H283" s="497"/>
      <c r="I283" s="497"/>
      <c r="J283" s="497"/>
      <c r="K283" s="497"/>
      <c r="L283" s="497"/>
      <c r="M283" s="497"/>
      <c r="N283" s="476"/>
      <c r="O283" s="476"/>
      <c r="P283" s="476"/>
      <c r="Q283" s="476"/>
    </row>
    <row r="284" spans="2:17" s="601" customFormat="1" ht="13.15" customHeight="1" x14ac:dyDescent="0.2">
      <c r="B284" s="476"/>
      <c r="C284" s="476"/>
      <c r="D284" s="476"/>
      <c r="E284" s="476"/>
      <c r="F284" s="497"/>
      <c r="G284" s="497"/>
      <c r="H284" s="497"/>
      <c r="I284" s="497"/>
      <c r="J284" s="497"/>
      <c r="K284" s="497"/>
      <c r="L284" s="497"/>
      <c r="M284" s="497"/>
      <c r="N284" s="476"/>
      <c r="O284" s="476"/>
      <c r="P284" s="476"/>
      <c r="Q284" s="476"/>
    </row>
    <row r="285" spans="2:17" s="601" customFormat="1" ht="13.15" customHeight="1" x14ac:dyDescent="0.2">
      <c r="B285" s="476"/>
      <c r="C285" s="476"/>
      <c r="D285" s="476"/>
      <c r="E285" s="476"/>
      <c r="F285" s="497"/>
      <c r="G285" s="497"/>
      <c r="H285" s="497"/>
      <c r="I285" s="497"/>
      <c r="J285" s="497"/>
      <c r="K285" s="497"/>
      <c r="L285" s="497"/>
      <c r="M285" s="497"/>
      <c r="N285" s="476"/>
      <c r="O285" s="476"/>
      <c r="P285" s="476"/>
      <c r="Q285" s="476"/>
    </row>
    <row r="286" spans="2:17" s="601" customFormat="1" ht="13.15" customHeight="1" x14ac:dyDescent="0.2">
      <c r="B286" s="476"/>
      <c r="C286" s="476"/>
      <c r="D286" s="476"/>
      <c r="E286" s="476"/>
      <c r="F286" s="497"/>
      <c r="G286" s="497"/>
      <c r="H286" s="497"/>
      <c r="I286" s="497"/>
      <c r="J286" s="497"/>
      <c r="K286" s="497"/>
      <c r="L286" s="497"/>
      <c r="M286" s="497"/>
      <c r="N286" s="476"/>
      <c r="O286" s="476"/>
      <c r="P286" s="476"/>
      <c r="Q286" s="476"/>
    </row>
    <row r="287" spans="2:17" s="601" customFormat="1" ht="13.15" customHeight="1" x14ac:dyDescent="0.2">
      <c r="B287" s="476"/>
      <c r="C287" s="476"/>
      <c r="D287" s="476"/>
      <c r="E287" s="476"/>
      <c r="F287" s="497"/>
      <c r="G287" s="497"/>
      <c r="H287" s="497"/>
      <c r="I287" s="497"/>
      <c r="J287" s="497"/>
      <c r="K287" s="497"/>
      <c r="L287" s="497"/>
      <c r="M287" s="497"/>
      <c r="N287" s="476"/>
      <c r="O287" s="476"/>
      <c r="P287" s="476"/>
      <c r="Q287" s="476"/>
    </row>
    <row r="288" spans="2:17" s="601" customFormat="1" ht="13.15" customHeight="1" x14ac:dyDescent="0.2">
      <c r="B288" s="476"/>
      <c r="C288" s="476"/>
      <c r="D288" s="476"/>
      <c r="E288" s="476"/>
      <c r="F288" s="497"/>
      <c r="G288" s="497"/>
      <c r="H288" s="497"/>
      <c r="I288" s="497"/>
      <c r="J288" s="497"/>
      <c r="K288" s="497"/>
      <c r="L288" s="497"/>
      <c r="M288" s="497"/>
      <c r="N288" s="476"/>
      <c r="O288" s="476"/>
      <c r="P288" s="476"/>
      <c r="Q288" s="476"/>
    </row>
    <row r="289" spans="2:17" s="601" customFormat="1" ht="13.15" customHeight="1" x14ac:dyDescent="0.2">
      <c r="B289" s="476"/>
      <c r="C289" s="476"/>
      <c r="D289" s="476"/>
      <c r="E289" s="476"/>
      <c r="F289" s="497"/>
      <c r="G289" s="497"/>
      <c r="H289" s="497"/>
      <c r="I289" s="497"/>
      <c r="J289" s="497"/>
      <c r="K289" s="497"/>
      <c r="L289" s="497"/>
      <c r="M289" s="497"/>
      <c r="N289" s="476"/>
      <c r="O289" s="476"/>
      <c r="P289" s="476"/>
      <c r="Q289" s="476"/>
    </row>
    <row r="290" spans="2:17" s="601" customFormat="1" ht="13.15" customHeight="1" x14ac:dyDescent="0.2">
      <c r="B290" s="476"/>
      <c r="C290" s="476"/>
      <c r="D290" s="476"/>
      <c r="E290" s="476"/>
      <c r="F290" s="497"/>
      <c r="G290" s="497"/>
      <c r="H290" s="497"/>
      <c r="I290" s="497"/>
      <c r="J290" s="497"/>
      <c r="K290" s="497"/>
      <c r="L290" s="497"/>
      <c r="M290" s="497"/>
      <c r="N290" s="476"/>
      <c r="O290" s="476"/>
      <c r="P290" s="476"/>
      <c r="Q290" s="476"/>
    </row>
    <row r="291" spans="2:17" s="601" customFormat="1" ht="13.15" customHeight="1" x14ac:dyDescent="0.2">
      <c r="B291" s="476"/>
      <c r="C291" s="476"/>
      <c r="D291" s="476"/>
      <c r="E291" s="476"/>
      <c r="F291" s="497"/>
      <c r="G291" s="497"/>
      <c r="H291" s="497"/>
      <c r="I291" s="497"/>
      <c r="J291" s="497"/>
      <c r="K291" s="497"/>
      <c r="L291" s="497"/>
      <c r="M291" s="497"/>
      <c r="N291" s="476"/>
      <c r="O291" s="476"/>
      <c r="P291" s="476"/>
      <c r="Q291" s="476"/>
    </row>
    <row r="292" spans="2:17" s="601" customFormat="1" ht="13.15" customHeight="1" x14ac:dyDescent="0.2">
      <c r="B292" s="476"/>
      <c r="C292" s="476"/>
      <c r="D292" s="476"/>
      <c r="E292" s="476"/>
      <c r="F292" s="497"/>
      <c r="G292" s="497"/>
      <c r="H292" s="497"/>
      <c r="I292" s="497"/>
      <c r="J292" s="497"/>
      <c r="K292" s="497"/>
      <c r="L292" s="497"/>
      <c r="M292" s="497"/>
      <c r="N292" s="476"/>
      <c r="O292" s="476"/>
      <c r="P292" s="476"/>
      <c r="Q292" s="476"/>
    </row>
    <row r="293" spans="2:17" s="601" customFormat="1" ht="13.15" customHeight="1" x14ac:dyDescent="0.2">
      <c r="B293" s="476"/>
      <c r="C293" s="476"/>
      <c r="D293" s="476"/>
      <c r="E293" s="476"/>
      <c r="F293" s="497"/>
      <c r="G293" s="497"/>
      <c r="H293" s="497"/>
      <c r="I293" s="497"/>
      <c r="J293" s="497"/>
      <c r="K293" s="497"/>
      <c r="L293" s="497"/>
      <c r="M293" s="497"/>
      <c r="N293" s="476"/>
      <c r="O293" s="476"/>
      <c r="P293" s="476"/>
      <c r="Q293" s="476"/>
    </row>
    <row r="294" spans="2:17" s="601" customFormat="1" ht="13.15" customHeight="1" x14ac:dyDescent="0.2">
      <c r="B294" s="476"/>
      <c r="C294" s="476"/>
      <c r="D294" s="476"/>
      <c r="E294" s="476"/>
      <c r="F294" s="497"/>
      <c r="G294" s="497"/>
      <c r="H294" s="497"/>
      <c r="I294" s="497"/>
      <c r="J294" s="497"/>
      <c r="K294" s="497"/>
      <c r="L294" s="497"/>
      <c r="M294" s="497"/>
      <c r="N294" s="476"/>
      <c r="O294" s="476"/>
      <c r="P294" s="476"/>
      <c r="Q294" s="476"/>
    </row>
    <row r="295" spans="2:17" s="601" customFormat="1" ht="13.15" customHeight="1" x14ac:dyDescent="0.2">
      <c r="B295" s="476"/>
      <c r="C295" s="476"/>
      <c r="D295" s="476"/>
      <c r="E295" s="476"/>
      <c r="F295" s="497"/>
      <c r="G295" s="497"/>
      <c r="H295" s="497"/>
      <c r="I295" s="497"/>
      <c r="J295" s="497"/>
      <c r="K295" s="497"/>
      <c r="L295" s="497"/>
      <c r="M295" s="497"/>
      <c r="N295" s="476"/>
      <c r="O295" s="476"/>
      <c r="P295" s="476"/>
      <c r="Q295" s="476"/>
    </row>
    <row r="296" spans="2:17" s="601" customFormat="1" ht="13.15" customHeight="1" x14ac:dyDescent="0.2">
      <c r="B296" s="476"/>
      <c r="C296" s="476"/>
      <c r="D296" s="476"/>
      <c r="E296" s="476"/>
      <c r="F296" s="497"/>
      <c r="G296" s="497"/>
      <c r="H296" s="497"/>
      <c r="I296" s="497"/>
      <c r="J296" s="497"/>
      <c r="K296" s="497"/>
      <c r="L296" s="497"/>
      <c r="M296" s="497"/>
      <c r="N296" s="476"/>
      <c r="O296" s="476"/>
      <c r="P296" s="476"/>
      <c r="Q296" s="476"/>
    </row>
    <row r="297" spans="2:17" s="601" customFormat="1" ht="13.15" customHeight="1" x14ac:dyDescent="0.2">
      <c r="B297" s="476"/>
      <c r="C297" s="476"/>
      <c r="D297" s="476"/>
      <c r="E297" s="476"/>
      <c r="F297" s="497"/>
      <c r="G297" s="497"/>
      <c r="H297" s="497"/>
      <c r="I297" s="497"/>
      <c r="J297" s="497"/>
      <c r="K297" s="497"/>
      <c r="L297" s="497"/>
      <c r="M297" s="497"/>
      <c r="N297" s="476"/>
      <c r="O297" s="476"/>
      <c r="P297" s="476"/>
      <c r="Q297" s="476"/>
    </row>
  </sheetData>
  <sheetProtection algorithmName="SHA-512" hashValue="0f6whCkHawH2oTxdRtumkoNoX4JH41E63kVjWGsduIyJkVYNJllhlTdoudQ7BhXroS2lbedTedLDAjuAiMgT6Q==" saltValue="E5ugfzCcFb7Vw4KcFcfRNg==" spinCount="100000" sheet="1" objects="1" scenarios="1"/>
  <phoneticPr fontId="0" type="noConversion"/>
  <pageMargins left="0.75" right="0.75" top="1" bottom="1" header="0.5" footer="0.5"/>
  <pageSetup paperSize="9" scale="49" orientation="portrait" r:id="rId1"/>
  <headerFooter alignWithMargins="0">
    <oddHeader>&amp;L&amp;"Arial,Vet"&amp;9&amp;F&amp;R&amp;"Arial,Vet"&amp;9&amp;A</oddHeader>
    <oddFooter>&amp;L&amp;"Arial,Vet"&amp;9keizer / goedhart&amp;C&amp;"Arial,Vet"&amp;9pagina &amp;P&amp;R&amp;"Arial,Vet"&amp;9&amp;D</oddFooter>
  </headerFooter>
  <rowBreaks count="1" manualBreakCount="1">
    <brk id="110"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34"/>
  <sheetViews>
    <sheetView showGridLines="0" zoomScale="85" zoomScaleNormal="85" zoomScaleSheetLayoutView="85" workbookViewId="0">
      <selection activeCell="B2" sqref="B2"/>
    </sheetView>
  </sheetViews>
  <sheetFormatPr defaultColWidth="9.140625" defaultRowHeight="13.15" customHeight="1" x14ac:dyDescent="0.2"/>
  <cols>
    <col min="1" max="1" width="3.7109375" style="523" customWidth="1"/>
    <col min="2" max="3" width="2.7109375" style="196" customWidth="1"/>
    <col min="4" max="4" width="35.85546875" style="196" customWidth="1"/>
    <col min="5" max="5" width="1.7109375" style="196" customWidth="1"/>
    <col min="6" max="7" width="8.7109375" style="196" customWidth="1"/>
    <col min="8" max="8" width="1.7109375" style="196" customWidth="1"/>
    <col min="9" max="9" width="12.7109375" style="288" hidden="1" customWidth="1"/>
    <col min="10" max="16" width="15.7109375" style="288" customWidth="1"/>
    <col min="17" max="18" width="2.7109375" style="196" customWidth="1"/>
    <col min="19" max="19" width="9.140625" style="523"/>
    <col min="20" max="20" width="10" style="523" bestFit="1" customWidth="1"/>
    <col min="21" max="45" width="9.140625" style="523"/>
    <col min="46" max="16384" width="9.140625" style="196"/>
  </cols>
  <sheetData>
    <row r="1" spans="1:45" s="523" customFormat="1" ht="13.15" customHeight="1" x14ac:dyDescent="0.2">
      <c r="I1" s="692"/>
      <c r="J1" s="692"/>
      <c r="K1" s="692"/>
      <c r="L1" s="692"/>
      <c r="M1" s="692"/>
      <c r="N1" s="692"/>
      <c r="O1" s="692"/>
      <c r="P1" s="692"/>
    </row>
    <row r="2" spans="1:45" ht="13.15" customHeight="1" x14ac:dyDescent="0.2">
      <c r="B2" s="23"/>
      <c r="C2" s="24"/>
      <c r="D2" s="24"/>
      <c r="E2" s="24"/>
      <c r="F2" s="24"/>
      <c r="G2" s="24"/>
      <c r="H2" s="24"/>
      <c r="I2" s="193"/>
      <c r="J2" s="193"/>
      <c r="K2" s="193"/>
      <c r="L2" s="193"/>
      <c r="M2" s="193"/>
      <c r="N2" s="463"/>
      <c r="O2" s="464"/>
      <c r="P2" s="464"/>
      <c r="Q2" s="465"/>
      <c r="R2" s="466"/>
    </row>
    <row r="3" spans="1:45" ht="13.15" customHeight="1" x14ac:dyDescent="0.2">
      <c r="B3" s="26"/>
      <c r="C3" s="27"/>
      <c r="D3" s="28"/>
      <c r="E3" s="27"/>
      <c r="F3" s="28"/>
      <c r="G3" s="28"/>
      <c r="H3" s="27"/>
      <c r="I3" s="191"/>
      <c r="J3" s="191"/>
      <c r="K3" s="191"/>
      <c r="L3" s="191"/>
      <c r="M3" s="191"/>
      <c r="N3" s="191"/>
      <c r="O3" s="191"/>
      <c r="P3" s="191"/>
      <c r="Q3" s="27"/>
      <c r="R3" s="30"/>
    </row>
    <row r="4" spans="1:45" s="198" customFormat="1" ht="18" customHeight="1" x14ac:dyDescent="0.3">
      <c r="A4" s="655"/>
      <c r="B4" s="203"/>
      <c r="C4" s="204" t="s">
        <v>634</v>
      </c>
      <c r="D4" s="204"/>
      <c r="E4" s="204"/>
      <c r="F4" s="204"/>
      <c r="G4" s="204"/>
      <c r="H4" s="204"/>
      <c r="I4" s="282"/>
      <c r="J4" s="282"/>
      <c r="K4" s="282"/>
      <c r="L4" s="282"/>
      <c r="M4" s="282"/>
      <c r="N4" s="282"/>
      <c r="O4" s="282"/>
      <c r="P4" s="282"/>
      <c r="Q4" s="204"/>
      <c r="R4" s="206"/>
      <c r="S4" s="655"/>
      <c r="T4" s="655"/>
      <c r="U4" s="655"/>
      <c r="V4" s="655"/>
      <c r="W4" s="655"/>
      <c r="X4" s="655"/>
      <c r="Y4" s="655"/>
      <c r="Z4" s="655"/>
      <c r="AA4" s="655"/>
      <c r="AB4" s="655"/>
      <c r="AC4" s="655"/>
      <c r="AD4" s="655"/>
      <c r="AE4" s="655"/>
      <c r="AF4" s="655"/>
      <c r="AG4" s="655"/>
      <c r="AH4" s="655"/>
      <c r="AI4" s="655"/>
      <c r="AJ4" s="655"/>
      <c r="AK4" s="655"/>
      <c r="AL4" s="655"/>
      <c r="AM4" s="655"/>
      <c r="AN4" s="655"/>
      <c r="AO4" s="655"/>
      <c r="AP4" s="655"/>
      <c r="AQ4" s="655"/>
      <c r="AR4" s="655"/>
      <c r="AS4" s="655"/>
    </row>
    <row r="5" spans="1:45" s="743" customFormat="1" ht="16.899999999999999" customHeight="1" x14ac:dyDescent="0.25">
      <c r="A5" s="761"/>
      <c r="B5" s="258"/>
      <c r="C5" s="268" t="str">
        <f>'geg LO'!G8</f>
        <v>SWV PO Passend Onderwijs</v>
      </c>
      <c r="D5" s="259"/>
      <c r="E5" s="259"/>
      <c r="F5" s="259"/>
      <c r="G5" s="259"/>
      <c r="H5" s="259"/>
      <c r="I5" s="758"/>
      <c r="J5" s="758"/>
      <c r="K5" s="758"/>
      <c r="L5" s="758"/>
      <c r="M5" s="758"/>
      <c r="N5" s="758"/>
      <c r="O5" s="758"/>
      <c r="P5" s="758"/>
      <c r="Q5" s="259"/>
      <c r="R5" s="269"/>
      <c r="S5" s="761"/>
      <c r="T5" s="761"/>
      <c r="U5" s="761"/>
      <c r="V5" s="761"/>
      <c r="W5" s="761"/>
      <c r="X5" s="761"/>
      <c r="Y5" s="761"/>
      <c r="Z5" s="761"/>
      <c r="AA5" s="761"/>
      <c r="AB5" s="761"/>
      <c r="AC5" s="761"/>
      <c r="AD5" s="761"/>
      <c r="AE5" s="761"/>
      <c r="AF5" s="761"/>
      <c r="AG5" s="761"/>
      <c r="AH5" s="761"/>
      <c r="AI5" s="761"/>
      <c r="AJ5" s="761"/>
      <c r="AK5" s="761"/>
      <c r="AL5" s="761"/>
      <c r="AM5" s="761"/>
      <c r="AN5" s="761"/>
      <c r="AO5" s="761"/>
      <c r="AP5" s="761"/>
      <c r="AQ5" s="761"/>
      <c r="AR5" s="761"/>
      <c r="AS5" s="761"/>
    </row>
    <row r="6" spans="1:45" ht="13.15" customHeight="1" x14ac:dyDescent="0.2">
      <c r="B6" s="26"/>
      <c r="C6" s="27"/>
      <c r="D6" s="28"/>
      <c r="E6" s="87"/>
      <c r="F6" s="67"/>
      <c r="G6" s="67"/>
      <c r="H6" s="87"/>
      <c r="I6" s="191"/>
      <c r="J6" s="191"/>
      <c r="K6" s="191"/>
      <c r="L6" s="191"/>
      <c r="M6" s="191"/>
      <c r="N6" s="191"/>
      <c r="O6" s="191"/>
      <c r="P6" s="191"/>
      <c r="Q6" s="27"/>
      <c r="R6" s="30"/>
    </row>
    <row r="7" spans="1:45" ht="13.15" customHeight="1" x14ac:dyDescent="0.2">
      <c r="B7" s="26"/>
      <c r="C7" s="27"/>
      <c r="D7" s="28"/>
      <c r="E7" s="87"/>
      <c r="F7" s="67"/>
      <c r="G7" s="67"/>
      <c r="H7" s="87"/>
      <c r="I7" s="332"/>
      <c r="J7" s="332"/>
      <c r="K7" s="332"/>
      <c r="L7" s="332"/>
      <c r="M7" s="332"/>
      <c r="N7" s="332"/>
      <c r="O7" s="332"/>
      <c r="P7" s="332"/>
      <c r="Q7" s="27"/>
      <c r="R7" s="30"/>
    </row>
    <row r="8" spans="1:45" ht="13.15" customHeight="1" x14ac:dyDescent="0.2">
      <c r="B8" s="26"/>
      <c r="C8" s="27"/>
      <c r="D8" s="27"/>
      <c r="E8" s="338"/>
      <c r="F8" s="337"/>
      <c r="G8" s="658"/>
      <c r="H8" s="699" t="s">
        <v>255</v>
      </c>
      <c r="I8" s="660" t="e">
        <f>tab!#REF!</f>
        <v>#REF!</v>
      </c>
      <c r="J8" s="660" t="str">
        <f>tab!C2</f>
        <v>2015/16</v>
      </c>
      <c r="K8" s="660" t="str">
        <f>tab!D2</f>
        <v>2016/17</v>
      </c>
      <c r="L8" s="660" t="str">
        <f>tab!E2</f>
        <v>2017/18</v>
      </c>
      <c r="M8" s="660" t="str">
        <f>tab!F2</f>
        <v>2018/19</v>
      </c>
      <c r="N8" s="660" t="str">
        <f>tab!G2</f>
        <v>2019/20</v>
      </c>
      <c r="O8" s="660" t="str">
        <f>tab!H2</f>
        <v>2020/21</v>
      </c>
      <c r="P8" s="660" t="str">
        <f>tab!I2</f>
        <v>2021/22</v>
      </c>
      <c r="Q8" s="27"/>
      <c r="R8" s="30"/>
    </row>
    <row r="9" spans="1:45" ht="13.15" customHeight="1" x14ac:dyDescent="0.2">
      <c r="B9" s="26"/>
      <c r="C9" s="27"/>
      <c r="D9" s="69"/>
      <c r="E9" s="87"/>
      <c r="F9" s="67"/>
      <c r="G9" s="67"/>
      <c r="H9" s="87"/>
      <c r="I9" s="332"/>
      <c r="J9" s="332"/>
      <c r="K9" s="332"/>
      <c r="L9" s="332"/>
      <c r="M9" s="332"/>
      <c r="N9" s="332"/>
      <c r="O9" s="332"/>
      <c r="P9" s="332"/>
      <c r="Q9" s="27"/>
      <c r="R9" s="30"/>
    </row>
    <row r="10" spans="1:45" ht="13.15" customHeight="1" x14ac:dyDescent="0.2">
      <c r="B10" s="26"/>
      <c r="C10" s="1037"/>
      <c r="D10" s="1038"/>
      <c r="E10" s="1037"/>
      <c r="F10" s="1038"/>
      <c r="G10" s="1038"/>
      <c r="H10" s="1037"/>
      <c r="I10" s="1452"/>
      <c r="J10" s="1169"/>
      <c r="K10" s="1120"/>
      <c r="L10" s="1169"/>
      <c r="M10" s="1169"/>
      <c r="N10" s="1169"/>
      <c r="O10" s="1169"/>
      <c r="P10" s="1169"/>
      <c r="Q10" s="1037"/>
      <c r="R10" s="539"/>
    </row>
    <row r="11" spans="1:45" ht="13.15" customHeight="1" x14ac:dyDescent="0.2">
      <c r="B11" s="26"/>
      <c r="C11" s="1037"/>
      <c r="D11" s="1049" t="s">
        <v>645</v>
      </c>
      <c r="E11" s="1037"/>
      <c r="F11" s="1038"/>
      <c r="G11" s="1038"/>
      <c r="H11" s="1037"/>
      <c r="I11" s="1453"/>
      <c r="J11" s="1169"/>
      <c r="K11" s="1120"/>
      <c r="L11" s="1169"/>
      <c r="M11" s="1169"/>
      <c r="N11" s="1169"/>
      <c r="O11" s="1169"/>
      <c r="P11" s="1169"/>
      <c r="Q11" s="1037"/>
      <c r="R11" s="539"/>
    </row>
    <row r="12" spans="1:45" ht="13.15" customHeight="1" x14ac:dyDescent="0.2">
      <c r="B12" s="26"/>
      <c r="C12" s="1037"/>
      <c r="D12" s="1038"/>
      <c r="E12" s="1037"/>
      <c r="F12" s="1038"/>
      <c r="G12" s="1038"/>
      <c r="H12" s="1037"/>
      <c r="I12" s="1454"/>
      <c r="J12" s="1177"/>
      <c r="K12" s="1173"/>
      <c r="L12" s="1173"/>
      <c r="M12" s="1173"/>
      <c r="N12" s="1173"/>
      <c r="O12" s="1173"/>
      <c r="P12" s="1173"/>
      <c r="Q12" s="1037"/>
      <c r="R12" s="539"/>
    </row>
    <row r="13" spans="1:45" ht="13.15" customHeight="1" x14ac:dyDescent="0.2">
      <c r="B13" s="26"/>
      <c r="C13" s="1037"/>
      <c r="D13" s="1038"/>
      <c r="E13" s="1037"/>
      <c r="F13" s="1038"/>
      <c r="G13" s="1038"/>
      <c r="H13" s="1037"/>
      <c r="I13" s="1442" t="e">
        <f>+tab!#REF!</f>
        <v>#REF!</v>
      </c>
      <c r="J13" s="1078" t="str">
        <f>+tab!C2</f>
        <v>2015/16</v>
      </c>
      <c r="K13" s="1078" t="str">
        <f>+tab!D2</f>
        <v>2016/17</v>
      </c>
      <c r="L13" s="1078" t="str">
        <f>+tab!E2</f>
        <v>2017/18</v>
      </c>
      <c r="M13" s="1078" t="str">
        <f>+tab!F2</f>
        <v>2018/19</v>
      </c>
      <c r="N13" s="1078" t="str">
        <f>+tab!G2</f>
        <v>2019/20</v>
      </c>
      <c r="O13" s="1078" t="str">
        <f>+tab!H2</f>
        <v>2020/21</v>
      </c>
      <c r="P13" s="1078" t="str">
        <f>+tab!I2</f>
        <v>2021/22</v>
      </c>
      <c r="Q13" s="1037"/>
      <c r="R13" s="539"/>
    </row>
    <row r="14" spans="1:45" ht="13.15" customHeight="1" x14ac:dyDescent="0.2">
      <c r="B14" s="26"/>
      <c r="C14" s="1037"/>
      <c r="D14" s="1037" t="s">
        <v>65</v>
      </c>
      <c r="E14" s="1037"/>
      <c r="F14" s="1037"/>
      <c r="G14" s="1037"/>
      <c r="H14" s="1037"/>
      <c r="I14" s="1443">
        <f t="shared" ref="I14:O14" si="0">+I234</f>
        <v>0</v>
      </c>
      <c r="J14" s="1549">
        <f t="shared" si="0"/>
        <v>0</v>
      </c>
      <c r="K14" s="1549">
        <f t="shared" si="0"/>
        <v>0</v>
      </c>
      <c r="L14" s="1549">
        <f t="shared" si="0"/>
        <v>0</v>
      </c>
      <c r="M14" s="1549">
        <f t="shared" si="0"/>
        <v>0</v>
      </c>
      <c r="N14" s="1549">
        <f t="shared" si="0"/>
        <v>0</v>
      </c>
      <c r="O14" s="1549">
        <f t="shared" si="0"/>
        <v>0</v>
      </c>
      <c r="P14" s="1549">
        <f t="shared" ref="P14" si="1">+P234</f>
        <v>0</v>
      </c>
      <c r="Q14" s="1037"/>
      <c r="R14" s="539"/>
    </row>
    <row r="15" spans="1:45" ht="13.15" customHeight="1" x14ac:dyDescent="0.2">
      <c r="B15" s="26"/>
      <c r="C15" s="1037"/>
      <c r="D15" s="1037" t="s">
        <v>66</v>
      </c>
      <c r="E15" s="1037"/>
      <c r="F15" s="1037"/>
      <c r="G15" s="1037"/>
      <c r="H15" s="1037"/>
      <c r="I15" s="1455" t="e">
        <f>+pers!H43</f>
        <v>#REF!</v>
      </c>
      <c r="J15" s="1549">
        <f>+pers!I31+pers!I36</f>
        <v>0</v>
      </c>
      <c r="K15" s="1549">
        <f>+pers!J31+pers!J36</f>
        <v>0</v>
      </c>
      <c r="L15" s="1549">
        <f>+pers!K31+pers!K36</f>
        <v>0</v>
      </c>
      <c r="M15" s="1549">
        <f>+pers!L31+pers!L36</f>
        <v>0</v>
      </c>
      <c r="N15" s="1549">
        <f>+pers!M31+pers!M36</f>
        <v>0</v>
      </c>
      <c r="O15" s="1549">
        <f>+pers!N31+pers!N36</f>
        <v>0</v>
      </c>
      <c r="P15" s="1549">
        <f>+pers!O31+pers!O36</f>
        <v>0</v>
      </c>
      <c r="Q15" s="1037"/>
      <c r="R15" s="539"/>
    </row>
    <row r="16" spans="1:45" ht="13.15" customHeight="1" x14ac:dyDescent="0.2">
      <c r="B16" s="26"/>
      <c r="C16" s="1037"/>
      <c r="D16" s="1075" t="s">
        <v>22</v>
      </c>
      <c r="E16" s="1037"/>
      <c r="F16" s="1037"/>
      <c r="G16" s="1037"/>
      <c r="H16" s="1037"/>
      <c r="I16" s="1456" t="e">
        <f>IF(I14&gt;I15,(I14-I15),0)</f>
        <v>#REF!</v>
      </c>
      <c r="J16" s="1456">
        <f t="shared" ref="J16:O16" si="2">IF(J14&gt;J15,J14-J15,0)</f>
        <v>0</v>
      </c>
      <c r="K16" s="1456">
        <f t="shared" si="2"/>
        <v>0</v>
      </c>
      <c r="L16" s="1456">
        <f t="shared" si="2"/>
        <v>0</v>
      </c>
      <c r="M16" s="1456">
        <f t="shared" si="2"/>
        <v>0</v>
      </c>
      <c r="N16" s="1456">
        <f t="shared" si="2"/>
        <v>0</v>
      </c>
      <c r="O16" s="1456">
        <f t="shared" si="2"/>
        <v>0</v>
      </c>
      <c r="P16" s="1456">
        <f t="shared" ref="P16" si="3">IF(P14&gt;P15,P14-P15,0)</f>
        <v>0</v>
      </c>
      <c r="Q16" s="1037"/>
      <c r="R16" s="539"/>
    </row>
    <row r="17" spans="1:45" ht="13.15" customHeight="1" x14ac:dyDescent="0.2">
      <c r="B17" s="90"/>
      <c r="C17" s="1075"/>
      <c r="D17" s="1075" t="s">
        <v>85</v>
      </c>
      <c r="E17" s="1075"/>
      <c r="F17" s="1075"/>
      <c r="G17" s="1075"/>
      <c r="H17" s="1075"/>
      <c r="I17" s="1457" t="e">
        <f>ROUND(I16/'geg ZO'!H37,2)</f>
        <v>#REF!</v>
      </c>
      <c r="J17" s="1457" t="e">
        <f>ROUND(J16/'geg ZO'!I37,2)</f>
        <v>#DIV/0!</v>
      </c>
      <c r="K17" s="1457" t="e">
        <f>ROUND(K16/'geg ZO'!J37,2)</f>
        <v>#DIV/0!</v>
      </c>
      <c r="L17" s="1457" t="e">
        <f>ROUND(L16/'geg ZO'!K37,2)</f>
        <v>#DIV/0!</v>
      </c>
      <c r="M17" s="1457" t="e">
        <f>ROUND(M16/'geg ZO'!L37,2)</f>
        <v>#DIV/0!</v>
      </c>
      <c r="N17" s="1457" t="e">
        <f>ROUND(N16/'geg ZO'!M37,2)</f>
        <v>#DIV/0!</v>
      </c>
      <c r="O17" s="1457" t="e">
        <f>ROUND(O16/'geg ZO'!N37,2)</f>
        <v>#DIV/0!</v>
      </c>
      <c r="P17" s="1457" t="e">
        <f>ROUND(P16/'geg ZO'!O37,2)</f>
        <v>#DIV/0!</v>
      </c>
      <c r="Q17" s="1075"/>
      <c r="R17" s="1176"/>
    </row>
    <row r="18" spans="1:45" ht="13.15" customHeight="1" x14ac:dyDescent="0.2">
      <c r="B18" s="26"/>
      <c r="C18" s="1037"/>
      <c r="D18" s="1037"/>
      <c r="E18" s="1037"/>
      <c r="F18" s="1037"/>
      <c r="G18" s="1037"/>
      <c r="H18" s="1037"/>
      <c r="I18" s="1453"/>
      <c r="J18" s="1169"/>
      <c r="K18" s="1169"/>
      <c r="L18" s="1169"/>
      <c r="M18" s="1169"/>
      <c r="N18" s="1169"/>
      <c r="O18" s="1169"/>
      <c r="P18" s="1169"/>
      <c r="Q18" s="1037"/>
      <c r="R18" s="539"/>
    </row>
    <row r="19" spans="1:45" ht="13.15" customHeight="1" x14ac:dyDescent="0.2">
      <c r="B19" s="26"/>
      <c r="C19" s="1037"/>
      <c r="D19" s="1037"/>
      <c r="E19" s="1037"/>
      <c r="F19" s="1037"/>
      <c r="G19" s="1037"/>
      <c r="H19" s="1037"/>
      <c r="I19" s="1458" t="e">
        <f>I241</f>
        <v>#REF!</v>
      </c>
      <c r="J19" s="1171">
        <f>tab!C4</f>
        <v>2015</v>
      </c>
      <c r="K19" s="1078">
        <f t="shared" ref="K19:P19" si="4">+J19+1</f>
        <v>2016</v>
      </c>
      <c r="L19" s="1078">
        <f t="shared" si="4"/>
        <v>2017</v>
      </c>
      <c r="M19" s="1078">
        <f t="shared" si="4"/>
        <v>2018</v>
      </c>
      <c r="N19" s="1078">
        <f t="shared" si="4"/>
        <v>2019</v>
      </c>
      <c r="O19" s="1078">
        <f t="shared" si="4"/>
        <v>2020</v>
      </c>
      <c r="P19" s="1078">
        <f t="shared" si="4"/>
        <v>2021</v>
      </c>
      <c r="Q19" s="1037"/>
      <c r="R19" s="539"/>
    </row>
    <row r="20" spans="1:45" s="199" customFormat="1" ht="13.15" customHeight="1" x14ac:dyDescent="0.2">
      <c r="A20" s="657"/>
      <c r="B20" s="26"/>
      <c r="C20" s="1037"/>
      <c r="D20" s="1037" t="s">
        <v>112</v>
      </c>
      <c r="E20" s="1037"/>
      <c r="F20" s="1037"/>
      <c r="G20" s="1037"/>
      <c r="H20" s="1037"/>
      <c r="I20" s="1443">
        <f t="shared" ref="I20:O20" si="5">I436</f>
        <v>0</v>
      </c>
      <c r="J20" s="1443">
        <f t="shared" si="5"/>
        <v>0</v>
      </c>
      <c r="K20" s="1443">
        <f t="shared" si="5"/>
        <v>0</v>
      </c>
      <c r="L20" s="1443">
        <f t="shared" si="5"/>
        <v>0</v>
      </c>
      <c r="M20" s="1443">
        <f t="shared" si="5"/>
        <v>0</v>
      </c>
      <c r="N20" s="1443">
        <f t="shared" si="5"/>
        <v>0</v>
      </c>
      <c r="O20" s="1443">
        <f t="shared" si="5"/>
        <v>0</v>
      </c>
      <c r="P20" s="1443">
        <f t="shared" ref="P20" si="6">P436</f>
        <v>0</v>
      </c>
      <c r="Q20" s="1037"/>
      <c r="R20" s="539"/>
      <c r="S20" s="657"/>
      <c r="T20" s="657"/>
      <c r="U20" s="657"/>
      <c r="V20" s="657"/>
      <c r="W20" s="657"/>
      <c r="X20" s="657"/>
      <c r="Y20" s="657"/>
      <c r="Z20" s="657"/>
      <c r="AA20" s="657"/>
      <c r="AB20" s="657"/>
      <c r="AC20" s="657"/>
      <c r="AD20" s="657"/>
      <c r="AE20" s="657"/>
      <c r="AF20" s="657"/>
      <c r="AG20" s="657"/>
      <c r="AH20" s="657"/>
      <c r="AI20" s="657"/>
      <c r="AJ20" s="657"/>
      <c r="AK20" s="657"/>
      <c r="AL20" s="657"/>
      <c r="AM20" s="657"/>
      <c r="AN20" s="657"/>
      <c r="AO20" s="657"/>
      <c r="AP20" s="657"/>
      <c r="AQ20" s="657"/>
      <c r="AR20" s="657"/>
      <c r="AS20" s="657"/>
    </row>
    <row r="21" spans="1:45" s="199" customFormat="1" ht="13.15" customHeight="1" x14ac:dyDescent="0.2">
      <c r="A21" s="657"/>
      <c r="B21" s="26"/>
      <c r="C21" s="1037"/>
      <c r="D21" s="1000" t="s">
        <v>704</v>
      </c>
      <c r="E21" s="1037"/>
      <c r="F21" s="1037"/>
      <c r="G21" s="1037"/>
      <c r="H21" s="1037"/>
      <c r="I21" s="1443">
        <f>+mat!H35</f>
        <v>0</v>
      </c>
      <c r="J21" s="1443">
        <f>+mat!I25+mat!I30</f>
        <v>0</v>
      </c>
      <c r="K21" s="1443">
        <f>+mat!J25+mat!J30</f>
        <v>0</v>
      </c>
      <c r="L21" s="1443">
        <f>+mat!K25+mat!K30</f>
        <v>0</v>
      </c>
      <c r="M21" s="1443">
        <f>+mat!L25+mat!L30</f>
        <v>0</v>
      </c>
      <c r="N21" s="1443">
        <f>+mat!M25+mat!M30</f>
        <v>0</v>
      </c>
      <c r="O21" s="1443">
        <f>+mat!N25+mat!N30</f>
        <v>0</v>
      </c>
      <c r="P21" s="1443">
        <f>+mat!O25+mat!O30</f>
        <v>0</v>
      </c>
      <c r="Q21" s="1037"/>
      <c r="R21" s="539"/>
      <c r="S21" s="657"/>
      <c r="T21" s="657"/>
      <c r="U21" s="657"/>
      <c r="V21" s="657"/>
      <c r="W21" s="657"/>
      <c r="X21" s="657"/>
      <c r="Y21" s="657"/>
      <c r="Z21" s="657"/>
      <c r="AA21" s="657"/>
      <c r="AB21" s="657"/>
      <c r="AC21" s="657"/>
      <c r="AD21" s="657"/>
      <c r="AE21" s="657"/>
      <c r="AF21" s="657"/>
      <c r="AG21" s="657"/>
      <c r="AH21" s="657"/>
      <c r="AI21" s="657"/>
      <c r="AJ21" s="657"/>
      <c r="AK21" s="657"/>
      <c r="AL21" s="657"/>
      <c r="AM21" s="657"/>
      <c r="AN21" s="657"/>
      <c r="AO21" s="657"/>
      <c r="AP21" s="657"/>
      <c r="AQ21" s="657"/>
      <c r="AR21" s="657"/>
      <c r="AS21" s="657"/>
    </row>
    <row r="22" spans="1:45" s="199" customFormat="1" ht="13.15" customHeight="1" x14ac:dyDescent="0.2">
      <c r="A22" s="657"/>
      <c r="B22" s="26"/>
      <c r="C22" s="1037"/>
      <c r="D22" s="1075" t="s">
        <v>23</v>
      </c>
      <c r="E22" s="1053"/>
      <c r="F22" s="1038"/>
      <c r="G22" s="1038"/>
      <c r="H22" s="1053"/>
      <c r="I22" s="1456">
        <f t="shared" ref="I22:O22" si="7">IF(I20&gt;I21,I20-I21,0)</f>
        <v>0</v>
      </c>
      <c r="J22" s="1456">
        <f t="shared" si="7"/>
        <v>0</v>
      </c>
      <c r="K22" s="1456">
        <f t="shared" si="7"/>
        <v>0</v>
      </c>
      <c r="L22" s="1456">
        <f t="shared" si="7"/>
        <v>0</v>
      </c>
      <c r="M22" s="1456">
        <f t="shared" si="7"/>
        <v>0</v>
      </c>
      <c r="N22" s="1456">
        <f t="shared" si="7"/>
        <v>0</v>
      </c>
      <c r="O22" s="1456">
        <f t="shared" si="7"/>
        <v>0</v>
      </c>
      <c r="P22" s="1456">
        <f t="shared" ref="P22" si="8">IF(P20&gt;P21,P20-P21,0)</f>
        <v>0</v>
      </c>
      <c r="Q22" s="1053"/>
      <c r="R22" s="539"/>
      <c r="S22" s="657"/>
      <c r="T22" s="657"/>
      <c r="U22" s="657"/>
      <c r="V22" s="657"/>
      <c r="W22" s="657"/>
      <c r="X22" s="657"/>
      <c r="Y22" s="657"/>
      <c r="Z22" s="657"/>
      <c r="AA22" s="657"/>
      <c r="AB22" s="657"/>
      <c r="AC22" s="657"/>
      <c r="AD22" s="657"/>
      <c r="AE22" s="657"/>
      <c r="AF22" s="657"/>
      <c r="AG22" s="657"/>
      <c r="AH22" s="657"/>
      <c r="AI22" s="657"/>
      <c r="AJ22" s="657"/>
      <c r="AK22" s="657"/>
      <c r="AL22" s="657"/>
      <c r="AM22" s="657"/>
      <c r="AN22" s="657"/>
      <c r="AO22" s="657"/>
      <c r="AP22" s="657"/>
      <c r="AQ22" s="657"/>
      <c r="AR22" s="657"/>
      <c r="AS22" s="657"/>
    </row>
    <row r="23" spans="1:45" s="199" customFormat="1" ht="13.15" customHeight="1" x14ac:dyDescent="0.2">
      <c r="A23" s="657"/>
      <c r="B23" s="26"/>
      <c r="C23" s="1037"/>
      <c r="D23" s="1075" t="s">
        <v>85</v>
      </c>
      <c r="E23" s="1037"/>
      <c r="F23" s="1037"/>
      <c r="G23" s="1037"/>
      <c r="H23" s="1037"/>
      <c r="I23" s="1457" t="e">
        <f>ROUND(I22/'geg ZO'!H37,2)</f>
        <v>#REF!</v>
      </c>
      <c r="J23" s="1457" t="e">
        <f>ROUND(J22/'geg ZO'!I37,2)</f>
        <v>#DIV/0!</v>
      </c>
      <c r="K23" s="1457" t="e">
        <f>ROUND(K22/'geg ZO'!J37,2)</f>
        <v>#DIV/0!</v>
      </c>
      <c r="L23" s="1457" t="e">
        <f>ROUND(L22/'geg ZO'!K37,2)</f>
        <v>#DIV/0!</v>
      </c>
      <c r="M23" s="1457" t="e">
        <f>ROUND(M22/'geg ZO'!L37,2)</f>
        <v>#DIV/0!</v>
      </c>
      <c r="N23" s="1457" t="e">
        <f>ROUND(N22/'geg ZO'!M37,2)</f>
        <v>#DIV/0!</v>
      </c>
      <c r="O23" s="1457" t="e">
        <f>ROUND(O22/'geg ZO'!N37,2)</f>
        <v>#DIV/0!</v>
      </c>
      <c r="P23" s="1457" t="e">
        <f>ROUND(P22/'geg ZO'!O37,2)</f>
        <v>#DIV/0!</v>
      </c>
      <c r="Q23" s="1037"/>
      <c r="R23" s="539"/>
      <c r="S23" s="657"/>
      <c r="T23" s="657"/>
      <c r="U23" s="657"/>
      <c r="V23" s="657"/>
      <c r="W23" s="657"/>
      <c r="X23" s="657"/>
      <c r="Y23" s="657"/>
      <c r="Z23" s="657"/>
      <c r="AA23" s="657"/>
      <c r="AB23" s="657"/>
      <c r="AC23" s="657"/>
      <c r="AD23" s="657"/>
      <c r="AE23" s="657"/>
      <c r="AF23" s="657"/>
      <c r="AG23" s="657"/>
      <c r="AH23" s="657"/>
      <c r="AI23" s="657"/>
      <c r="AJ23" s="657"/>
      <c r="AK23" s="657"/>
      <c r="AL23" s="657"/>
      <c r="AM23" s="657"/>
      <c r="AN23" s="657"/>
      <c r="AO23" s="657"/>
      <c r="AP23" s="657"/>
      <c r="AQ23" s="657"/>
      <c r="AR23" s="657"/>
      <c r="AS23" s="657"/>
    </row>
    <row r="24" spans="1:45" s="199" customFormat="1" ht="13.15" customHeight="1" x14ac:dyDescent="0.2">
      <c r="A24" s="657"/>
      <c r="B24" s="26"/>
      <c r="C24" s="1037"/>
      <c r="D24" s="1037"/>
      <c r="E24" s="1037"/>
      <c r="F24" s="1037"/>
      <c r="G24" s="1037"/>
      <c r="H24" s="1037"/>
      <c r="I24" s="1453"/>
      <c r="J24" s="1169"/>
      <c r="K24" s="1169"/>
      <c r="L24" s="1169"/>
      <c r="M24" s="1169"/>
      <c r="N24" s="1169"/>
      <c r="O24" s="1169"/>
      <c r="P24" s="1169"/>
      <c r="Q24" s="1037"/>
      <c r="R24" s="539"/>
      <c r="S24" s="657"/>
      <c r="T24" s="657"/>
      <c r="U24" s="657"/>
      <c r="V24" s="657"/>
      <c r="W24" s="657"/>
      <c r="X24" s="657"/>
      <c r="Y24" s="657"/>
      <c r="Z24" s="657"/>
      <c r="AA24" s="657"/>
      <c r="AB24" s="657"/>
      <c r="AC24" s="657"/>
      <c r="AD24" s="657"/>
      <c r="AE24" s="657"/>
      <c r="AF24" s="657"/>
      <c r="AG24" s="657"/>
      <c r="AH24" s="657"/>
      <c r="AI24" s="657"/>
      <c r="AJ24" s="657"/>
      <c r="AK24" s="657"/>
      <c r="AL24" s="657"/>
      <c r="AM24" s="657"/>
      <c r="AN24" s="657"/>
      <c r="AO24" s="657"/>
      <c r="AP24" s="657"/>
      <c r="AQ24" s="657"/>
      <c r="AR24" s="657"/>
      <c r="AS24" s="657"/>
    </row>
    <row r="25" spans="1:45" s="199" customFormat="1" ht="13.15" customHeight="1" x14ac:dyDescent="0.2">
      <c r="A25" s="657"/>
      <c r="B25" s="26"/>
      <c r="C25" s="1037"/>
      <c r="D25" s="1037"/>
      <c r="E25" s="1037"/>
      <c r="F25" s="1037"/>
      <c r="G25" s="1037"/>
      <c r="H25" s="1037"/>
      <c r="I25" s="1454"/>
      <c r="J25" s="1173"/>
      <c r="K25" s="1173"/>
      <c r="L25" s="1173"/>
      <c r="M25" s="1173"/>
      <c r="N25" s="1173"/>
      <c r="O25" s="1173"/>
      <c r="P25" s="1173"/>
      <c r="Q25" s="1037"/>
      <c r="R25" s="539"/>
      <c r="S25" s="657"/>
      <c r="T25" s="657"/>
      <c r="U25" s="657"/>
      <c r="V25" s="657"/>
      <c r="W25" s="657"/>
      <c r="X25" s="657"/>
      <c r="Y25" s="657"/>
      <c r="Z25" s="657"/>
      <c r="AA25" s="657"/>
      <c r="AB25" s="657"/>
      <c r="AC25" s="657"/>
      <c r="AD25" s="657"/>
      <c r="AE25" s="657"/>
      <c r="AF25" s="657"/>
      <c r="AG25" s="657"/>
      <c r="AH25" s="657"/>
      <c r="AI25" s="657"/>
      <c r="AJ25" s="657"/>
      <c r="AK25" s="657"/>
      <c r="AL25" s="657"/>
      <c r="AM25" s="657"/>
      <c r="AN25" s="657"/>
      <c r="AO25" s="657"/>
      <c r="AP25" s="657"/>
      <c r="AQ25" s="657"/>
      <c r="AR25" s="657"/>
      <c r="AS25" s="657"/>
    </row>
    <row r="26" spans="1:45" s="199" customFormat="1" ht="13.15" customHeight="1" x14ac:dyDescent="0.2">
      <c r="A26" s="657"/>
      <c r="B26" s="26"/>
      <c r="C26" s="1037"/>
      <c r="D26" s="1037"/>
      <c r="E26" s="1037"/>
      <c r="F26" s="1037"/>
      <c r="G26" s="1037"/>
      <c r="H26" s="1037"/>
      <c r="I26" s="1442" t="e">
        <f>+tab!#REF!</f>
        <v>#REF!</v>
      </c>
      <c r="J26" s="1078" t="str">
        <f>+tab!C2</f>
        <v>2015/16</v>
      </c>
      <c r="K26" s="1078" t="str">
        <f>+tab!D2</f>
        <v>2016/17</v>
      </c>
      <c r="L26" s="1078" t="str">
        <f>+tab!E2</f>
        <v>2017/18</v>
      </c>
      <c r="M26" s="1078" t="str">
        <f>+tab!F2</f>
        <v>2018/19</v>
      </c>
      <c r="N26" s="1078" t="str">
        <f>+tab!G2</f>
        <v>2019/20</v>
      </c>
      <c r="O26" s="1078" t="str">
        <f>+tab!H2</f>
        <v>2020/21</v>
      </c>
      <c r="P26" s="1078" t="str">
        <f>+tab!I2</f>
        <v>2021/22</v>
      </c>
      <c r="Q26" s="1037"/>
      <c r="R26" s="539"/>
      <c r="S26" s="657"/>
      <c r="T26" s="657"/>
      <c r="U26" s="657"/>
      <c r="V26" s="657"/>
      <c r="W26" s="657"/>
      <c r="X26" s="657"/>
      <c r="Y26" s="657"/>
      <c r="Z26" s="657"/>
      <c r="AA26" s="657"/>
      <c r="AB26" s="657"/>
      <c r="AC26" s="657"/>
      <c r="AD26" s="657"/>
      <c r="AE26" s="657"/>
      <c r="AF26" s="657"/>
      <c r="AG26" s="657"/>
      <c r="AH26" s="657"/>
      <c r="AI26" s="657"/>
      <c r="AJ26" s="657"/>
      <c r="AK26" s="657"/>
      <c r="AL26" s="657"/>
      <c r="AM26" s="657"/>
      <c r="AN26" s="657"/>
      <c r="AO26" s="657"/>
      <c r="AP26" s="657"/>
      <c r="AQ26" s="657"/>
      <c r="AR26" s="657"/>
      <c r="AS26" s="657"/>
    </row>
    <row r="27" spans="1:45" s="199" customFormat="1" ht="13.15" customHeight="1" x14ac:dyDescent="0.2">
      <c r="A27" s="657"/>
      <c r="B27" s="26"/>
      <c r="C27" s="1037"/>
      <c r="D27" s="1000" t="s">
        <v>122</v>
      </c>
      <c r="E27" s="1037"/>
      <c r="F27" s="1037"/>
      <c r="G27" s="1037"/>
      <c r="H27" s="1037"/>
      <c r="I27" s="1456" t="e">
        <f>+I16+5/12*I22+7/12*J22</f>
        <v>#REF!</v>
      </c>
      <c r="J27" s="1456">
        <f>+J16+5/12*J22+7/12*K22</f>
        <v>0</v>
      </c>
      <c r="K27" s="1456">
        <f>+K16+5/12*K22+7/12*L22</f>
        <v>0</v>
      </c>
      <c r="L27" s="1456">
        <f>+L16+5/12*L22+7/12*M22</f>
        <v>0</v>
      </c>
      <c r="M27" s="1456">
        <f>+M16+M22</f>
        <v>0</v>
      </c>
      <c r="N27" s="1456">
        <f>+N16+N22</f>
        <v>0</v>
      </c>
      <c r="O27" s="1456">
        <f>+O16+O22</f>
        <v>0</v>
      </c>
      <c r="P27" s="1456">
        <f>+P16+P22</f>
        <v>0</v>
      </c>
      <c r="Q27" s="1037"/>
      <c r="R27" s="539"/>
      <c r="S27" s="657"/>
      <c r="T27" s="657"/>
      <c r="U27" s="657"/>
      <c r="V27" s="657"/>
      <c r="W27" s="657"/>
      <c r="X27" s="657"/>
      <c r="Y27" s="657"/>
      <c r="Z27" s="657"/>
      <c r="AA27" s="657"/>
      <c r="AB27" s="657"/>
      <c r="AC27" s="657"/>
      <c r="AD27" s="657"/>
      <c r="AE27" s="657"/>
      <c r="AF27" s="657"/>
      <c r="AG27" s="657"/>
      <c r="AH27" s="657"/>
      <c r="AI27" s="657"/>
      <c r="AJ27" s="657"/>
      <c r="AK27" s="657"/>
      <c r="AL27" s="657"/>
      <c r="AM27" s="657"/>
      <c r="AN27" s="657"/>
      <c r="AO27" s="657"/>
      <c r="AP27" s="657"/>
      <c r="AQ27" s="657"/>
      <c r="AR27" s="657"/>
      <c r="AS27" s="657"/>
    </row>
    <row r="28" spans="1:45" s="199" customFormat="1" ht="13.15" customHeight="1" x14ac:dyDescent="0.2">
      <c r="A28" s="657"/>
      <c r="B28" s="26"/>
      <c r="C28" s="1037"/>
      <c r="D28" s="1000" t="s">
        <v>85</v>
      </c>
      <c r="E28" s="1037"/>
      <c r="F28" s="1037"/>
      <c r="G28" s="1037"/>
      <c r="H28" s="1037"/>
      <c r="I28" s="1459" t="e">
        <f>ROUND(I27/'geg ZO'!H37,2)</f>
        <v>#REF!</v>
      </c>
      <c r="J28" s="1459" t="e">
        <f>ROUND(J27/'geg ZO'!I37,2)</f>
        <v>#DIV/0!</v>
      </c>
      <c r="K28" s="1459" t="e">
        <f>ROUND(K27/'geg ZO'!J37,2)</f>
        <v>#DIV/0!</v>
      </c>
      <c r="L28" s="1459" t="e">
        <f>ROUND(L27/'geg ZO'!K37,2)</f>
        <v>#DIV/0!</v>
      </c>
      <c r="M28" s="1459" t="e">
        <f>ROUND(M27/'geg ZO'!L37,2)</f>
        <v>#DIV/0!</v>
      </c>
      <c r="N28" s="1459" t="e">
        <f>ROUND(N27/'geg ZO'!M37,2)</f>
        <v>#DIV/0!</v>
      </c>
      <c r="O28" s="1459" t="e">
        <f>ROUND(O27/'geg ZO'!N37,2)</f>
        <v>#DIV/0!</v>
      </c>
      <c r="P28" s="1459" t="e">
        <f>ROUND(P27/'geg ZO'!O37,2)</f>
        <v>#DIV/0!</v>
      </c>
      <c r="Q28" s="1037"/>
      <c r="R28" s="539"/>
      <c r="S28" s="657"/>
      <c r="T28" s="657"/>
      <c r="U28" s="657"/>
      <c r="V28" s="657"/>
      <c r="W28" s="657"/>
      <c r="X28" s="657"/>
      <c r="Y28" s="657"/>
      <c r="Z28" s="657"/>
      <c r="AA28" s="657"/>
      <c r="AB28" s="657"/>
      <c r="AC28" s="657"/>
      <c r="AD28" s="657"/>
      <c r="AE28" s="657"/>
      <c r="AF28" s="657"/>
      <c r="AG28" s="657"/>
      <c r="AH28" s="657"/>
      <c r="AI28" s="657"/>
      <c r="AJ28" s="657"/>
      <c r="AK28" s="657"/>
      <c r="AL28" s="657"/>
      <c r="AM28" s="657"/>
      <c r="AN28" s="657"/>
      <c r="AO28" s="657"/>
      <c r="AP28" s="657"/>
      <c r="AQ28" s="657"/>
      <c r="AR28" s="657"/>
      <c r="AS28" s="657"/>
    </row>
    <row r="29" spans="1:45" s="199" customFormat="1" ht="13.15" customHeight="1" x14ac:dyDescent="0.2">
      <c r="A29" s="657"/>
      <c r="B29" s="26"/>
      <c r="C29" s="1037"/>
      <c r="D29" s="1037"/>
      <c r="E29" s="1037"/>
      <c r="F29" s="1037"/>
      <c r="G29" s="1037"/>
      <c r="H29" s="1037"/>
      <c r="I29" s="1453"/>
      <c r="J29" s="1169"/>
      <c r="K29" s="1169"/>
      <c r="L29" s="1169"/>
      <c r="M29" s="1169"/>
      <c r="N29" s="1169"/>
      <c r="O29" s="1169"/>
      <c r="P29" s="1169"/>
      <c r="Q29" s="1037"/>
      <c r="R29" s="539"/>
      <c r="S29" s="657"/>
      <c r="T29" s="657"/>
      <c r="U29" s="657"/>
      <c r="V29" s="657"/>
      <c r="W29" s="657"/>
      <c r="X29" s="657"/>
      <c r="Y29" s="657"/>
      <c r="Z29" s="657"/>
      <c r="AA29" s="657"/>
      <c r="AB29" s="657"/>
      <c r="AC29" s="657"/>
      <c r="AD29" s="657"/>
      <c r="AE29" s="657"/>
      <c r="AF29" s="657"/>
      <c r="AG29" s="657"/>
      <c r="AH29" s="657"/>
      <c r="AI29" s="657"/>
      <c r="AJ29" s="657"/>
      <c r="AK29" s="657"/>
      <c r="AL29" s="657"/>
      <c r="AM29" s="657"/>
      <c r="AN29" s="657"/>
      <c r="AO29" s="657"/>
      <c r="AP29" s="657"/>
      <c r="AQ29" s="657"/>
      <c r="AR29" s="657"/>
      <c r="AS29" s="657"/>
    </row>
    <row r="30" spans="1:45" ht="13.15" customHeight="1" x14ac:dyDescent="0.2">
      <c r="B30" s="26"/>
      <c r="C30" s="1037"/>
      <c r="D30" s="1037"/>
      <c r="E30" s="1037"/>
      <c r="F30" s="1037"/>
      <c r="G30" s="1037"/>
      <c r="H30" s="1037"/>
      <c r="I30" s="1458" t="e">
        <f t="shared" ref="I30:O30" si="9">I241</f>
        <v>#REF!</v>
      </c>
      <c r="J30" s="1171">
        <f t="shared" si="9"/>
        <v>2015</v>
      </c>
      <c r="K30" s="1171">
        <f t="shared" si="9"/>
        <v>2016</v>
      </c>
      <c r="L30" s="1171">
        <f t="shared" si="9"/>
        <v>2017</v>
      </c>
      <c r="M30" s="1171">
        <f t="shared" si="9"/>
        <v>2018</v>
      </c>
      <c r="N30" s="1171">
        <f t="shared" si="9"/>
        <v>2019</v>
      </c>
      <c r="O30" s="1171">
        <f t="shared" si="9"/>
        <v>2020</v>
      </c>
      <c r="P30" s="1171">
        <f t="shared" ref="P30" si="10">P241</f>
        <v>2021</v>
      </c>
      <c r="Q30" s="1037"/>
      <c r="R30" s="539"/>
    </row>
    <row r="31" spans="1:45" ht="13.15" customHeight="1" x14ac:dyDescent="0.2">
      <c r="B31" s="26"/>
      <c r="C31" s="1037"/>
      <c r="D31" s="1000" t="s">
        <v>123</v>
      </c>
      <c r="E31" s="1037"/>
      <c r="F31" s="1037"/>
      <c r="G31" s="1037"/>
      <c r="H31" s="1037"/>
      <c r="I31" s="1456" t="e">
        <f>7/12*I16+I22</f>
        <v>#REF!</v>
      </c>
      <c r="J31" s="1456">
        <f>5/12*J16+J22</f>
        <v>0</v>
      </c>
      <c r="K31" s="1456">
        <f t="shared" ref="K31:P31" si="11">7/12*J16+5/12*K16+K22</f>
        <v>0</v>
      </c>
      <c r="L31" s="1456">
        <f t="shared" si="11"/>
        <v>0</v>
      </c>
      <c r="M31" s="1456">
        <f t="shared" si="11"/>
        <v>0</v>
      </c>
      <c r="N31" s="1456">
        <f t="shared" si="11"/>
        <v>0</v>
      </c>
      <c r="O31" s="1456">
        <f t="shared" si="11"/>
        <v>0</v>
      </c>
      <c r="P31" s="1456">
        <f t="shared" si="11"/>
        <v>0</v>
      </c>
      <c r="Q31" s="1037"/>
      <c r="R31" s="539"/>
    </row>
    <row r="32" spans="1:45" ht="13.15" customHeight="1" x14ac:dyDescent="0.2">
      <c r="B32" s="26"/>
      <c r="C32" s="1037"/>
      <c r="D32" s="1000" t="s">
        <v>85</v>
      </c>
      <c r="E32" s="1037"/>
      <c r="F32" s="1037"/>
      <c r="G32" s="1037"/>
      <c r="H32" s="1037"/>
      <c r="I32" s="1459" t="e">
        <f>ROUND(I31/'geg ZO'!H37,2)</f>
        <v>#REF!</v>
      </c>
      <c r="J32" s="1459" t="e">
        <f>ROUND(J31/'geg ZO'!I37,2)</f>
        <v>#DIV/0!</v>
      </c>
      <c r="K32" s="1459" t="e">
        <f>ROUND(K31/'geg ZO'!J37,2)</f>
        <v>#DIV/0!</v>
      </c>
      <c r="L32" s="1459" t="e">
        <f>ROUND(L31/'geg ZO'!K37,2)</f>
        <v>#DIV/0!</v>
      </c>
      <c r="M32" s="1459" t="e">
        <f>ROUND(M31/'geg ZO'!L37,2)</f>
        <v>#DIV/0!</v>
      </c>
      <c r="N32" s="1459" t="e">
        <f>ROUND(N31/'geg ZO'!M37,2)</f>
        <v>#DIV/0!</v>
      </c>
      <c r="O32" s="1459" t="e">
        <f>ROUND(O31/'geg ZO'!N37,2)</f>
        <v>#DIV/0!</v>
      </c>
      <c r="P32" s="1459" t="e">
        <f>ROUND(P31/'geg ZO'!O37,2)</f>
        <v>#DIV/0!</v>
      </c>
      <c r="Q32" s="1037"/>
      <c r="R32" s="539"/>
    </row>
    <row r="33" spans="2:33" ht="13.15" customHeight="1" x14ac:dyDescent="0.2">
      <c r="B33" s="26"/>
      <c r="C33" s="1037"/>
      <c r="D33" s="1037"/>
      <c r="E33" s="1037"/>
      <c r="F33" s="1037"/>
      <c r="G33" s="1037"/>
      <c r="H33" s="1037"/>
      <c r="I33" s="1460"/>
      <c r="J33" s="1120"/>
      <c r="K33" s="1120"/>
      <c r="L33" s="1120"/>
      <c r="M33" s="1120"/>
      <c r="N33" s="1120"/>
      <c r="O33" s="1120"/>
      <c r="P33" s="1120"/>
      <c r="Q33" s="1037"/>
      <c r="R33" s="539"/>
    </row>
    <row r="34" spans="2:33" ht="13.15" customHeight="1" x14ac:dyDescent="0.2">
      <c r="B34" s="26"/>
      <c r="C34" s="191"/>
      <c r="D34" s="191"/>
      <c r="E34" s="191"/>
      <c r="F34" s="191"/>
      <c r="G34" s="191"/>
      <c r="H34" s="191"/>
      <c r="I34" s="191"/>
      <c r="J34" s="191"/>
      <c r="K34" s="191"/>
      <c r="L34" s="191"/>
      <c r="M34" s="191"/>
      <c r="N34" s="191"/>
      <c r="O34" s="191"/>
      <c r="P34" s="191"/>
      <c r="Q34" s="191"/>
      <c r="R34" s="30"/>
    </row>
    <row r="35" spans="2:33" ht="13.15" customHeight="1" x14ac:dyDescent="0.2">
      <c r="B35" s="211"/>
      <c r="C35" s="195"/>
      <c r="D35" s="195"/>
      <c r="E35" s="195"/>
      <c r="F35" s="195"/>
      <c r="G35" s="195"/>
      <c r="H35" s="195"/>
      <c r="I35" s="195"/>
      <c r="J35" s="195"/>
      <c r="K35" s="195"/>
      <c r="L35" s="195"/>
      <c r="M35" s="195"/>
      <c r="N35" s="195"/>
      <c r="O35" s="195"/>
      <c r="P35" s="195"/>
      <c r="Q35" s="195"/>
      <c r="R35" s="213"/>
    </row>
    <row r="36" spans="2:33" ht="13.15" customHeight="1" x14ac:dyDescent="0.2">
      <c r="B36" s="23"/>
      <c r="C36" s="193"/>
      <c r="D36" s="193"/>
      <c r="E36" s="193"/>
      <c r="F36" s="193"/>
      <c r="G36" s="193"/>
      <c r="H36" s="193"/>
      <c r="I36" s="193"/>
      <c r="J36" s="193"/>
      <c r="K36" s="193"/>
      <c r="L36" s="193"/>
      <c r="M36" s="193"/>
      <c r="N36" s="193"/>
      <c r="O36" s="193"/>
      <c r="P36" s="193"/>
      <c r="Q36" s="193"/>
      <c r="R36" s="25"/>
    </row>
    <row r="37" spans="2:33" ht="13.15" customHeight="1" x14ac:dyDescent="0.2">
      <c r="B37" s="26"/>
      <c r="C37" s="191"/>
      <c r="D37" s="191"/>
      <c r="E37" s="191"/>
      <c r="F37" s="191"/>
      <c r="G37" s="191"/>
      <c r="H37" s="191"/>
      <c r="I37" s="191"/>
      <c r="J37" s="191"/>
      <c r="K37" s="191"/>
      <c r="L37" s="191"/>
      <c r="M37" s="191"/>
      <c r="N37" s="191"/>
      <c r="O37" s="191"/>
      <c r="P37" s="191"/>
      <c r="Q37" s="191"/>
      <c r="R37" s="30"/>
    </row>
    <row r="38" spans="2:33" ht="13.15" customHeight="1" x14ac:dyDescent="0.2">
      <c r="B38" s="26"/>
      <c r="C38" s="191"/>
      <c r="D38" s="191"/>
      <c r="E38" s="191"/>
      <c r="F38" s="191"/>
      <c r="G38" s="191"/>
      <c r="H38" s="191"/>
      <c r="I38" s="191"/>
      <c r="J38" s="191"/>
      <c r="K38" s="191"/>
      <c r="L38" s="191"/>
      <c r="M38" s="191"/>
      <c r="N38" s="191"/>
      <c r="O38" s="191"/>
      <c r="P38" s="191"/>
      <c r="Q38" s="191"/>
      <c r="R38" s="539"/>
    </row>
    <row r="39" spans="2:33" ht="13.15" customHeight="1" x14ac:dyDescent="0.2">
      <c r="B39" s="26"/>
      <c r="C39" s="191"/>
      <c r="D39" s="346"/>
      <c r="E39" s="346"/>
      <c r="F39" s="346"/>
      <c r="G39" s="346"/>
      <c r="H39" s="346"/>
      <c r="I39" s="660" t="e">
        <f t="shared" ref="I39:O39" si="12">+I8</f>
        <v>#REF!</v>
      </c>
      <c r="J39" s="660" t="str">
        <f t="shared" si="12"/>
        <v>2015/16</v>
      </c>
      <c r="K39" s="660" t="str">
        <f t="shared" si="12"/>
        <v>2016/17</v>
      </c>
      <c r="L39" s="660" t="str">
        <f t="shared" si="12"/>
        <v>2017/18</v>
      </c>
      <c r="M39" s="660" t="str">
        <f t="shared" si="12"/>
        <v>2018/19</v>
      </c>
      <c r="N39" s="660" t="str">
        <f t="shared" si="12"/>
        <v>2019/20</v>
      </c>
      <c r="O39" s="660" t="str">
        <f t="shared" si="12"/>
        <v>2020/21</v>
      </c>
      <c r="P39" s="660" t="str">
        <f t="shared" ref="P39" si="13">+P8</f>
        <v>2021/22</v>
      </c>
      <c r="Q39" s="191"/>
      <c r="R39" s="30"/>
    </row>
    <row r="40" spans="2:33" ht="13.15" customHeight="1" x14ac:dyDescent="0.2">
      <c r="B40" s="26"/>
      <c r="C40" s="191"/>
      <c r="D40" s="346"/>
      <c r="E40" s="346"/>
      <c r="F40" s="346"/>
      <c r="G40" s="346"/>
      <c r="H40" s="346"/>
      <c r="I40" s="346"/>
      <c r="J40" s="346"/>
      <c r="K40" s="346"/>
      <c r="L40" s="346"/>
      <c r="M40" s="346"/>
      <c r="N40" s="346"/>
      <c r="O40" s="346"/>
      <c r="P40" s="346"/>
      <c r="Q40" s="191"/>
      <c r="R40" s="30"/>
    </row>
    <row r="41" spans="2:33" ht="13.15" customHeight="1" x14ac:dyDescent="0.2">
      <c r="B41" s="26"/>
      <c r="C41" s="1037"/>
      <c r="D41" s="1179"/>
      <c r="E41" s="1180"/>
      <c r="F41" s="1179"/>
      <c r="G41" s="1179"/>
      <c r="H41" s="1180"/>
      <c r="I41" s="1181"/>
      <c r="J41" s="1181"/>
      <c r="K41" s="1181"/>
      <c r="L41" s="1181"/>
      <c r="M41" s="1181"/>
      <c r="N41" s="1181"/>
      <c r="O41" s="1181"/>
      <c r="P41" s="1181"/>
      <c r="Q41" s="1037"/>
      <c r="R41" s="539"/>
    </row>
    <row r="42" spans="2:33" ht="13.15" customHeight="1" x14ac:dyDescent="0.2">
      <c r="B42" s="26"/>
      <c r="C42" s="1037"/>
      <c r="D42" s="1049" t="s">
        <v>50</v>
      </c>
      <c r="E42" s="1180"/>
      <c r="F42" s="1179"/>
      <c r="G42" s="1179"/>
      <c r="H42" s="1180"/>
      <c r="I42" s="1180"/>
      <c r="J42" s="1180"/>
      <c r="K42" s="1180"/>
      <c r="L42" s="1180"/>
      <c r="M42" s="1180"/>
      <c r="N42" s="1180"/>
      <c r="O42" s="1180"/>
      <c r="P42" s="1180"/>
      <c r="Q42" s="1037"/>
      <c r="R42" s="539"/>
    </row>
    <row r="43" spans="2:33" ht="13.15" customHeight="1" x14ac:dyDescent="0.2">
      <c r="B43" s="26"/>
      <c r="C43" s="1037"/>
      <c r="D43" s="1182"/>
      <c r="E43" s="1037"/>
      <c r="F43" s="1182"/>
      <c r="G43" s="1182"/>
      <c r="H43" s="1037"/>
      <c r="I43" s="1169"/>
      <c r="J43" s="1169"/>
      <c r="K43" s="1169"/>
      <c r="L43" s="1169"/>
      <c r="M43" s="1169"/>
      <c r="N43" s="1169"/>
      <c r="O43" s="1169"/>
      <c r="P43" s="1169"/>
      <c r="Q43" s="1037"/>
      <c r="R43" s="539"/>
      <c r="AE43" s="532"/>
      <c r="AF43" s="532"/>
      <c r="AG43" s="532"/>
    </row>
    <row r="44" spans="2:33" ht="13.15" customHeight="1" x14ac:dyDescent="0.2">
      <c r="B44" s="26"/>
      <c r="C44" s="1037"/>
      <c r="D44" s="1447" t="str">
        <f>'geg ZO'!D51</f>
        <v>Naam SO 1</v>
      </c>
      <c r="E44" s="1037"/>
      <c r="F44" s="1037" t="str">
        <f>IF('geg ZO'!E51=1,"categorie 1",IF('geg ZO'!E51=2,"categorie 2","categorie 3"))</f>
        <v>categorie 1</v>
      </c>
      <c r="G44" s="1076" t="s">
        <v>145</v>
      </c>
      <c r="H44" s="1037"/>
      <c r="I44" s="1461">
        <v>0</v>
      </c>
      <c r="J44" s="1461">
        <f>ROUND('geg ZO'!I51*VLOOKUP($F44,categoriePers,3,FALSE),2)</f>
        <v>0</v>
      </c>
      <c r="K44" s="1461">
        <f>ROUND('geg ZO'!J51*VLOOKUP($F44,categoriePers,3,FALSE),0)</f>
        <v>0</v>
      </c>
      <c r="L44" s="1461">
        <f>ROUND('geg ZO'!K51*VLOOKUP($F44,categoriePers,3,FALSE),0)</f>
        <v>0</v>
      </c>
      <c r="M44" s="1461">
        <f>ROUND('geg ZO'!L51*VLOOKUP($F44,categoriePers,3,FALSE),0)</f>
        <v>0</v>
      </c>
      <c r="N44" s="1461">
        <f>ROUND('geg ZO'!M51*VLOOKUP($F44,categoriePers,3,FALSE),0)</f>
        <v>0</v>
      </c>
      <c r="O44" s="1461">
        <f>ROUND('geg ZO'!N51*VLOOKUP($F44,categoriePers,3,FALSE),0)</f>
        <v>0</v>
      </c>
      <c r="P44" s="1461">
        <f>ROUND('geg ZO'!O51*VLOOKUP($F44,categoriePers,3,FALSE),0)</f>
        <v>0</v>
      </c>
      <c r="Q44" s="1037"/>
      <c r="R44" s="539"/>
    </row>
    <row r="45" spans="2:33" ht="13.15" customHeight="1" x14ac:dyDescent="0.2">
      <c r="B45" s="26"/>
      <c r="C45" s="1037"/>
      <c r="D45" s="1000" t="s">
        <v>40</v>
      </c>
      <c r="E45" s="1037"/>
      <c r="F45" s="1037" t="str">
        <f>IF('geg ZO'!E52=1,"categorie 1",IF('geg ZO'!E52=2,"categorie 2","categorie 3"))</f>
        <v>categorie 2</v>
      </c>
      <c r="G45" s="1076" t="s">
        <v>145</v>
      </c>
      <c r="H45" s="1037"/>
      <c r="I45" s="1461">
        <v>0</v>
      </c>
      <c r="J45" s="1461">
        <f>ROUND('geg ZO'!I52*VLOOKUP($F45,categoriePers,3,FALSE),0)</f>
        <v>0</v>
      </c>
      <c r="K45" s="1461">
        <f>ROUND('geg ZO'!J52*VLOOKUP($F45,categoriePers,3,FALSE),0)</f>
        <v>0</v>
      </c>
      <c r="L45" s="1461">
        <f>ROUND('geg ZO'!K52*VLOOKUP($F45,categoriePers,3,FALSE),0)</f>
        <v>0</v>
      </c>
      <c r="M45" s="1461">
        <f>ROUND('geg ZO'!L52*VLOOKUP($F45,categoriePers,3,FALSE),0)</f>
        <v>0</v>
      </c>
      <c r="N45" s="1461">
        <f>ROUND('geg ZO'!M52*VLOOKUP($F45,categoriePers,3,FALSE),0)</f>
        <v>0</v>
      </c>
      <c r="O45" s="1461">
        <f>ROUND('geg ZO'!N52*VLOOKUP($F45,categoriePers,3,FALSE),0)</f>
        <v>0</v>
      </c>
      <c r="P45" s="1461">
        <f>ROUND('geg ZO'!O52*VLOOKUP($F45,categoriePers,3,FALSE),0)</f>
        <v>0</v>
      </c>
      <c r="Q45" s="1037"/>
      <c r="R45" s="539"/>
    </row>
    <row r="46" spans="2:33" ht="13.15" customHeight="1" x14ac:dyDescent="0.2">
      <c r="B46" s="26"/>
      <c r="C46" s="1037"/>
      <c r="D46" s="1000"/>
      <c r="E46" s="1037"/>
      <c r="F46" s="1037" t="str">
        <f>IF('geg ZO'!E53=1,"categorie 1",IF('geg ZO'!E53=2,"categorie 2","categorie 3"))</f>
        <v>categorie 3</v>
      </c>
      <c r="G46" s="1076" t="s">
        <v>145</v>
      </c>
      <c r="H46" s="1037"/>
      <c r="I46" s="1461">
        <v>0</v>
      </c>
      <c r="J46" s="1461">
        <f>ROUND('geg ZO'!I53*VLOOKUP($F46,categoriePers,3,FALSE),0)</f>
        <v>0</v>
      </c>
      <c r="K46" s="1461">
        <f>ROUND('geg ZO'!J53*VLOOKUP($F46,categoriePers,3,FALSE),0)</f>
        <v>0</v>
      </c>
      <c r="L46" s="1461">
        <f>ROUND('geg ZO'!K53*VLOOKUP($F46,categoriePers,3,FALSE),0)</f>
        <v>0</v>
      </c>
      <c r="M46" s="1461">
        <f>ROUND('geg ZO'!L53*VLOOKUP($F46,categoriePers,3,FALSE),0)</f>
        <v>0</v>
      </c>
      <c r="N46" s="1461">
        <f>ROUND('geg ZO'!M53*VLOOKUP($F46,categoriePers,3,FALSE),0)</f>
        <v>0</v>
      </c>
      <c r="O46" s="1461">
        <f>ROUND('geg ZO'!N53*VLOOKUP($F46,categoriePers,3,FALSE),0)</f>
        <v>0</v>
      </c>
      <c r="P46" s="1461">
        <f>ROUND('geg ZO'!O53*VLOOKUP($F46,categoriePers,3,FALSE),0)</f>
        <v>0</v>
      </c>
      <c r="Q46" s="1037"/>
      <c r="R46" s="539"/>
    </row>
    <row r="47" spans="2:33" ht="13.15" customHeight="1" x14ac:dyDescent="0.2">
      <c r="B47" s="26"/>
      <c r="C47" s="1037"/>
      <c r="D47" s="1000"/>
      <c r="E47" s="1037"/>
      <c r="F47" s="1037" t="str">
        <f>IF('geg ZO'!E54=1,"categorie 1",IF('geg ZO'!E54=2,"categorie 2","categorie 3"))</f>
        <v>categorie 1</v>
      </c>
      <c r="G47" s="1076" t="s">
        <v>125</v>
      </c>
      <c r="H47" s="1037"/>
      <c r="I47" s="1461">
        <v>0</v>
      </c>
      <c r="J47" s="1461">
        <f>ROUND('geg ZO'!I54*VLOOKUP($F47,categoriePers8jreo,3,FALSE),0)</f>
        <v>0</v>
      </c>
      <c r="K47" s="1461">
        <f>ROUND('geg ZO'!J54*VLOOKUP($F47,categoriePers8jreo,3,FALSE),0)</f>
        <v>0</v>
      </c>
      <c r="L47" s="1461">
        <f>ROUND('geg ZO'!K54*VLOOKUP($F47,categoriePers8jreo,3,FALSE),0)</f>
        <v>0</v>
      </c>
      <c r="M47" s="1461">
        <f>ROUND('geg ZO'!L54*VLOOKUP($F47,categoriePers8jreo,3,FALSE),0)</f>
        <v>0</v>
      </c>
      <c r="N47" s="1461">
        <f>ROUND('geg ZO'!M54*VLOOKUP($F47,categoriePers8jreo,3,FALSE),0)</f>
        <v>0</v>
      </c>
      <c r="O47" s="1461">
        <f>ROUND('geg ZO'!N54*VLOOKUP($F47,categoriePers8jreo,3,FALSE),0)</f>
        <v>0</v>
      </c>
      <c r="P47" s="1461">
        <f>ROUND('geg ZO'!O54*VLOOKUP($F47,categoriePers8jreo,3,FALSE),0)</f>
        <v>0</v>
      </c>
      <c r="Q47" s="1037"/>
      <c r="R47" s="539"/>
    </row>
    <row r="48" spans="2:33" ht="13.15" customHeight="1" x14ac:dyDescent="0.2">
      <c r="B48" s="26"/>
      <c r="C48" s="1037"/>
      <c r="D48" s="1000"/>
      <c r="E48" s="1037"/>
      <c r="F48" s="1037" t="str">
        <f>IF('geg ZO'!E55=1,"categorie 1",IF('geg ZO'!E55=2,"categorie 2","categorie 3"))</f>
        <v>categorie 2</v>
      </c>
      <c r="G48" s="1076" t="s">
        <v>125</v>
      </c>
      <c r="H48" s="1037"/>
      <c r="I48" s="1461">
        <v>0</v>
      </c>
      <c r="J48" s="1461">
        <f>ROUND('geg ZO'!I55*VLOOKUP($F48,categoriePers8jreo,3,FALSE),0)</f>
        <v>0</v>
      </c>
      <c r="K48" s="1461">
        <f>ROUND('geg ZO'!J55*VLOOKUP($F48,categoriePers8jreo,3,FALSE),0)</f>
        <v>0</v>
      </c>
      <c r="L48" s="1461">
        <f>ROUND('geg ZO'!K55*VLOOKUP($F48,categoriePers8jreo,3,FALSE),0)</f>
        <v>0</v>
      </c>
      <c r="M48" s="1461">
        <f>ROUND('geg ZO'!L55*VLOOKUP($F48,categoriePers8jreo,3,FALSE),0)</f>
        <v>0</v>
      </c>
      <c r="N48" s="1461">
        <f>ROUND('geg ZO'!M55*VLOOKUP($F48,categoriePers8jreo,3,FALSE),0)</f>
        <v>0</v>
      </c>
      <c r="O48" s="1461">
        <f>ROUND('geg ZO'!N55*VLOOKUP($F48,categoriePers8jreo,3,FALSE),0)</f>
        <v>0</v>
      </c>
      <c r="P48" s="1461">
        <f>ROUND('geg ZO'!O55*VLOOKUP($F48,categoriePers8jreo,3,FALSE),0)</f>
        <v>0</v>
      </c>
      <c r="Q48" s="1037"/>
      <c r="R48" s="539"/>
    </row>
    <row r="49" spans="2:18" ht="13.15" customHeight="1" x14ac:dyDescent="0.2">
      <c r="B49" s="26"/>
      <c r="C49" s="1037"/>
      <c r="D49" s="1000"/>
      <c r="E49" s="1037"/>
      <c r="F49" s="1037" t="str">
        <f>IF('geg ZO'!E56=1,"categorie 1",IF('geg ZO'!E56=2,"categorie 2","categorie 3"))</f>
        <v>categorie 3</v>
      </c>
      <c r="G49" s="1076" t="s">
        <v>125</v>
      </c>
      <c r="H49" s="1037"/>
      <c r="I49" s="1461">
        <v>0</v>
      </c>
      <c r="J49" s="1461">
        <f>ROUND('geg ZO'!I56*VLOOKUP($F49,categoriePers8jreo,3,FALSE),0)</f>
        <v>0</v>
      </c>
      <c r="K49" s="1461">
        <f>ROUND('geg ZO'!J56*VLOOKUP($F49,categoriePers8jreo,3,FALSE),0)</f>
        <v>0</v>
      </c>
      <c r="L49" s="1461">
        <f>ROUND('geg ZO'!K56*VLOOKUP($F49,categoriePers8jreo,3,FALSE),0)</f>
        <v>0</v>
      </c>
      <c r="M49" s="1461">
        <f>ROUND('geg ZO'!L56*VLOOKUP($F49,categoriePers8jreo,3,FALSE),0)</f>
        <v>0</v>
      </c>
      <c r="N49" s="1461">
        <f>ROUND('geg ZO'!M56*VLOOKUP($F49,categoriePers8jreo,3,FALSE),0)</f>
        <v>0</v>
      </c>
      <c r="O49" s="1461">
        <f>ROUND('geg ZO'!N56*VLOOKUP($F49,categoriePers8jreo,3,FALSE),0)</f>
        <v>0</v>
      </c>
      <c r="P49" s="1461">
        <f>ROUND('geg ZO'!O56*VLOOKUP($F49,categoriePers8jreo,3,FALSE),0)</f>
        <v>0</v>
      </c>
      <c r="Q49" s="1037"/>
      <c r="R49" s="539"/>
    </row>
    <row r="50" spans="2:18" ht="13.15" customHeight="1" x14ac:dyDescent="0.2">
      <c r="B50" s="26"/>
      <c r="C50" s="1037"/>
      <c r="D50" s="1447" t="str">
        <f>'geg ZO'!D59</f>
        <v>Naam SO 2</v>
      </c>
      <c r="E50" s="1037"/>
      <c r="F50" s="1037" t="str">
        <f>IF('geg ZO'!E59=1,"categorie 1",IF('geg ZO'!E59=2,"categorie 2","categorie 3"))</f>
        <v>categorie 1</v>
      </c>
      <c r="G50" s="1076" t="s">
        <v>145</v>
      </c>
      <c r="H50" s="1037"/>
      <c r="I50" s="1461">
        <v>0</v>
      </c>
      <c r="J50" s="1461">
        <f>ROUND('geg ZO'!I59*VLOOKUP($F50,categoriePers,3,FALSE),0)</f>
        <v>0</v>
      </c>
      <c r="K50" s="1461">
        <f>ROUND('geg ZO'!J59*VLOOKUP($F50,categoriePers,3,FALSE),0)</f>
        <v>0</v>
      </c>
      <c r="L50" s="1461">
        <f>ROUND('geg ZO'!K59*VLOOKUP($F50,categoriePers,3,FALSE),0)</f>
        <v>0</v>
      </c>
      <c r="M50" s="1461">
        <f>ROUND('geg ZO'!L59*VLOOKUP($F50,categoriePers,3,FALSE),0)</f>
        <v>0</v>
      </c>
      <c r="N50" s="1461">
        <f>ROUND('geg ZO'!M59*VLOOKUP($F50,categoriePers,3,FALSE),0)</f>
        <v>0</v>
      </c>
      <c r="O50" s="1461">
        <f>ROUND('geg ZO'!N59*VLOOKUP($F50,categoriePers,3,FALSE),0)</f>
        <v>0</v>
      </c>
      <c r="P50" s="1461">
        <f>ROUND('geg ZO'!O59*VLOOKUP($F50,categoriePers,3,FALSE),0)</f>
        <v>0</v>
      </c>
      <c r="Q50" s="1037"/>
      <c r="R50" s="539"/>
    </row>
    <row r="51" spans="2:18" ht="13.15" customHeight="1" x14ac:dyDescent="0.2">
      <c r="B51" s="34"/>
      <c r="C51" s="1053"/>
      <c r="D51" s="1000" t="s">
        <v>40</v>
      </c>
      <c r="E51" s="1037"/>
      <c r="F51" s="1037" t="str">
        <f>IF('geg ZO'!E60=1,"categorie 1",IF('geg ZO'!E60=2,"categorie 2","categorie 3"))</f>
        <v>categorie 2</v>
      </c>
      <c r="G51" s="1076" t="s">
        <v>145</v>
      </c>
      <c r="H51" s="1037"/>
      <c r="I51" s="1461">
        <v>0</v>
      </c>
      <c r="J51" s="1461">
        <f>ROUND('geg ZO'!I60*VLOOKUP($F51,categoriePers,3,FALSE),0)</f>
        <v>0</v>
      </c>
      <c r="K51" s="1461">
        <f>ROUND('geg ZO'!J60*VLOOKUP($F51,categoriePers,3,FALSE),0)</f>
        <v>0</v>
      </c>
      <c r="L51" s="1461">
        <f>ROUND('geg ZO'!K60*VLOOKUP($F51,categoriePers,3,FALSE),0)</f>
        <v>0</v>
      </c>
      <c r="M51" s="1461">
        <f>ROUND('geg ZO'!L60*VLOOKUP($F51,categoriePers,3,FALSE),0)</f>
        <v>0</v>
      </c>
      <c r="N51" s="1461">
        <f>ROUND('geg ZO'!M60*VLOOKUP($F51,categoriePers,3,FALSE),0)</f>
        <v>0</v>
      </c>
      <c r="O51" s="1461">
        <f>ROUND('geg ZO'!N60*VLOOKUP($F51,categoriePers,3,FALSE),0)</f>
        <v>0</v>
      </c>
      <c r="P51" s="1461">
        <f>ROUND('geg ZO'!O60*VLOOKUP($F51,categoriePers,3,FALSE),0)</f>
        <v>0</v>
      </c>
      <c r="Q51" s="1053"/>
      <c r="R51" s="1178"/>
    </row>
    <row r="52" spans="2:18" ht="13.15" customHeight="1" x14ac:dyDescent="0.2">
      <c r="B52" s="34"/>
      <c r="C52" s="1053"/>
      <c r="D52" s="1000"/>
      <c r="E52" s="1037"/>
      <c r="F52" s="1037" t="str">
        <f>IF('geg ZO'!E61=1,"categorie 1",IF('geg ZO'!E61=2,"categorie 2","categorie 3"))</f>
        <v>categorie 3</v>
      </c>
      <c r="G52" s="1076" t="s">
        <v>145</v>
      </c>
      <c r="H52" s="1037"/>
      <c r="I52" s="1461">
        <v>0</v>
      </c>
      <c r="J52" s="1461">
        <f>ROUND('geg ZO'!I61*VLOOKUP($F52,categoriePers,3,FALSE),0)</f>
        <v>0</v>
      </c>
      <c r="K52" s="1461">
        <f>ROUND('geg ZO'!J61*VLOOKUP($F52,categoriePers,3,FALSE),0)</f>
        <v>0</v>
      </c>
      <c r="L52" s="1461">
        <f>ROUND('geg ZO'!K61*VLOOKUP($F52,categoriePers,3,FALSE),0)</f>
        <v>0</v>
      </c>
      <c r="M52" s="1461">
        <f>ROUND('geg ZO'!L61*VLOOKUP($F52,categoriePers,3,FALSE),0)</f>
        <v>0</v>
      </c>
      <c r="N52" s="1461">
        <f>ROUND('geg ZO'!M61*VLOOKUP($F52,categoriePers,3,FALSE),0)</f>
        <v>0</v>
      </c>
      <c r="O52" s="1461">
        <f>ROUND('geg ZO'!N61*VLOOKUP($F52,categoriePers,3,FALSE),0)</f>
        <v>0</v>
      </c>
      <c r="P52" s="1461">
        <f>ROUND('geg ZO'!O61*VLOOKUP($F52,categoriePers,3,FALSE),0)</f>
        <v>0</v>
      </c>
      <c r="Q52" s="1053"/>
      <c r="R52" s="1178"/>
    </row>
    <row r="53" spans="2:18" ht="13.15" customHeight="1" x14ac:dyDescent="0.2">
      <c r="B53" s="34"/>
      <c r="C53" s="1053"/>
      <c r="D53" s="1000"/>
      <c r="E53" s="1037"/>
      <c r="F53" s="1037" t="str">
        <f>IF('geg ZO'!E62=1,"categorie 1",IF('geg ZO'!E62=2,"categorie 2","categorie 3"))</f>
        <v>categorie 1</v>
      </c>
      <c r="G53" s="1076" t="s">
        <v>125</v>
      </c>
      <c r="H53" s="1037"/>
      <c r="I53" s="1461">
        <v>0</v>
      </c>
      <c r="J53" s="1461">
        <f>ROUND('geg ZO'!I62*VLOOKUP($F53,categoriePers8jreo,3,FALSE),0)</f>
        <v>0</v>
      </c>
      <c r="K53" s="1461">
        <f>ROUND('geg ZO'!J62*VLOOKUP($F53,categoriePers8jreo,3,FALSE),0)</f>
        <v>0</v>
      </c>
      <c r="L53" s="1461">
        <f>ROUND('geg ZO'!K62*VLOOKUP($F53,categoriePers8jreo,3,FALSE),0)</f>
        <v>0</v>
      </c>
      <c r="M53" s="1461">
        <f>ROUND('geg ZO'!L62*VLOOKUP($F53,categoriePers8jreo,3,FALSE),0)</f>
        <v>0</v>
      </c>
      <c r="N53" s="1461">
        <f>ROUND('geg ZO'!M62*VLOOKUP($F53,categoriePers8jreo,3,FALSE),0)</f>
        <v>0</v>
      </c>
      <c r="O53" s="1461">
        <f>ROUND('geg ZO'!N62*VLOOKUP($F53,categoriePers8jreo,3,FALSE),0)</f>
        <v>0</v>
      </c>
      <c r="P53" s="1461">
        <f>ROUND('geg ZO'!O62*VLOOKUP($F53,categoriePers8jreo,3,FALSE),0)</f>
        <v>0</v>
      </c>
      <c r="Q53" s="1053"/>
      <c r="R53" s="1178"/>
    </row>
    <row r="54" spans="2:18" ht="13.15" customHeight="1" x14ac:dyDescent="0.2">
      <c r="B54" s="34"/>
      <c r="C54" s="1053"/>
      <c r="D54" s="1000"/>
      <c r="E54" s="1037"/>
      <c r="F54" s="1037" t="str">
        <f>IF('geg ZO'!E63=1,"categorie 1",IF('geg ZO'!E63=2,"categorie 2","categorie 3"))</f>
        <v>categorie 2</v>
      </c>
      <c r="G54" s="1076" t="s">
        <v>125</v>
      </c>
      <c r="H54" s="1037"/>
      <c r="I54" s="1461">
        <v>0</v>
      </c>
      <c r="J54" s="1461">
        <f>ROUND('geg ZO'!I63*VLOOKUP($F54,categoriePers8jreo,3,FALSE),0)</f>
        <v>0</v>
      </c>
      <c r="K54" s="1461">
        <f>ROUND('geg ZO'!J63*VLOOKUP($F54,categoriePers8jreo,3,FALSE),0)</f>
        <v>0</v>
      </c>
      <c r="L54" s="1461">
        <f>ROUND('geg ZO'!K63*VLOOKUP($F54,categoriePers8jreo,3,FALSE),0)</f>
        <v>0</v>
      </c>
      <c r="M54" s="1461">
        <f>ROUND('geg ZO'!L63*VLOOKUP($F54,categoriePers8jreo,3,FALSE),0)</f>
        <v>0</v>
      </c>
      <c r="N54" s="1461">
        <f>ROUND('geg ZO'!M63*VLOOKUP($F54,categoriePers8jreo,3,FALSE),0)</f>
        <v>0</v>
      </c>
      <c r="O54" s="1461">
        <f>ROUND('geg ZO'!N63*VLOOKUP($F54,categoriePers8jreo,3,FALSE),0)</f>
        <v>0</v>
      </c>
      <c r="P54" s="1461">
        <f>ROUND('geg ZO'!O63*VLOOKUP($F54,categoriePers8jreo,3,FALSE),0)</f>
        <v>0</v>
      </c>
      <c r="Q54" s="1053"/>
      <c r="R54" s="1178"/>
    </row>
    <row r="55" spans="2:18" ht="13.15" customHeight="1" x14ac:dyDescent="0.2">
      <c r="B55" s="34"/>
      <c r="C55" s="1053"/>
      <c r="D55" s="1000"/>
      <c r="E55" s="1037"/>
      <c r="F55" s="1037" t="str">
        <f>IF('geg ZO'!E64=1,"categorie 1",IF('geg ZO'!E64=2,"categorie 2","categorie 3"))</f>
        <v>categorie 3</v>
      </c>
      <c r="G55" s="1076" t="s">
        <v>125</v>
      </c>
      <c r="H55" s="1037"/>
      <c r="I55" s="1461">
        <v>0</v>
      </c>
      <c r="J55" s="1461">
        <f>ROUND('geg ZO'!I64*VLOOKUP($F55,categoriePers8jreo,3,FALSE),0)</f>
        <v>0</v>
      </c>
      <c r="K55" s="1461">
        <f>ROUND('geg ZO'!J64*VLOOKUP($F55,categoriePers8jreo,3,FALSE),0)</f>
        <v>0</v>
      </c>
      <c r="L55" s="1461">
        <f>ROUND('geg ZO'!K64*VLOOKUP($F55,categoriePers8jreo,3,FALSE),0)</f>
        <v>0</v>
      </c>
      <c r="M55" s="1461">
        <f>ROUND('geg ZO'!L64*VLOOKUP($F55,categoriePers8jreo,3,FALSE),0)</f>
        <v>0</v>
      </c>
      <c r="N55" s="1461">
        <f>ROUND('geg ZO'!M64*VLOOKUP($F55,categoriePers8jreo,3,FALSE),0)</f>
        <v>0</v>
      </c>
      <c r="O55" s="1461">
        <f>ROUND('geg ZO'!N64*VLOOKUP($F55,categoriePers8jreo,3,FALSE),0)</f>
        <v>0</v>
      </c>
      <c r="P55" s="1461">
        <f>ROUND('geg ZO'!O64*VLOOKUP($F55,categoriePers8jreo,3,FALSE),0)</f>
        <v>0</v>
      </c>
      <c r="Q55" s="1053"/>
      <c r="R55" s="1178"/>
    </row>
    <row r="56" spans="2:18" ht="13.15" customHeight="1" x14ac:dyDescent="0.2">
      <c r="B56" s="34"/>
      <c r="C56" s="1053"/>
      <c r="D56" s="1447" t="str">
        <f>'geg ZO'!D67</f>
        <v>Naam SO 3</v>
      </c>
      <c r="E56" s="1037"/>
      <c r="F56" s="1037" t="str">
        <f>IF('geg ZO'!E67=1,"categorie 1",IF('geg ZO'!E67=2,"categorie 2","categorie 3"))</f>
        <v>categorie 1</v>
      </c>
      <c r="G56" s="1076" t="s">
        <v>145</v>
      </c>
      <c r="H56" s="1037"/>
      <c r="I56" s="1461">
        <v>0</v>
      </c>
      <c r="J56" s="1461">
        <f>ROUND('geg ZO'!I67*VLOOKUP($F56,categoriePers,3,FALSE),0)</f>
        <v>0</v>
      </c>
      <c r="K56" s="1461">
        <f>ROUND('geg ZO'!J67*VLOOKUP($F56,categoriePers,3,FALSE),0)</f>
        <v>0</v>
      </c>
      <c r="L56" s="1461">
        <f>ROUND('geg ZO'!K67*VLOOKUP($F56,categoriePers,3,FALSE),0)</f>
        <v>0</v>
      </c>
      <c r="M56" s="1461">
        <f>ROUND('geg ZO'!L67*VLOOKUP($F56,categoriePers,3,FALSE),0)</f>
        <v>0</v>
      </c>
      <c r="N56" s="1461">
        <f>ROUND('geg ZO'!M67*VLOOKUP($F56,categoriePers,3,FALSE),0)</f>
        <v>0</v>
      </c>
      <c r="O56" s="1461">
        <f>ROUND('geg ZO'!N67*VLOOKUP($F56,categoriePers,3,FALSE),0)</f>
        <v>0</v>
      </c>
      <c r="P56" s="1461">
        <f>ROUND('geg ZO'!O67*VLOOKUP($F56,categoriePers,3,FALSE),0)</f>
        <v>0</v>
      </c>
      <c r="Q56" s="1053"/>
      <c r="R56" s="1178"/>
    </row>
    <row r="57" spans="2:18" ht="13.15" customHeight="1" x14ac:dyDescent="0.2">
      <c r="B57" s="34"/>
      <c r="C57" s="1053"/>
      <c r="D57" s="1000" t="s">
        <v>40</v>
      </c>
      <c r="E57" s="1037"/>
      <c r="F57" s="1037" t="str">
        <f>IF('geg ZO'!E68=1,"categorie 1",IF('geg ZO'!E68=2,"categorie 2","categorie 3"))</f>
        <v>categorie 2</v>
      </c>
      <c r="G57" s="1076" t="s">
        <v>145</v>
      </c>
      <c r="H57" s="1037"/>
      <c r="I57" s="1461">
        <v>0</v>
      </c>
      <c r="J57" s="1461">
        <f>ROUND('geg ZO'!I68*VLOOKUP($F57,categoriePers,3,FALSE),0)</f>
        <v>0</v>
      </c>
      <c r="K57" s="1461">
        <f>ROUND('geg ZO'!J68*VLOOKUP($F57,categoriePers,3,FALSE),0)</f>
        <v>0</v>
      </c>
      <c r="L57" s="1461">
        <f>ROUND('geg ZO'!K68*VLOOKUP($F57,categoriePers,3,FALSE),0)</f>
        <v>0</v>
      </c>
      <c r="M57" s="1461">
        <f>ROUND('geg ZO'!L68*VLOOKUP($F57,categoriePers,3,FALSE),0)</f>
        <v>0</v>
      </c>
      <c r="N57" s="1461">
        <f>ROUND('geg ZO'!M68*VLOOKUP($F57,categoriePers,3,FALSE),0)</f>
        <v>0</v>
      </c>
      <c r="O57" s="1461">
        <f>ROUND('geg ZO'!N68*VLOOKUP($F57,categoriePers,3,FALSE),0)</f>
        <v>0</v>
      </c>
      <c r="P57" s="1461">
        <f>ROUND('geg ZO'!O68*VLOOKUP($F57,categoriePers,3,FALSE),0)</f>
        <v>0</v>
      </c>
      <c r="Q57" s="1053"/>
      <c r="R57" s="1178"/>
    </row>
    <row r="58" spans="2:18" ht="13.15" customHeight="1" x14ac:dyDescent="0.2">
      <c r="B58" s="34"/>
      <c r="C58" s="1053"/>
      <c r="D58" s="1000"/>
      <c r="E58" s="1037"/>
      <c r="F58" s="1037" t="str">
        <f>IF('geg ZO'!E69=1,"categorie 1",IF('geg ZO'!E69=2,"categorie 2","categorie 3"))</f>
        <v>categorie 3</v>
      </c>
      <c r="G58" s="1076" t="s">
        <v>145</v>
      </c>
      <c r="H58" s="1037"/>
      <c r="I58" s="1461">
        <v>0</v>
      </c>
      <c r="J58" s="1461">
        <f>ROUND('geg ZO'!I69*VLOOKUP($F58,categoriePers,3,FALSE),0)</f>
        <v>0</v>
      </c>
      <c r="K58" s="1461">
        <f>ROUND('geg ZO'!J69*VLOOKUP($F58,categoriePers,3,FALSE),0)</f>
        <v>0</v>
      </c>
      <c r="L58" s="1461">
        <f>ROUND('geg ZO'!K69*VLOOKUP($F58,categoriePers,3,FALSE),0)</f>
        <v>0</v>
      </c>
      <c r="M58" s="1461">
        <f>ROUND('geg ZO'!L69*VLOOKUP($F58,categoriePers,3,FALSE),0)</f>
        <v>0</v>
      </c>
      <c r="N58" s="1461">
        <f>ROUND('geg ZO'!M69*VLOOKUP($F58,categoriePers,3,FALSE),0)</f>
        <v>0</v>
      </c>
      <c r="O58" s="1461">
        <f>ROUND('geg ZO'!N69*VLOOKUP($F58,categoriePers,3,FALSE),0)</f>
        <v>0</v>
      </c>
      <c r="P58" s="1461">
        <f>ROUND('geg ZO'!O69*VLOOKUP($F58,categoriePers,3,FALSE),0)</f>
        <v>0</v>
      </c>
      <c r="Q58" s="1053"/>
      <c r="R58" s="1178"/>
    </row>
    <row r="59" spans="2:18" ht="13.15" customHeight="1" x14ac:dyDescent="0.2">
      <c r="B59" s="34"/>
      <c r="C59" s="1053"/>
      <c r="D59" s="1000"/>
      <c r="E59" s="1037"/>
      <c r="F59" s="1037" t="str">
        <f>IF('geg ZO'!E70=1,"categorie 1",IF('geg ZO'!E70=2,"categorie 2","categorie 3"))</f>
        <v>categorie 1</v>
      </c>
      <c r="G59" s="1076" t="s">
        <v>125</v>
      </c>
      <c r="H59" s="1037"/>
      <c r="I59" s="1461">
        <v>0</v>
      </c>
      <c r="J59" s="1461">
        <f>ROUND('geg ZO'!I70*VLOOKUP($F59,categoriePers8jreo,3,FALSE),0)</f>
        <v>0</v>
      </c>
      <c r="K59" s="1461">
        <f>ROUND('geg ZO'!J70*VLOOKUP($F59,categoriePers8jreo,3,FALSE),0)</f>
        <v>0</v>
      </c>
      <c r="L59" s="1461">
        <f>ROUND('geg ZO'!K70*VLOOKUP($F59,categoriePers8jreo,3,FALSE),0)</f>
        <v>0</v>
      </c>
      <c r="M59" s="1461">
        <f>ROUND('geg ZO'!L70*VLOOKUP($F59,categoriePers8jreo,3,FALSE),0)</f>
        <v>0</v>
      </c>
      <c r="N59" s="1461">
        <f>ROUND('geg ZO'!M70*VLOOKUP($F59,categoriePers8jreo,3,FALSE),0)</f>
        <v>0</v>
      </c>
      <c r="O59" s="1461">
        <f>ROUND('geg ZO'!N70*VLOOKUP($F59,categoriePers8jreo,3,FALSE),0)</f>
        <v>0</v>
      </c>
      <c r="P59" s="1461">
        <f>ROUND('geg ZO'!O70*VLOOKUP($F59,categoriePers8jreo,3,FALSE),0)</f>
        <v>0</v>
      </c>
      <c r="Q59" s="1053"/>
      <c r="R59" s="1178"/>
    </row>
    <row r="60" spans="2:18" ht="13.15" customHeight="1" x14ac:dyDescent="0.2">
      <c r="B60" s="34"/>
      <c r="C60" s="1053"/>
      <c r="D60" s="1000"/>
      <c r="E60" s="1037"/>
      <c r="F60" s="1037" t="str">
        <f>IF('geg ZO'!E71=1,"categorie 1",IF('geg ZO'!E71=2,"categorie 2","categorie 3"))</f>
        <v>categorie 2</v>
      </c>
      <c r="G60" s="1076" t="s">
        <v>125</v>
      </c>
      <c r="H60" s="1037"/>
      <c r="I60" s="1461">
        <v>0</v>
      </c>
      <c r="J60" s="1461">
        <f>ROUND('geg ZO'!I71*VLOOKUP($F60,categoriePers8jreo,3,FALSE),0)</f>
        <v>0</v>
      </c>
      <c r="K60" s="1461">
        <f>ROUND('geg ZO'!J71*VLOOKUP($F60,categoriePers8jreo,3,FALSE),0)</f>
        <v>0</v>
      </c>
      <c r="L60" s="1461">
        <f>ROUND('geg ZO'!K71*VLOOKUP($F60,categoriePers8jreo,3,FALSE),0)</f>
        <v>0</v>
      </c>
      <c r="M60" s="1461">
        <f>ROUND('geg ZO'!L71*VLOOKUP($F60,categoriePers8jreo,3,FALSE),0)</f>
        <v>0</v>
      </c>
      <c r="N60" s="1461">
        <f>ROUND('geg ZO'!M71*VLOOKUP($F60,categoriePers8jreo,3,FALSE),0)</f>
        <v>0</v>
      </c>
      <c r="O60" s="1461">
        <f>ROUND('geg ZO'!N71*VLOOKUP($F60,categoriePers8jreo,3,FALSE),0)</f>
        <v>0</v>
      </c>
      <c r="P60" s="1461">
        <f>ROUND('geg ZO'!O71*VLOOKUP($F60,categoriePers8jreo,3,FALSE),0)</f>
        <v>0</v>
      </c>
      <c r="Q60" s="1053"/>
      <c r="R60" s="1178"/>
    </row>
    <row r="61" spans="2:18" ht="13.15" customHeight="1" x14ac:dyDescent="0.2">
      <c r="B61" s="34"/>
      <c r="C61" s="1053"/>
      <c r="D61" s="1000"/>
      <c r="E61" s="1037"/>
      <c r="F61" s="1037" t="str">
        <f>IF('geg ZO'!E72=1,"categorie 1",IF('geg ZO'!E72=2,"categorie 2","categorie 3"))</f>
        <v>categorie 3</v>
      </c>
      <c r="G61" s="1076" t="s">
        <v>125</v>
      </c>
      <c r="H61" s="1037"/>
      <c r="I61" s="1461">
        <v>0</v>
      </c>
      <c r="J61" s="1461">
        <f>ROUND('geg ZO'!I72*VLOOKUP($F61,categoriePers8jreo,3,FALSE),0)</f>
        <v>0</v>
      </c>
      <c r="K61" s="1461">
        <f>ROUND('geg ZO'!J72*VLOOKUP($F61,categoriePers8jreo,3,FALSE),0)</f>
        <v>0</v>
      </c>
      <c r="L61" s="1461">
        <f>ROUND('geg ZO'!K72*VLOOKUP($F61,categoriePers8jreo,3,FALSE),0)</f>
        <v>0</v>
      </c>
      <c r="M61" s="1461">
        <f>ROUND('geg ZO'!L72*VLOOKUP($F61,categoriePers8jreo,3,FALSE),0)</f>
        <v>0</v>
      </c>
      <c r="N61" s="1461">
        <f>ROUND('geg ZO'!M72*VLOOKUP($F61,categoriePers8jreo,3,FALSE),0)</f>
        <v>0</v>
      </c>
      <c r="O61" s="1461">
        <f>ROUND('geg ZO'!N72*VLOOKUP($F61,categoriePers8jreo,3,FALSE),0)</f>
        <v>0</v>
      </c>
      <c r="P61" s="1461">
        <f>ROUND('geg ZO'!O72*VLOOKUP($F61,categoriePers8jreo,3,FALSE),0)</f>
        <v>0</v>
      </c>
      <c r="Q61" s="1053"/>
      <c r="R61" s="1178"/>
    </row>
    <row r="62" spans="2:18" ht="13.15" customHeight="1" x14ac:dyDescent="0.2">
      <c r="B62" s="26"/>
      <c r="C62" s="1037"/>
      <c r="D62" s="1447" t="str">
        <f>'geg ZO'!D75</f>
        <v>Naam SO 4</v>
      </c>
      <c r="E62" s="1037"/>
      <c r="F62" s="1037" t="str">
        <f>IF('geg ZO'!E75=1,"categorie 1",IF('geg ZO'!E75=2,"categorie 2","categorie 3"))</f>
        <v>categorie 1</v>
      </c>
      <c r="G62" s="1076" t="s">
        <v>145</v>
      </c>
      <c r="H62" s="1037"/>
      <c r="I62" s="1461">
        <v>0</v>
      </c>
      <c r="J62" s="1461">
        <f>ROUND('geg ZO'!I75*VLOOKUP($F62,categoriePers,3,FALSE),0)</f>
        <v>0</v>
      </c>
      <c r="K62" s="1461">
        <f>ROUND('geg ZO'!J75*VLOOKUP($F62,categoriePers,3,FALSE),0)</f>
        <v>0</v>
      </c>
      <c r="L62" s="1461">
        <f>ROUND('geg ZO'!K75*VLOOKUP($F62,categoriePers,3,FALSE),0)</f>
        <v>0</v>
      </c>
      <c r="M62" s="1461">
        <f>ROUND('geg ZO'!L75*VLOOKUP($F62,categoriePers,3,FALSE),0)</f>
        <v>0</v>
      </c>
      <c r="N62" s="1461">
        <f>ROUND('geg ZO'!M75*VLOOKUP($F62,categoriePers,3,FALSE),0)</f>
        <v>0</v>
      </c>
      <c r="O62" s="1461">
        <f>ROUND('geg ZO'!N75*VLOOKUP($F62,categoriePers,3,FALSE),0)</f>
        <v>0</v>
      </c>
      <c r="P62" s="1461">
        <f>ROUND('geg ZO'!O75*VLOOKUP($F62,categoriePers,3,FALSE),0)</f>
        <v>0</v>
      </c>
      <c r="Q62" s="1037"/>
      <c r="R62" s="539"/>
    </row>
    <row r="63" spans="2:18" ht="13.15" customHeight="1" x14ac:dyDescent="0.2">
      <c r="B63" s="26"/>
      <c r="C63" s="1037"/>
      <c r="D63" s="1000" t="s">
        <v>40</v>
      </c>
      <c r="E63" s="1037"/>
      <c r="F63" s="1037" t="str">
        <f>IF('geg ZO'!E76=1,"categorie 1",IF('geg ZO'!E76=2,"categorie 2","categorie 3"))</f>
        <v>categorie 2</v>
      </c>
      <c r="G63" s="1076" t="s">
        <v>145</v>
      </c>
      <c r="H63" s="1037"/>
      <c r="I63" s="1461">
        <v>0</v>
      </c>
      <c r="J63" s="1461">
        <f>ROUND('geg ZO'!I76*VLOOKUP($F63,categoriePers,3,FALSE),0)</f>
        <v>0</v>
      </c>
      <c r="K63" s="1461">
        <f>ROUND('geg ZO'!J76*VLOOKUP($F63,categoriePers,3,FALSE),0)</f>
        <v>0</v>
      </c>
      <c r="L63" s="1461">
        <f>ROUND('geg ZO'!K76*VLOOKUP($F63,categoriePers,3,FALSE),0)</f>
        <v>0</v>
      </c>
      <c r="M63" s="1461">
        <f>ROUND('geg ZO'!L76*VLOOKUP($F63,categoriePers,3,FALSE),0)</f>
        <v>0</v>
      </c>
      <c r="N63" s="1461">
        <f>ROUND('geg ZO'!M76*VLOOKUP($F63,categoriePers,3,FALSE),0)</f>
        <v>0</v>
      </c>
      <c r="O63" s="1461">
        <f>ROUND('geg ZO'!N76*VLOOKUP($F63,categoriePers,3,FALSE),0)</f>
        <v>0</v>
      </c>
      <c r="P63" s="1461">
        <f>ROUND('geg ZO'!O76*VLOOKUP($F63,categoriePers,3,FALSE),0)</f>
        <v>0</v>
      </c>
      <c r="Q63" s="1037"/>
      <c r="R63" s="539"/>
    </row>
    <row r="64" spans="2:18" ht="13.15" customHeight="1" x14ac:dyDescent="0.2">
      <c r="B64" s="26"/>
      <c r="C64" s="1037"/>
      <c r="D64" s="1000"/>
      <c r="E64" s="1037"/>
      <c r="F64" s="1037" t="str">
        <f>IF('geg ZO'!E77=1,"categorie 1",IF('geg ZO'!E77=2,"categorie 2","categorie 3"))</f>
        <v>categorie 3</v>
      </c>
      <c r="G64" s="1076" t="s">
        <v>145</v>
      </c>
      <c r="H64" s="1037"/>
      <c r="I64" s="1461">
        <v>0</v>
      </c>
      <c r="J64" s="1461">
        <f>ROUND('geg ZO'!I77*VLOOKUP($F64,categoriePers,3,FALSE),0)</f>
        <v>0</v>
      </c>
      <c r="K64" s="1461">
        <f>ROUND('geg ZO'!J77*VLOOKUP($F64,categoriePers,3,FALSE),0)</f>
        <v>0</v>
      </c>
      <c r="L64" s="1461">
        <f>ROUND('geg ZO'!K77*VLOOKUP($F64,categoriePers,3,FALSE),0)</f>
        <v>0</v>
      </c>
      <c r="M64" s="1461">
        <f>ROUND('geg ZO'!L77*VLOOKUP($F64,categoriePers,3,FALSE),0)</f>
        <v>0</v>
      </c>
      <c r="N64" s="1461">
        <f>ROUND('geg ZO'!M77*VLOOKUP($F64,categoriePers,3,FALSE),0)</f>
        <v>0</v>
      </c>
      <c r="O64" s="1461">
        <f>ROUND('geg ZO'!N77*VLOOKUP($F64,categoriePers,3,FALSE),0)</f>
        <v>0</v>
      </c>
      <c r="P64" s="1461">
        <f>ROUND('geg ZO'!O77*VLOOKUP($F64,categoriePers,3,FALSE),0)</f>
        <v>0</v>
      </c>
      <c r="Q64" s="1037"/>
      <c r="R64" s="539"/>
    </row>
    <row r="65" spans="2:18" ht="13.15" customHeight="1" x14ac:dyDescent="0.2">
      <c r="B65" s="26"/>
      <c r="C65" s="1037"/>
      <c r="D65" s="1000"/>
      <c r="E65" s="1037"/>
      <c r="F65" s="1037" t="str">
        <f>IF('geg ZO'!E78=1,"categorie 1",IF('geg ZO'!E78=2,"categorie 2","categorie 3"))</f>
        <v>categorie 1</v>
      </c>
      <c r="G65" s="1076" t="s">
        <v>125</v>
      </c>
      <c r="H65" s="1037"/>
      <c r="I65" s="1461">
        <v>0</v>
      </c>
      <c r="J65" s="1461">
        <f>ROUND('geg ZO'!I78*VLOOKUP($F65,categoriePers8jreo,3,FALSE),0)</f>
        <v>0</v>
      </c>
      <c r="K65" s="1461">
        <f>ROUND('geg ZO'!J78*VLOOKUP($F65,categoriePers8jreo,3,FALSE),0)</f>
        <v>0</v>
      </c>
      <c r="L65" s="1461">
        <f>ROUND('geg ZO'!K78*VLOOKUP($F65,categoriePers8jreo,3,FALSE),0)</f>
        <v>0</v>
      </c>
      <c r="M65" s="1461">
        <f>ROUND('geg ZO'!L78*VLOOKUP($F65,categoriePers8jreo,3,FALSE),0)</f>
        <v>0</v>
      </c>
      <c r="N65" s="1461">
        <f>ROUND('geg ZO'!M78*VLOOKUP($F65,categoriePers8jreo,3,FALSE),0)</f>
        <v>0</v>
      </c>
      <c r="O65" s="1461">
        <f>ROUND('geg ZO'!N78*VLOOKUP($F65,categoriePers8jreo,3,FALSE),0)</f>
        <v>0</v>
      </c>
      <c r="P65" s="1461">
        <f>ROUND('geg ZO'!O78*VLOOKUP($F65,categoriePers8jreo,3,FALSE),0)</f>
        <v>0</v>
      </c>
      <c r="Q65" s="1037"/>
      <c r="R65" s="539"/>
    </row>
    <row r="66" spans="2:18" ht="13.15" customHeight="1" x14ac:dyDescent="0.2">
      <c r="B66" s="26"/>
      <c r="C66" s="1037"/>
      <c r="D66" s="1000"/>
      <c r="E66" s="1037"/>
      <c r="F66" s="1037" t="str">
        <f>IF('geg ZO'!E79=1,"categorie 1",IF('geg ZO'!E79=2,"categorie 2","categorie 3"))</f>
        <v>categorie 2</v>
      </c>
      <c r="G66" s="1076" t="s">
        <v>125</v>
      </c>
      <c r="H66" s="1037"/>
      <c r="I66" s="1461">
        <v>0</v>
      </c>
      <c r="J66" s="1461">
        <f>ROUND('geg ZO'!I79*VLOOKUP($F66,categoriePers8jreo,3,FALSE),0)</f>
        <v>0</v>
      </c>
      <c r="K66" s="1461">
        <f>ROUND('geg ZO'!J79*VLOOKUP($F66,categoriePers8jreo,3,FALSE),0)</f>
        <v>0</v>
      </c>
      <c r="L66" s="1461">
        <f>ROUND('geg ZO'!K79*VLOOKUP($F66,categoriePers8jreo,3,FALSE),0)</f>
        <v>0</v>
      </c>
      <c r="M66" s="1461">
        <f>ROUND('geg ZO'!L79*VLOOKUP($F66,categoriePers8jreo,3,FALSE),0)</f>
        <v>0</v>
      </c>
      <c r="N66" s="1461">
        <f>ROUND('geg ZO'!M79*VLOOKUP($F66,categoriePers8jreo,3,FALSE),0)</f>
        <v>0</v>
      </c>
      <c r="O66" s="1461">
        <f>ROUND('geg ZO'!N79*VLOOKUP($F66,categoriePers8jreo,3,FALSE),0)</f>
        <v>0</v>
      </c>
      <c r="P66" s="1461">
        <f>ROUND('geg ZO'!O79*VLOOKUP($F66,categoriePers8jreo,3,FALSE),0)</f>
        <v>0</v>
      </c>
      <c r="Q66" s="1037"/>
      <c r="R66" s="539"/>
    </row>
    <row r="67" spans="2:18" ht="13.15" customHeight="1" x14ac:dyDescent="0.2">
      <c r="B67" s="26"/>
      <c r="C67" s="1037"/>
      <c r="D67" s="1000"/>
      <c r="E67" s="1037"/>
      <c r="F67" s="1037" t="str">
        <f>IF('geg ZO'!E80=1,"categorie 1",IF('geg ZO'!E80=2,"categorie 2","categorie 3"))</f>
        <v>categorie 3</v>
      </c>
      <c r="G67" s="1076" t="s">
        <v>125</v>
      </c>
      <c r="H67" s="1037"/>
      <c r="I67" s="1461">
        <v>0</v>
      </c>
      <c r="J67" s="1461">
        <f>ROUND('geg ZO'!I80*VLOOKUP($F67,categoriePers8jreo,3,FALSE),0)</f>
        <v>0</v>
      </c>
      <c r="K67" s="1461">
        <f>ROUND('geg ZO'!J80*VLOOKUP($F67,categoriePers8jreo,3,FALSE),0)</f>
        <v>0</v>
      </c>
      <c r="L67" s="1461">
        <f>ROUND('geg ZO'!K80*VLOOKUP($F67,categoriePers8jreo,3,FALSE),0)</f>
        <v>0</v>
      </c>
      <c r="M67" s="1461">
        <f>ROUND('geg ZO'!L80*VLOOKUP($F67,categoriePers8jreo,3,FALSE),0)</f>
        <v>0</v>
      </c>
      <c r="N67" s="1461">
        <f>ROUND('geg ZO'!M80*VLOOKUP($F67,categoriePers8jreo,3,FALSE),0)</f>
        <v>0</v>
      </c>
      <c r="O67" s="1461">
        <f>ROUND('geg ZO'!N80*VLOOKUP($F67,categoriePers8jreo,3,FALSE),0)</f>
        <v>0</v>
      </c>
      <c r="P67" s="1461">
        <f>ROUND('geg ZO'!O80*VLOOKUP($F67,categoriePers8jreo,3,FALSE),0)</f>
        <v>0</v>
      </c>
      <c r="Q67" s="1037"/>
      <c r="R67" s="539"/>
    </row>
    <row r="68" spans="2:18" ht="13.15" customHeight="1" x14ac:dyDescent="0.2">
      <c r="B68" s="26"/>
      <c r="C68" s="1037"/>
      <c r="D68" s="1447" t="str">
        <f>'geg ZO'!D83</f>
        <v>Naam SO 5</v>
      </c>
      <c r="E68" s="1037"/>
      <c r="F68" s="1037" t="str">
        <f>IF('geg ZO'!E83=1,"categorie 1",IF('geg ZO'!E83=2,"categorie 2","categorie 3"))</f>
        <v>categorie 1</v>
      </c>
      <c r="G68" s="1076" t="s">
        <v>145</v>
      </c>
      <c r="H68" s="1037"/>
      <c r="I68" s="1461">
        <v>0</v>
      </c>
      <c r="J68" s="1461">
        <f>ROUND('geg ZO'!I83*VLOOKUP($F68,categoriePers,3,FALSE),0)</f>
        <v>0</v>
      </c>
      <c r="K68" s="1461">
        <f>ROUND('geg ZO'!J83*VLOOKUP($F68,categoriePers,3,FALSE),0)</f>
        <v>0</v>
      </c>
      <c r="L68" s="1461">
        <f>ROUND('geg ZO'!K83*VLOOKUP($F68,categoriePers,3,FALSE),0)</f>
        <v>0</v>
      </c>
      <c r="M68" s="1461">
        <f>ROUND('geg ZO'!L83*VLOOKUP($F68,categoriePers,3,FALSE),0)</f>
        <v>0</v>
      </c>
      <c r="N68" s="1461">
        <f>ROUND('geg ZO'!M83*VLOOKUP($F68,categoriePers,3,FALSE),0)</f>
        <v>0</v>
      </c>
      <c r="O68" s="1461">
        <f>ROUND('geg ZO'!N83*VLOOKUP($F68,categoriePers,3,FALSE),0)</f>
        <v>0</v>
      </c>
      <c r="P68" s="1461">
        <f>ROUND('geg ZO'!O83*VLOOKUP($F68,categoriePers,3,FALSE),0)</f>
        <v>0</v>
      </c>
      <c r="Q68" s="1037"/>
      <c r="R68" s="539"/>
    </row>
    <row r="69" spans="2:18" ht="13.15" customHeight="1" x14ac:dyDescent="0.2">
      <c r="B69" s="26"/>
      <c r="C69" s="1037"/>
      <c r="D69" s="1000" t="s">
        <v>40</v>
      </c>
      <c r="E69" s="1037"/>
      <c r="F69" s="1037" t="str">
        <f>IF('geg ZO'!E84=1,"categorie 1",IF('geg ZO'!E84=2,"categorie 2","categorie 3"))</f>
        <v>categorie 2</v>
      </c>
      <c r="G69" s="1076" t="s">
        <v>145</v>
      </c>
      <c r="H69" s="1037"/>
      <c r="I69" s="1461">
        <v>0</v>
      </c>
      <c r="J69" s="1461">
        <f>ROUND('geg ZO'!I84*VLOOKUP($F69,categoriePers,3,FALSE),0)</f>
        <v>0</v>
      </c>
      <c r="K69" s="1461">
        <f>ROUND('geg ZO'!J84*VLOOKUP($F69,categoriePers,3,FALSE),0)</f>
        <v>0</v>
      </c>
      <c r="L69" s="1461">
        <f>ROUND('geg ZO'!K84*VLOOKUP($F69,categoriePers,3,FALSE),0)</f>
        <v>0</v>
      </c>
      <c r="M69" s="1461">
        <f>ROUND('geg ZO'!L84*VLOOKUP($F69,categoriePers,3,FALSE),0)</f>
        <v>0</v>
      </c>
      <c r="N69" s="1461">
        <f>ROUND('geg ZO'!M84*VLOOKUP($F69,categoriePers,3,FALSE),0)</f>
        <v>0</v>
      </c>
      <c r="O69" s="1461">
        <f>ROUND('geg ZO'!N84*VLOOKUP($F69,categoriePers,3,FALSE),0)</f>
        <v>0</v>
      </c>
      <c r="P69" s="1461">
        <f>ROUND('geg ZO'!O84*VLOOKUP($F69,categoriePers,3,FALSE),0)</f>
        <v>0</v>
      </c>
      <c r="Q69" s="1037"/>
      <c r="R69" s="539"/>
    </row>
    <row r="70" spans="2:18" ht="13.15" customHeight="1" x14ac:dyDescent="0.2">
      <c r="B70" s="26"/>
      <c r="C70" s="1037"/>
      <c r="D70" s="1000"/>
      <c r="E70" s="1037"/>
      <c r="F70" s="1037" t="str">
        <f>IF('geg ZO'!E85=1,"categorie 1",IF('geg ZO'!E85=2,"categorie 2","categorie 3"))</f>
        <v>categorie 3</v>
      </c>
      <c r="G70" s="1076" t="s">
        <v>145</v>
      </c>
      <c r="H70" s="1037"/>
      <c r="I70" s="1461">
        <v>0</v>
      </c>
      <c r="J70" s="1461">
        <f>ROUND('geg ZO'!I85*VLOOKUP($F70,categoriePers,3,FALSE),0)</f>
        <v>0</v>
      </c>
      <c r="K70" s="1461">
        <f>ROUND('geg ZO'!J85*VLOOKUP($F70,categoriePers,3,FALSE),0)</f>
        <v>0</v>
      </c>
      <c r="L70" s="1461">
        <f>ROUND('geg ZO'!K85*VLOOKUP($F70,categoriePers,3,FALSE),0)</f>
        <v>0</v>
      </c>
      <c r="M70" s="1461">
        <f>ROUND('geg ZO'!L85*VLOOKUP($F70,categoriePers,3,FALSE),0)</f>
        <v>0</v>
      </c>
      <c r="N70" s="1461">
        <f>ROUND('geg ZO'!M85*VLOOKUP($F70,categoriePers,3,FALSE),0)</f>
        <v>0</v>
      </c>
      <c r="O70" s="1461">
        <f>ROUND('geg ZO'!N85*VLOOKUP($F70,categoriePers,3,FALSE),0)</f>
        <v>0</v>
      </c>
      <c r="P70" s="1461">
        <f>ROUND('geg ZO'!O85*VLOOKUP($F70,categoriePers,3,FALSE),0)</f>
        <v>0</v>
      </c>
      <c r="Q70" s="1037"/>
      <c r="R70" s="539"/>
    </row>
    <row r="71" spans="2:18" ht="13.15" customHeight="1" x14ac:dyDescent="0.2">
      <c r="B71" s="26"/>
      <c r="C71" s="1037"/>
      <c r="D71" s="1000"/>
      <c r="E71" s="1037"/>
      <c r="F71" s="1037" t="str">
        <f>IF('geg ZO'!E86=1,"categorie 1",IF('geg ZO'!E86=2,"categorie 2","categorie 3"))</f>
        <v>categorie 1</v>
      </c>
      <c r="G71" s="1076" t="s">
        <v>125</v>
      </c>
      <c r="H71" s="1037"/>
      <c r="I71" s="1461">
        <v>0</v>
      </c>
      <c r="J71" s="1461">
        <f>ROUND('geg ZO'!I86*VLOOKUP($F71,categoriePers8jreo,3,FALSE),0)</f>
        <v>0</v>
      </c>
      <c r="K71" s="1461">
        <f>ROUND('geg ZO'!J86*VLOOKUP($F71,categoriePers8jreo,3,FALSE),0)</f>
        <v>0</v>
      </c>
      <c r="L71" s="1461">
        <f>ROUND('geg ZO'!K86*VLOOKUP($F71,categoriePers8jreo,3,FALSE),0)</f>
        <v>0</v>
      </c>
      <c r="M71" s="1461">
        <f>ROUND('geg ZO'!L86*VLOOKUP($F71,categoriePers8jreo,3,FALSE),0)</f>
        <v>0</v>
      </c>
      <c r="N71" s="1461">
        <f>ROUND('geg ZO'!M86*VLOOKUP($F71,categoriePers8jreo,3,FALSE),0)</f>
        <v>0</v>
      </c>
      <c r="O71" s="1461">
        <f>ROUND('geg ZO'!N86*VLOOKUP($F71,categoriePers8jreo,3,FALSE),0)</f>
        <v>0</v>
      </c>
      <c r="P71" s="1461">
        <f>ROUND('geg ZO'!O86*VLOOKUP($F71,categoriePers8jreo,3,FALSE),0)</f>
        <v>0</v>
      </c>
      <c r="Q71" s="1037"/>
      <c r="R71" s="539"/>
    </row>
    <row r="72" spans="2:18" ht="13.15" customHeight="1" x14ac:dyDescent="0.2">
      <c r="B72" s="26"/>
      <c r="C72" s="1037"/>
      <c r="D72" s="1000"/>
      <c r="E72" s="1037"/>
      <c r="F72" s="1037" t="str">
        <f>IF('geg ZO'!E87=1,"categorie 1",IF('geg ZO'!E87=2,"categorie 2","categorie 3"))</f>
        <v>categorie 2</v>
      </c>
      <c r="G72" s="1076" t="s">
        <v>125</v>
      </c>
      <c r="H72" s="1037"/>
      <c r="I72" s="1461">
        <v>0</v>
      </c>
      <c r="J72" s="1461">
        <f>ROUND('geg ZO'!I87*VLOOKUP($F72,categoriePers8jreo,3,FALSE),0)</f>
        <v>0</v>
      </c>
      <c r="K72" s="1461">
        <f>ROUND('geg ZO'!J87*VLOOKUP($F72,categoriePers8jreo,3,FALSE),0)</f>
        <v>0</v>
      </c>
      <c r="L72" s="1461">
        <f>ROUND('geg ZO'!K87*VLOOKUP($F72,categoriePers8jreo,3,FALSE),0)</f>
        <v>0</v>
      </c>
      <c r="M72" s="1461">
        <f>ROUND('geg ZO'!L87*VLOOKUP($F72,categoriePers8jreo,3,FALSE),0)</f>
        <v>0</v>
      </c>
      <c r="N72" s="1461">
        <f>ROUND('geg ZO'!M87*VLOOKUP($F72,categoriePers8jreo,3,FALSE),0)</f>
        <v>0</v>
      </c>
      <c r="O72" s="1461">
        <f>ROUND('geg ZO'!N87*VLOOKUP($F72,categoriePers8jreo,3,FALSE),0)</f>
        <v>0</v>
      </c>
      <c r="P72" s="1461">
        <f>ROUND('geg ZO'!O87*VLOOKUP($F72,categoriePers8jreo,3,FALSE),0)</f>
        <v>0</v>
      </c>
      <c r="Q72" s="1037"/>
      <c r="R72" s="539"/>
    </row>
    <row r="73" spans="2:18" ht="13.15" customHeight="1" x14ac:dyDescent="0.2">
      <c r="B73" s="26"/>
      <c r="C73" s="1037"/>
      <c r="D73" s="1000"/>
      <c r="E73" s="1037"/>
      <c r="F73" s="1037" t="str">
        <f>IF('geg ZO'!E88=1,"categorie 1",IF('geg ZO'!E88=2,"categorie 2","categorie 3"))</f>
        <v>categorie 3</v>
      </c>
      <c r="G73" s="1076" t="s">
        <v>125</v>
      </c>
      <c r="H73" s="1037"/>
      <c r="I73" s="1461">
        <v>0</v>
      </c>
      <c r="J73" s="1461">
        <f>ROUND('geg ZO'!I88*VLOOKUP($F73,categoriePers8jreo,3,FALSE),0)</f>
        <v>0</v>
      </c>
      <c r="K73" s="1461">
        <f>ROUND('geg ZO'!J88*VLOOKUP($F73,categoriePers8jreo,3,FALSE),0)</f>
        <v>0</v>
      </c>
      <c r="L73" s="1461">
        <f>ROUND('geg ZO'!K88*VLOOKUP($F73,categoriePers8jreo,3,FALSE),0)</f>
        <v>0</v>
      </c>
      <c r="M73" s="1461">
        <f>ROUND('geg ZO'!L88*VLOOKUP($F73,categoriePers8jreo,3,FALSE),0)</f>
        <v>0</v>
      </c>
      <c r="N73" s="1461">
        <f>ROUND('geg ZO'!M88*VLOOKUP($F73,categoriePers8jreo,3,FALSE),0)</f>
        <v>0</v>
      </c>
      <c r="O73" s="1461">
        <f>ROUND('geg ZO'!N88*VLOOKUP($F73,categoriePers8jreo,3,FALSE),0)</f>
        <v>0</v>
      </c>
      <c r="P73" s="1461">
        <f>ROUND('geg ZO'!O88*VLOOKUP($F73,categoriePers8jreo,3,FALSE),0)</f>
        <v>0</v>
      </c>
      <c r="Q73" s="1037"/>
      <c r="R73" s="539"/>
    </row>
    <row r="74" spans="2:18" ht="13.15" customHeight="1" x14ac:dyDescent="0.2">
      <c r="B74" s="26"/>
      <c r="C74" s="1037"/>
      <c r="D74" s="1447" t="str">
        <f>'geg ZO'!D91</f>
        <v>Naam SO 6</v>
      </c>
      <c r="E74" s="1037"/>
      <c r="F74" s="1037" t="str">
        <f>IF('geg ZO'!E91=1,"categorie 1",IF('geg ZO'!E91=2,"categorie 2","categorie 3"))</f>
        <v>categorie 1</v>
      </c>
      <c r="G74" s="1076" t="s">
        <v>145</v>
      </c>
      <c r="H74" s="1037"/>
      <c r="I74" s="1461">
        <v>0</v>
      </c>
      <c r="J74" s="1461">
        <f>ROUND('geg ZO'!I91*VLOOKUP($F74,categoriePers,3,FALSE),0)</f>
        <v>0</v>
      </c>
      <c r="K74" s="1461">
        <f>ROUND('geg ZO'!J91*VLOOKUP($F74,categoriePers,3,FALSE),0)</f>
        <v>0</v>
      </c>
      <c r="L74" s="1461">
        <f>ROUND('geg ZO'!K91*VLOOKUP($F74,categoriePers,3,FALSE),0)</f>
        <v>0</v>
      </c>
      <c r="M74" s="1461">
        <f>ROUND('geg ZO'!L91*VLOOKUP($F74,categoriePers,3,FALSE),0)</f>
        <v>0</v>
      </c>
      <c r="N74" s="1461">
        <f>ROUND('geg ZO'!M91*VLOOKUP($F74,categoriePers,3,FALSE),0)</f>
        <v>0</v>
      </c>
      <c r="O74" s="1461">
        <f>ROUND('geg ZO'!N91*VLOOKUP($F74,categoriePers,3,FALSE),0)</f>
        <v>0</v>
      </c>
      <c r="P74" s="1461">
        <f>ROUND('geg ZO'!O91*VLOOKUP($F74,categoriePers,3,FALSE),0)</f>
        <v>0</v>
      </c>
      <c r="Q74" s="1037"/>
      <c r="R74" s="539"/>
    </row>
    <row r="75" spans="2:18" ht="13.15" customHeight="1" x14ac:dyDescent="0.2">
      <c r="B75" s="26"/>
      <c r="C75" s="1037"/>
      <c r="D75" s="1000" t="s">
        <v>40</v>
      </c>
      <c r="E75" s="1037"/>
      <c r="F75" s="1037" t="str">
        <f>IF('geg ZO'!E92=1,"categorie 1",IF('geg ZO'!E92=2,"categorie 2","categorie 3"))</f>
        <v>categorie 2</v>
      </c>
      <c r="G75" s="1076" t="s">
        <v>145</v>
      </c>
      <c r="H75" s="1037"/>
      <c r="I75" s="1461">
        <v>0</v>
      </c>
      <c r="J75" s="1461">
        <f>ROUND('geg ZO'!I92*VLOOKUP($F75,categoriePers,3,FALSE),0)</f>
        <v>0</v>
      </c>
      <c r="K75" s="1461">
        <f>ROUND('geg ZO'!J92*VLOOKUP($F75,categoriePers,3,FALSE),0)</f>
        <v>0</v>
      </c>
      <c r="L75" s="1461">
        <f>ROUND('geg ZO'!K92*VLOOKUP($F75,categoriePers,3,FALSE),0)</f>
        <v>0</v>
      </c>
      <c r="M75" s="1461">
        <f>ROUND('geg ZO'!L92*VLOOKUP($F75,categoriePers,3,FALSE),0)</f>
        <v>0</v>
      </c>
      <c r="N75" s="1461">
        <f>ROUND('geg ZO'!M92*VLOOKUP($F75,categoriePers,3,FALSE),0)</f>
        <v>0</v>
      </c>
      <c r="O75" s="1461">
        <f>ROUND('geg ZO'!N92*VLOOKUP($F75,categoriePers,3,FALSE),0)</f>
        <v>0</v>
      </c>
      <c r="P75" s="1461">
        <f>ROUND('geg ZO'!O92*VLOOKUP($F75,categoriePers,3,FALSE),0)</f>
        <v>0</v>
      </c>
      <c r="Q75" s="1037"/>
      <c r="R75" s="539"/>
    </row>
    <row r="76" spans="2:18" ht="13.15" customHeight="1" x14ac:dyDescent="0.2">
      <c r="B76" s="26"/>
      <c r="C76" s="1037"/>
      <c r="D76" s="1000"/>
      <c r="E76" s="1037"/>
      <c r="F76" s="1037" t="str">
        <f>IF('geg ZO'!E93=1,"categorie 1",IF('geg ZO'!E93=2,"categorie 2","categorie 3"))</f>
        <v>categorie 3</v>
      </c>
      <c r="G76" s="1076" t="s">
        <v>145</v>
      </c>
      <c r="H76" s="1037"/>
      <c r="I76" s="1461">
        <v>0</v>
      </c>
      <c r="J76" s="1461">
        <f>ROUND('geg ZO'!I93*VLOOKUP($F76,categoriePers,3,FALSE),0)</f>
        <v>0</v>
      </c>
      <c r="K76" s="1461">
        <f>ROUND('geg ZO'!J93*VLOOKUP($F76,categoriePers,3,FALSE),0)</f>
        <v>0</v>
      </c>
      <c r="L76" s="1461">
        <f>ROUND('geg ZO'!K93*VLOOKUP($F76,categoriePers,3,FALSE),0)</f>
        <v>0</v>
      </c>
      <c r="M76" s="1461">
        <f>ROUND('geg ZO'!L93*VLOOKUP($F76,categoriePers,3,FALSE),0)</f>
        <v>0</v>
      </c>
      <c r="N76" s="1461">
        <f>ROUND('geg ZO'!M93*VLOOKUP($F76,categoriePers,3,FALSE),0)</f>
        <v>0</v>
      </c>
      <c r="O76" s="1461">
        <f>ROUND('geg ZO'!N93*VLOOKUP($F76,categoriePers,3,FALSE),0)</f>
        <v>0</v>
      </c>
      <c r="P76" s="1461">
        <f>ROUND('geg ZO'!O93*VLOOKUP($F76,categoriePers,3,FALSE),0)</f>
        <v>0</v>
      </c>
      <c r="Q76" s="1037"/>
      <c r="R76" s="539"/>
    </row>
    <row r="77" spans="2:18" ht="13.15" customHeight="1" x14ac:dyDescent="0.2">
      <c r="B77" s="26"/>
      <c r="C77" s="1037"/>
      <c r="D77" s="1000"/>
      <c r="E77" s="1037"/>
      <c r="F77" s="1037" t="str">
        <f>IF('geg ZO'!E94=1,"categorie 1",IF('geg ZO'!E94=2,"categorie 2","categorie 3"))</f>
        <v>categorie 1</v>
      </c>
      <c r="G77" s="1076" t="s">
        <v>125</v>
      </c>
      <c r="H77" s="1037"/>
      <c r="I77" s="1461">
        <v>0</v>
      </c>
      <c r="J77" s="1461">
        <f>ROUND('geg ZO'!I94*VLOOKUP($F77,categoriePers8jreo,3,FALSE),0)</f>
        <v>0</v>
      </c>
      <c r="K77" s="1461">
        <f>ROUND('geg ZO'!J94*VLOOKUP($F77,categoriePers8jreo,3,FALSE),0)</f>
        <v>0</v>
      </c>
      <c r="L77" s="1461">
        <f>ROUND('geg ZO'!K94*VLOOKUP($F77,categoriePers8jreo,3,FALSE),0)</f>
        <v>0</v>
      </c>
      <c r="M77" s="1461">
        <f>ROUND('geg ZO'!L94*VLOOKUP($F77,categoriePers8jreo,3,FALSE),0)</f>
        <v>0</v>
      </c>
      <c r="N77" s="1461">
        <f>ROUND('geg ZO'!M94*VLOOKUP($F77,categoriePers8jreo,3,FALSE),0)</f>
        <v>0</v>
      </c>
      <c r="O77" s="1461">
        <f>ROUND('geg ZO'!N94*VLOOKUP($F77,categoriePers8jreo,3,FALSE),0)</f>
        <v>0</v>
      </c>
      <c r="P77" s="1461">
        <f>ROUND('geg ZO'!O94*VLOOKUP($F77,categoriePers8jreo,3,FALSE),0)</f>
        <v>0</v>
      </c>
      <c r="Q77" s="1037"/>
      <c r="R77" s="539"/>
    </row>
    <row r="78" spans="2:18" ht="13.15" customHeight="1" x14ac:dyDescent="0.2">
      <c r="B78" s="26"/>
      <c r="C78" s="1037"/>
      <c r="D78" s="1000"/>
      <c r="E78" s="1037"/>
      <c r="F78" s="1037" t="str">
        <f>IF('geg ZO'!E95=1,"categorie 1",IF('geg ZO'!E95=2,"categorie 2","categorie 3"))</f>
        <v>categorie 2</v>
      </c>
      <c r="G78" s="1076" t="s">
        <v>125</v>
      </c>
      <c r="H78" s="1037"/>
      <c r="I78" s="1461">
        <v>0</v>
      </c>
      <c r="J78" s="1461">
        <f>ROUND('geg ZO'!I95*VLOOKUP($F78,categoriePers8jreo,3,FALSE),0)</f>
        <v>0</v>
      </c>
      <c r="K78" s="1461">
        <f>ROUND('geg ZO'!J95*VLOOKUP($F78,categoriePers8jreo,3,FALSE),0)</f>
        <v>0</v>
      </c>
      <c r="L78" s="1461">
        <f>ROUND('geg ZO'!K95*VLOOKUP($F78,categoriePers8jreo,3,FALSE),0)</f>
        <v>0</v>
      </c>
      <c r="M78" s="1461">
        <f>ROUND('geg ZO'!L95*VLOOKUP($F78,categoriePers8jreo,3,FALSE),0)</f>
        <v>0</v>
      </c>
      <c r="N78" s="1461">
        <f>ROUND('geg ZO'!M95*VLOOKUP($F78,categoriePers8jreo,3,FALSE),0)</f>
        <v>0</v>
      </c>
      <c r="O78" s="1461">
        <f>ROUND('geg ZO'!N95*VLOOKUP($F78,categoriePers8jreo,3,FALSE),0)</f>
        <v>0</v>
      </c>
      <c r="P78" s="1461">
        <f>ROUND('geg ZO'!O95*VLOOKUP($F78,categoriePers8jreo,3,FALSE),0)</f>
        <v>0</v>
      </c>
      <c r="Q78" s="1037"/>
      <c r="R78" s="539"/>
    </row>
    <row r="79" spans="2:18" ht="13.15" customHeight="1" x14ac:dyDescent="0.2">
      <c r="B79" s="26"/>
      <c r="C79" s="1037"/>
      <c r="D79" s="1000"/>
      <c r="E79" s="1037"/>
      <c r="F79" s="1037" t="str">
        <f>IF('geg ZO'!E96=1,"categorie 1",IF('geg ZO'!E96=2,"categorie 2","categorie 3"))</f>
        <v>categorie 3</v>
      </c>
      <c r="G79" s="1076" t="s">
        <v>125</v>
      </c>
      <c r="H79" s="1037"/>
      <c r="I79" s="1461">
        <v>0</v>
      </c>
      <c r="J79" s="1461">
        <f>ROUND('geg ZO'!I96*VLOOKUP($F79,categoriePers8jreo,3,FALSE),0)</f>
        <v>0</v>
      </c>
      <c r="K79" s="1461">
        <f>ROUND('geg ZO'!J96*VLOOKUP($F79,categoriePers8jreo,3,FALSE),0)</f>
        <v>0</v>
      </c>
      <c r="L79" s="1461">
        <f>ROUND('geg ZO'!K96*VLOOKUP($F79,categoriePers8jreo,3,FALSE),0)</f>
        <v>0</v>
      </c>
      <c r="M79" s="1461">
        <f>ROUND('geg ZO'!L96*VLOOKUP($F79,categoriePers8jreo,3,FALSE),0)</f>
        <v>0</v>
      </c>
      <c r="N79" s="1461">
        <f>ROUND('geg ZO'!M96*VLOOKUP($F79,categoriePers8jreo,3,FALSE),0)</f>
        <v>0</v>
      </c>
      <c r="O79" s="1461">
        <f>ROUND('geg ZO'!N96*VLOOKUP($F79,categoriePers8jreo,3,FALSE),0)</f>
        <v>0</v>
      </c>
      <c r="P79" s="1461">
        <f>ROUND('geg ZO'!O96*VLOOKUP($F79,categoriePers8jreo,3,FALSE),0)</f>
        <v>0</v>
      </c>
      <c r="Q79" s="1037"/>
      <c r="R79" s="539"/>
    </row>
    <row r="80" spans="2:18" ht="13.15" customHeight="1" x14ac:dyDescent="0.2">
      <c r="B80" s="26"/>
      <c r="C80" s="1037"/>
      <c r="D80" s="1447" t="str">
        <f>'geg ZO'!D100</f>
        <v>Naam SO 7</v>
      </c>
      <c r="E80" s="1037"/>
      <c r="F80" s="1037" t="str">
        <f>IF('geg ZO'!E100=1,"categorie 1",IF('geg ZO'!E100=2,"categorie 2","categorie 3"))</f>
        <v>categorie 1</v>
      </c>
      <c r="G80" s="1076" t="s">
        <v>145</v>
      </c>
      <c r="H80" s="1037"/>
      <c r="I80" s="1461">
        <v>0</v>
      </c>
      <c r="J80" s="1461">
        <f>ROUND('geg ZO'!I100*VLOOKUP($F80,categoriePers,3,FALSE),0)</f>
        <v>0</v>
      </c>
      <c r="K80" s="1461">
        <f>ROUND('geg ZO'!J100*VLOOKUP($F80,categoriePers,3,FALSE),0)</f>
        <v>0</v>
      </c>
      <c r="L80" s="1461">
        <f>ROUND('geg ZO'!K100*VLOOKUP($F80,categoriePers,3,FALSE),0)</f>
        <v>0</v>
      </c>
      <c r="M80" s="1461">
        <f>ROUND('geg ZO'!L100*VLOOKUP($F80,categoriePers,3,FALSE),0)</f>
        <v>0</v>
      </c>
      <c r="N80" s="1461">
        <f>ROUND('geg ZO'!M100*VLOOKUP($F80,categoriePers,3,FALSE),0)</f>
        <v>0</v>
      </c>
      <c r="O80" s="1461">
        <f>ROUND('geg ZO'!N100*VLOOKUP($F80,categoriePers,3,FALSE),0)</f>
        <v>0</v>
      </c>
      <c r="P80" s="1461">
        <f>ROUND('geg ZO'!O100*VLOOKUP($F80,categoriePers,3,FALSE),0)</f>
        <v>0</v>
      </c>
      <c r="Q80" s="1037"/>
      <c r="R80" s="539"/>
    </row>
    <row r="81" spans="2:18" ht="13.15" customHeight="1" x14ac:dyDescent="0.2">
      <c r="B81" s="26"/>
      <c r="C81" s="1037"/>
      <c r="D81" s="1000" t="s">
        <v>40</v>
      </c>
      <c r="E81" s="1037"/>
      <c r="F81" s="1037" t="str">
        <f>IF('geg ZO'!E101=1,"categorie 1",IF('geg ZO'!E101=2,"categorie 2","categorie 3"))</f>
        <v>categorie 2</v>
      </c>
      <c r="G81" s="1076" t="s">
        <v>145</v>
      </c>
      <c r="H81" s="1037"/>
      <c r="I81" s="1461">
        <v>0</v>
      </c>
      <c r="J81" s="1461">
        <f>ROUND('geg ZO'!I101*VLOOKUP($F81,categoriePers,3,FALSE),0)</f>
        <v>0</v>
      </c>
      <c r="K81" s="1461">
        <f>ROUND('geg ZO'!J101*VLOOKUP($F81,categoriePers,3,FALSE),0)</f>
        <v>0</v>
      </c>
      <c r="L81" s="1461">
        <f>ROUND('geg ZO'!K101*VLOOKUP($F81,categoriePers,3,FALSE),0)</f>
        <v>0</v>
      </c>
      <c r="M81" s="1461">
        <f>ROUND('geg ZO'!L101*VLOOKUP($F81,categoriePers,3,FALSE),0)</f>
        <v>0</v>
      </c>
      <c r="N81" s="1461">
        <f>ROUND('geg ZO'!M101*VLOOKUP($F81,categoriePers,3,FALSE),0)</f>
        <v>0</v>
      </c>
      <c r="O81" s="1461">
        <f>ROUND('geg ZO'!N101*VLOOKUP($F81,categoriePers,3,FALSE),0)</f>
        <v>0</v>
      </c>
      <c r="P81" s="1461">
        <f>ROUND('geg ZO'!O101*VLOOKUP($F81,categoriePers,3,FALSE),0)</f>
        <v>0</v>
      </c>
      <c r="Q81" s="1037"/>
      <c r="R81" s="539"/>
    </row>
    <row r="82" spans="2:18" ht="13.15" customHeight="1" x14ac:dyDescent="0.2">
      <c r="B82" s="26"/>
      <c r="C82" s="1037"/>
      <c r="D82" s="1000"/>
      <c r="E82" s="1037"/>
      <c r="F82" s="1037" t="str">
        <f>IF('geg ZO'!E102=1,"categorie 1",IF('geg ZO'!E102=2,"categorie 2","categorie 3"))</f>
        <v>categorie 3</v>
      </c>
      <c r="G82" s="1076" t="s">
        <v>145</v>
      </c>
      <c r="H82" s="1037"/>
      <c r="I82" s="1461">
        <v>0</v>
      </c>
      <c r="J82" s="1461">
        <f>ROUND('geg ZO'!I102*VLOOKUP($F82,categoriePers,3,FALSE),0)</f>
        <v>0</v>
      </c>
      <c r="K82" s="1461">
        <f>ROUND('geg ZO'!J102*VLOOKUP($F82,categoriePers,3,FALSE),0)</f>
        <v>0</v>
      </c>
      <c r="L82" s="1461">
        <f>ROUND('geg ZO'!K102*VLOOKUP($F82,categoriePers,3,FALSE),0)</f>
        <v>0</v>
      </c>
      <c r="M82" s="1461">
        <f>ROUND('geg ZO'!L102*VLOOKUP($F82,categoriePers,3,FALSE),0)</f>
        <v>0</v>
      </c>
      <c r="N82" s="1461">
        <f>ROUND('geg ZO'!M102*VLOOKUP($F82,categoriePers,3,FALSE),0)</f>
        <v>0</v>
      </c>
      <c r="O82" s="1461">
        <f>ROUND('geg ZO'!N102*VLOOKUP($F82,categoriePers,3,FALSE),0)</f>
        <v>0</v>
      </c>
      <c r="P82" s="1461">
        <f>ROUND('geg ZO'!O102*VLOOKUP($F82,categoriePers,3,FALSE),0)</f>
        <v>0</v>
      </c>
      <c r="Q82" s="1037"/>
      <c r="R82" s="539"/>
    </row>
    <row r="83" spans="2:18" ht="13.15" customHeight="1" x14ac:dyDescent="0.2">
      <c r="B83" s="26"/>
      <c r="C83" s="1037"/>
      <c r="D83" s="1000"/>
      <c r="E83" s="1037"/>
      <c r="F83" s="1037" t="str">
        <f>IF('geg ZO'!E103=1,"categorie 1",IF('geg ZO'!E103=2,"categorie 2","categorie 3"))</f>
        <v>categorie 1</v>
      </c>
      <c r="G83" s="1076" t="s">
        <v>125</v>
      </c>
      <c r="H83" s="1037"/>
      <c r="I83" s="1461">
        <v>0</v>
      </c>
      <c r="J83" s="1461">
        <f>ROUND('geg ZO'!I103*VLOOKUP($F83,categoriePers8jreo,3,FALSE),0)</f>
        <v>0</v>
      </c>
      <c r="K83" s="1461">
        <f>ROUND('geg ZO'!J103*VLOOKUP($F83,categoriePers8jreo,3,FALSE),0)</f>
        <v>0</v>
      </c>
      <c r="L83" s="1461">
        <f>ROUND('geg ZO'!K103*VLOOKUP($F83,categoriePers8jreo,3,FALSE),0)</f>
        <v>0</v>
      </c>
      <c r="M83" s="1461">
        <f>ROUND('geg ZO'!L103*VLOOKUP($F83,categoriePers8jreo,3,FALSE),0)</f>
        <v>0</v>
      </c>
      <c r="N83" s="1461">
        <f>ROUND('geg ZO'!M103*VLOOKUP($F83,categoriePers8jreo,3,FALSE),0)</f>
        <v>0</v>
      </c>
      <c r="O83" s="1461">
        <f>ROUND('geg ZO'!N103*VLOOKUP($F83,categoriePers8jreo,3,FALSE),0)</f>
        <v>0</v>
      </c>
      <c r="P83" s="1461">
        <f>ROUND('geg ZO'!O103*VLOOKUP($F83,categoriePers8jreo,3,FALSE),0)</f>
        <v>0</v>
      </c>
      <c r="Q83" s="1037"/>
      <c r="R83" s="539"/>
    </row>
    <row r="84" spans="2:18" ht="13.15" customHeight="1" x14ac:dyDescent="0.2">
      <c r="B84" s="26"/>
      <c r="C84" s="1037"/>
      <c r="D84" s="1000"/>
      <c r="E84" s="1037"/>
      <c r="F84" s="1037" t="str">
        <f>IF('geg ZO'!E104=1,"categorie 1",IF('geg ZO'!E104=2,"categorie 2","categorie 3"))</f>
        <v>categorie 2</v>
      </c>
      <c r="G84" s="1076" t="s">
        <v>125</v>
      </c>
      <c r="H84" s="1037"/>
      <c r="I84" s="1461">
        <v>0</v>
      </c>
      <c r="J84" s="1461">
        <f>ROUND('geg ZO'!I104*VLOOKUP($F84,categoriePers8jreo,3,FALSE),0)</f>
        <v>0</v>
      </c>
      <c r="K84" s="1461">
        <f>ROUND('geg ZO'!J104*VLOOKUP($F84,categoriePers8jreo,3,FALSE),0)</f>
        <v>0</v>
      </c>
      <c r="L84" s="1461">
        <f>ROUND('geg ZO'!K104*VLOOKUP($F84,categoriePers8jreo,3,FALSE),0)</f>
        <v>0</v>
      </c>
      <c r="M84" s="1461">
        <f>ROUND('geg ZO'!L104*VLOOKUP($F84,categoriePers8jreo,3,FALSE),0)</f>
        <v>0</v>
      </c>
      <c r="N84" s="1461">
        <f>ROUND('geg ZO'!M104*VLOOKUP($F84,categoriePers8jreo,3,FALSE),0)</f>
        <v>0</v>
      </c>
      <c r="O84" s="1461">
        <f>ROUND('geg ZO'!N104*VLOOKUP($F84,categoriePers8jreo,3,FALSE),0)</f>
        <v>0</v>
      </c>
      <c r="P84" s="1461">
        <f>ROUND('geg ZO'!O104*VLOOKUP($F84,categoriePers8jreo,3,FALSE),0)</f>
        <v>0</v>
      </c>
      <c r="Q84" s="1037"/>
      <c r="R84" s="539"/>
    </row>
    <row r="85" spans="2:18" ht="13.15" customHeight="1" x14ac:dyDescent="0.2">
      <c r="B85" s="26"/>
      <c r="C85" s="1037"/>
      <c r="D85" s="1000"/>
      <c r="E85" s="1037"/>
      <c r="F85" s="1037" t="str">
        <f>IF('geg ZO'!E105=1,"categorie 1",IF('geg ZO'!E105=2,"categorie 2","categorie 3"))</f>
        <v>categorie 3</v>
      </c>
      <c r="G85" s="1076" t="s">
        <v>125</v>
      </c>
      <c r="H85" s="1037"/>
      <c r="I85" s="1461">
        <v>0</v>
      </c>
      <c r="J85" s="1461">
        <f>ROUND('geg ZO'!I105*VLOOKUP($F85,categoriePers8jreo,3,FALSE),0)</f>
        <v>0</v>
      </c>
      <c r="K85" s="1461">
        <f>ROUND('geg ZO'!J105*VLOOKUP($F85,categoriePers8jreo,3,FALSE),0)</f>
        <v>0</v>
      </c>
      <c r="L85" s="1461">
        <f>ROUND('geg ZO'!K105*VLOOKUP($F85,categoriePers8jreo,3,FALSE),0)</f>
        <v>0</v>
      </c>
      <c r="M85" s="1461">
        <f>ROUND('geg ZO'!L105*VLOOKUP($F85,categoriePers8jreo,3,FALSE),0)</f>
        <v>0</v>
      </c>
      <c r="N85" s="1461">
        <f>ROUND('geg ZO'!M105*VLOOKUP($F85,categoriePers8jreo,3,FALSE),0)</f>
        <v>0</v>
      </c>
      <c r="O85" s="1461">
        <f>ROUND('geg ZO'!N105*VLOOKUP($F85,categoriePers8jreo,3,FALSE),0)</f>
        <v>0</v>
      </c>
      <c r="P85" s="1461">
        <f>ROUND('geg ZO'!O105*VLOOKUP($F85,categoriePers8jreo,3,FALSE),0)</f>
        <v>0</v>
      </c>
      <c r="Q85" s="1037"/>
      <c r="R85" s="539"/>
    </row>
    <row r="86" spans="2:18" ht="13.15" customHeight="1" x14ac:dyDescent="0.2">
      <c r="B86" s="26"/>
      <c r="C86" s="1037"/>
      <c r="D86" s="1447" t="str">
        <f>'geg ZO'!D108</f>
        <v>Naam SO 8</v>
      </c>
      <c r="E86" s="1037"/>
      <c r="F86" s="1037" t="str">
        <f>IF('geg ZO'!E108=1,"categorie 1",IF('geg ZO'!E108=2,"categorie 2","categorie 3"))</f>
        <v>categorie 1</v>
      </c>
      <c r="G86" s="1076" t="s">
        <v>145</v>
      </c>
      <c r="H86" s="1037"/>
      <c r="I86" s="1461">
        <v>0</v>
      </c>
      <c r="J86" s="1461">
        <f>ROUND('geg ZO'!I108*VLOOKUP($F86,categoriePers,3,FALSE),0)</f>
        <v>0</v>
      </c>
      <c r="K86" s="1461">
        <f>ROUND('geg ZO'!J108*VLOOKUP($F86,categoriePers,3,FALSE),0)</f>
        <v>0</v>
      </c>
      <c r="L86" s="1461">
        <f>ROUND('geg ZO'!K108*VLOOKUP($F86,categoriePers,3,FALSE),0)</f>
        <v>0</v>
      </c>
      <c r="M86" s="1461">
        <f>ROUND('geg ZO'!L108*VLOOKUP($F86,categoriePers,3,FALSE),0)</f>
        <v>0</v>
      </c>
      <c r="N86" s="1461">
        <f>ROUND('geg ZO'!M108*VLOOKUP($F86,categoriePers,3,FALSE),0)</f>
        <v>0</v>
      </c>
      <c r="O86" s="1461">
        <f>ROUND('geg ZO'!N108*VLOOKUP($F86,categoriePers,3,FALSE),0)</f>
        <v>0</v>
      </c>
      <c r="P86" s="1461">
        <f>ROUND('geg ZO'!O108*VLOOKUP($F86,categoriePers,3,FALSE),0)</f>
        <v>0</v>
      </c>
      <c r="Q86" s="1037"/>
      <c r="R86" s="539"/>
    </row>
    <row r="87" spans="2:18" ht="13.15" customHeight="1" x14ac:dyDescent="0.2">
      <c r="B87" s="26"/>
      <c r="C87" s="1037"/>
      <c r="D87" s="1000" t="s">
        <v>40</v>
      </c>
      <c r="E87" s="1037"/>
      <c r="F87" s="1037" t="str">
        <f>IF('geg ZO'!E109=1,"categorie 1",IF('geg ZO'!E109=2,"categorie 2","categorie 3"))</f>
        <v>categorie 2</v>
      </c>
      <c r="G87" s="1076" t="s">
        <v>145</v>
      </c>
      <c r="H87" s="1037"/>
      <c r="I87" s="1461">
        <v>0</v>
      </c>
      <c r="J87" s="1461">
        <f>ROUND('geg ZO'!I109*VLOOKUP($F87,categoriePers,3,FALSE),0)</f>
        <v>0</v>
      </c>
      <c r="K87" s="1461">
        <f>ROUND('geg ZO'!J109*VLOOKUP($F87,categoriePers,3,FALSE),0)</f>
        <v>0</v>
      </c>
      <c r="L87" s="1461">
        <f>ROUND('geg ZO'!K109*VLOOKUP($F87,categoriePers,3,FALSE),0)</f>
        <v>0</v>
      </c>
      <c r="M87" s="1461">
        <f>ROUND('geg ZO'!L109*VLOOKUP($F87,categoriePers,3,FALSE),0)</f>
        <v>0</v>
      </c>
      <c r="N87" s="1461">
        <f>ROUND('geg ZO'!M109*VLOOKUP($F87,categoriePers,3,FALSE),0)</f>
        <v>0</v>
      </c>
      <c r="O87" s="1461">
        <f>ROUND('geg ZO'!N109*VLOOKUP($F87,categoriePers,3,FALSE),0)</f>
        <v>0</v>
      </c>
      <c r="P87" s="1461">
        <f>ROUND('geg ZO'!O109*VLOOKUP($F87,categoriePers,3,FALSE),0)</f>
        <v>0</v>
      </c>
      <c r="Q87" s="1037"/>
      <c r="R87" s="539"/>
    </row>
    <row r="88" spans="2:18" ht="13.15" customHeight="1" x14ac:dyDescent="0.2">
      <c r="B88" s="26"/>
      <c r="C88" s="1037"/>
      <c r="D88" s="1000"/>
      <c r="E88" s="1037"/>
      <c r="F88" s="1037" t="str">
        <f>IF('geg ZO'!E110=1,"categorie 1",IF('geg ZO'!E110=2,"categorie 2","categorie 3"))</f>
        <v>categorie 3</v>
      </c>
      <c r="G88" s="1076" t="s">
        <v>145</v>
      </c>
      <c r="H88" s="1037"/>
      <c r="I88" s="1461">
        <v>0</v>
      </c>
      <c r="J88" s="1461">
        <f>ROUND('geg ZO'!I110*VLOOKUP($F88,categoriePers,3,FALSE),0)</f>
        <v>0</v>
      </c>
      <c r="K88" s="1461">
        <f>ROUND('geg ZO'!J110*VLOOKUP($F88,categoriePers,3,FALSE),0)</f>
        <v>0</v>
      </c>
      <c r="L88" s="1461">
        <f>ROUND('geg ZO'!K110*VLOOKUP($F88,categoriePers,3,FALSE),0)</f>
        <v>0</v>
      </c>
      <c r="M88" s="1461">
        <f>ROUND('geg ZO'!L110*VLOOKUP($F88,categoriePers,3,FALSE),0)</f>
        <v>0</v>
      </c>
      <c r="N88" s="1461">
        <f>ROUND('geg ZO'!M110*VLOOKUP($F88,categoriePers,3,FALSE),0)</f>
        <v>0</v>
      </c>
      <c r="O88" s="1461">
        <f>ROUND('geg ZO'!N110*VLOOKUP($F88,categoriePers,3,FALSE),0)</f>
        <v>0</v>
      </c>
      <c r="P88" s="1461">
        <f>ROUND('geg ZO'!O110*VLOOKUP($F88,categoriePers,3,FALSE),0)</f>
        <v>0</v>
      </c>
      <c r="Q88" s="1037"/>
      <c r="R88" s="539"/>
    </row>
    <row r="89" spans="2:18" ht="13.15" customHeight="1" x14ac:dyDescent="0.2">
      <c r="B89" s="26"/>
      <c r="C89" s="1037"/>
      <c r="D89" s="1000"/>
      <c r="E89" s="1037"/>
      <c r="F89" s="1037" t="str">
        <f>IF('geg ZO'!E111=1,"categorie 1",IF('geg ZO'!E111=2,"categorie 2","categorie 3"))</f>
        <v>categorie 1</v>
      </c>
      <c r="G89" s="1076" t="s">
        <v>125</v>
      </c>
      <c r="H89" s="1037"/>
      <c r="I89" s="1461">
        <v>0</v>
      </c>
      <c r="J89" s="1461">
        <f>ROUND('geg ZO'!I111*VLOOKUP($F89,categoriePers8jreo,3,FALSE),0)</f>
        <v>0</v>
      </c>
      <c r="K89" s="1461">
        <f>ROUND('geg ZO'!J111*VLOOKUP($F89,categoriePers8jreo,3,FALSE),0)</f>
        <v>0</v>
      </c>
      <c r="L89" s="1461">
        <f>ROUND('geg ZO'!K111*VLOOKUP($F89,categoriePers8jreo,3,FALSE),0)</f>
        <v>0</v>
      </c>
      <c r="M89" s="1461">
        <f>ROUND('geg ZO'!L111*VLOOKUP($F89,categoriePers8jreo,3,FALSE),0)</f>
        <v>0</v>
      </c>
      <c r="N89" s="1461">
        <f>ROUND('geg ZO'!M111*VLOOKUP($F89,categoriePers8jreo,3,FALSE),0)</f>
        <v>0</v>
      </c>
      <c r="O89" s="1461">
        <f>ROUND('geg ZO'!N111*VLOOKUP($F89,categoriePers8jreo,3,FALSE),0)</f>
        <v>0</v>
      </c>
      <c r="P89" s="1461">
        <f>ROUND('geg ZO'!O111*VLOOKUP($F89,categoriePers8jreo,3,FALSE),0)</f>
        <v>0</v>
      </c>
      <c r="Q89" s="1037"/>
      <c r="R89" s="539"/>
    </row>
    <row r="90" spans="2:18" ht="13.15" customHeight="1" x14ac:dyDescent="0.2">
      <c r="B90" s="26"/>
      <c r="C90" s="1037"/>
      <c r="D90" s="1000"/>
      <c r="E90" s="1037"/>
      <c r="F90" s="1037" t="str">
        <f>IF('geg ZO'!E112=1,"categorie 1",IF('geg ZO'!E112=2,"categorie 2","categorie 3"))</f>
        <v>categorie 2</v>
      </c>
      <c r="G90" s="1076" t="s">
        <v>125</v>
      </c>
      <c r="H90" s="1037"/>
      <c r="I90" s="1461">
        <v>0</v>
      </c>
      <c r="J90" s="1461">
        <f>ROUND('geg ZO'!I112*VLOOKUP($F90,categoriePers8jreo,3,FALSE),0)</f>
        <v>0</v>
      </c>
      <c r="K90" s="1461">
        <f>ROUND('geg ZO'!J112*VLOOKUP($F90,categoriePers8jreo,3,FALSE),0)</f>
        <v>0</v>
      </c>
      <c r="L90" s="1461">
        <f>ROUND('geg ZO'!K112*VLOOKUP($F90,categoriePers8jreo,3,FALSE),0)</f>
        <v>0</v>
      </c>
      <c r="M90" s="1461">
        <f>ROUND('geg ZO'!L112*VLOOKUP($F90,categoriePers8jreo,3,FALSE),0)</f>
        <v>0</v>
      </c>
      <c r="N90" s="1461">
        <f>ROUND('geg ZO'!M112*VLOOKUP($F90,categoriePers8jreo,3,FALSE),0)</f>
        <v>0</v>
      </c>
      <c r="O90" s="1461">
        <f>ROUND('geg ZO'!N112*VLOOKUP($F90,categoriePers8jreo,3,FALSE),0)</f>
        <v>0</v>
      </c>
      <c r="P90" s="1461">
        <f>ROUND('geg ZO'!O112*VLOOKUP($F90,categoriePers8jreo,3,FALSE),0)</f>
        <v>0</v>
      </c>
      <c r="Q90" s="1037"/>
      <c r="R90" s="539"/>
    </row>
    <row r="91" spans="2:18" ht="13.15" customHeight="1" x14ac:dyDescent="0.2">
      <c r="B91" s="26"/>
      <c r="C91" s="1037"/>
      <c r="D91" s="1000"/>
      <c r="E91" s="1037"/>
      <c r="F91" s="1037" t="str">
        <f>IF('geg ZO'!E113=1,"categorie 1",IF('geg ZO'!E113=2,"categorie 2","categorie 3"))</f>
        <v>categorie 3</v>
      </c>
      <c r="G91" s="1076" t="s">
        <v>125</v>
      </c>
      <c r="H91" s="1037"/>
      <c r="I91" s="1461">
        <v>0</v>
      </c>
      <c r="J91" s="1461">
        <f>ROUND('geg ZO'!I113*VLOOKUP($F91,categoriePers8jreo,3,FALSE),0)</f>
        <v>0</v>
      </c>
      <c r="K91" s="1461">
        <f>ROUND('geg ZO'!J113*VLOOKUP($F91,categoriePers8jreo,3,FALSE),0)</f>
        <v>0</v>
      </c>
      <c r="L91" s="1461">
        <f>ROUND('geg ZO'!K113*VLOOKUP($F91,categoriePers8jreo,3,FALSE),0)</f>
        <v>0</v>
      </c>
      <c r="M91" s="1461">
        <f>ROUND('geg ZO'!L113*VLOOKUP($F91,categoriePers8jreo,3,FALSE),0)</f>
        <v>0</v>
      </c>
      <c r="N91" s="1461">
        <f>ROUND('geg ZO'!M113*VLOOKUP($F91,categoriePers8jreo,3,FALSE),0)</f>
        <v>0</v>
      </c>
      <c r="O91" s="1461">
        <f>ROUND('geg ZO'!N113*VLOOKUP($F91,categoriePers8jreo,3,FALSE),0)</f>
        <v>0</v>
      </c>
      <c r="P91" s="1461">
        <f>ROUND('geg ZO'!O113*VLOOKUP($F91,categoriePers8jreo,3,FALSE),0)</f>
        <v>0</v>
      </c>
      <c r="Q91" s="1037"/>
      <c r="R91" s="539"/>
    </row>
    <row r="92" spans="2:18" ht="13.15" customHeight="1" x14ac:dyDescent="0.2">
      <c r="B92" s="26"/>
      <c r="C92" s="1037"/>
      <c r="D92" s="1447" t="str">
        <f>'geg ZO'!D116</f>
        <v>Naam SO 9</v>
      </c>
      <c r="E92" s="1037"/>
      <c r="F92" s="1037" t="str">
        <f>IF('geg ZO'!E116=1,"categorie 1",IF('geg ZO'!E116=2,"categorie 2","categorie 3"))</f>
        <v>categorie 1</v>
      </c>
      <c r="G92" s="1076" t="s">
        <v>145</v>
      </c>
      <c r="H92" s="1037"/>
      <c r="I92" s="1461">
        <v>0</v>
      </c>
      <c r="J92" s="1461">
        <f>ROUND('geg ZO'!I116*VLOOKUP($F92,categoriePers,3,FALSE),0)</f>
        <v>0</v>
      </c>
      <c r="K92" s="1461">
        <f>ROUND('geg ZO'!J116*VLOOKUP($F92,categoriePers,3,FALSE),0)</f>
        <v>0</v>
      </c>
      <c r="L92" s="1461">
        <f>ROUND('geg ZO'!K116*VLOOKUP($F92,categoriePers,3,FALSE),0)</f>
        <v>0</v>
      </c>
      <c r="M92" s="1461">
        <f>ROUND('geg ZO'!L116*VLOOKUP($F92,categoriePers,3,FALSE),0)</f>
        <v>0</v>
      </c>
      <c r="N92" s="1461">
        <f>ROUND('geg ZO'!M116*VLOOKUP($F92,categoriePers,3,FALSE),0)</f>
        <v>0</v>
      </c>
      <c r="O92" s="1461">
        <f>ROUND('geg ZO'!N116*VLOOKUP($F92,categoriePers,3,FALSE),0)</f>
        <v>0</v>
      </c>
      <c r="P92" s="1461">
        <f>ROUND('geg ZO'!O116*VLOOKUP($F92,categoriePers,3,FALSE),0)</f>
        <v>0</v>
      </c>
      <c r="Q92" s="1037"/>
      <c r="R92" s="539"/>
    </row>
    <row r="93" spans="2:18" ht="13.15" customHeight="1" x14ac:dyDescent="0.2">
      <c r="B93" s="26"/>
      <c r="C93" s="1037"/>
      <c r="D93" s="1000" t="s">
        <v>40</v>
      </c>
      <c r="E93" s="1037"/>
      <c r="F93" s="1037" t="str">
        <f>IF('geg ZO'!E117=1,"categorie 1",IF('geg ZO'!E117=2,"categorie 2","categorie 3"))</f>
        <v>categorie 2</v>
      </c>
      <c r="G93" s="1076" t="s">
        <v>145</v>
      </c>
      <c r="H93" s="1037"/>
      <c r="I93" s="1461">
        <v>0</v>
      </c>
      <c r="J93" s="1461">
        <f>ROUND('geg ZO'!I117*VLOOKUP($F93,categoriePers,3,FALSE),0)</f>
        <v>0</v>
      </c>
      <c r="K93" s="1461">
        <f>ROUND('geg ZO'!J117*VLOOKUP($F93,categoriePers,3,FALSE),0)</f>
        <v>0</v>
      </c>
      <c r="L93" s="1461">
        <f>ROUND('geg ZO'!K117*VLOOKUP($F93,categoriePers,3,FALSE),0)</f>
        <v>0</v>
      </c>
      <c r="M93" s="1461">
        <f>ROUND('geg ZO'!L117*VLOOKUP($F93,categoriePers,3,FALSE),0)</f>
        <v>0</v>
      </c>
      <c r="N93" s="1461">
        <f>ROUND('geg ZO'!M117*VLOOKUP($F93,categoriePers,3,FALSE),0)</f>
        <v>0</v>
      </c>
      <c r="O93" s="1461">
        <f>ROUND('geg ZO'!N117*VLOOKUP($F93,categoriePers,3,FALSE),0)</f>
        <v>0</v>
      </c>
      <c r="P93" s="1461">
        <f>ROUND('geg ZO'!O117*VLOOKUP($F93,categoriePers,3,FALSE),0)</f>
        <v>0</v>
      </c>
      <c r="Q93" s="1037"/>
      <c r="R93" s="539"/>
    </row>
    <row r="94" spans="2:18" ht="13.15" customHeight="1" x14ac:dyDescent="0.2">
      <c r="B94" s="26"/>
      <c r="C94" s="1037"/>
      <c r="D94" s="1000"/>
      <c r="E94" s="1037"/>
      <c r="F94" s="1037" t="str">
        <f>IF('geg ZO'!E118=1,"categorie 1",IF('geg ZO'!E118=2,"categorie 2","categorie 3"))</f>
        <v>categorie 3</v>
      </c>
      <c r="G94" s="1076" t="s">
        <v>145</v>
      </c>
      <c r="H94" s="1037"/>
      <c r="I94" s="1461">
        <v>0</v>
      </c>
      <c r="J94" s="1461">
        <f>ROUND('geg ZO'!I118*VLOOKUP($F94,categoriePers,3,FALSE),0)</f>
        <v>0</v>
      </c>
      <c r="K94" s="1461">
        <f>ROUND('geg ZO'!J118*VLOOKUP($F94,categoriePers,3,FALSE),0)</f>
        <v>0</v>
      </c>
      <c r="L94" s="1461">
        <f>ROUND('geg ZO'!K118*VLOOKUP($F94,categoriePers,3,FALSE),0)</f>
        <v>0</v>
      </c>
      <c r="M94" s="1461">
        <f>ROUND('geg ZO'!L118*VLOOKUP($F94,categoriePers,3,FALSE),0)</f>
        <v>0</v>
      </c>
      <c r="N94" s="1461">
        <f>ROUND('geg ZO'!M118*VLOOKUP($F94,categoriePers,3,FALSE),0)</f>
        <v>0</v>
      </c>
      <c r="O94" s="1461">
        <f>ROUND('geg ZO'!N118*VLOOKUP($F94,categoriePers,3,FALSE),0)</f>
        <v>0</v>
      </c>
      <c r="P94" s="1461">
        <f>ROUND('geg ZO'!O118*VLOOKUP($F94,categoriePers,3,FALSE),0)</f>
        <v>0</v>
      </c>
      <c r="Q94" s="1037"/>
      <c r="R94" s="539"/>
    </row>
    <row r="95" spans="2:18" ht="13.15" customHeight="1" x14ac:dyDescent="0.2">
      <c r="B95" s="26"/>
      <c r="C95" s="1037"/>
      <c r="D95" s="1000"/>
      <c r="E95" s="1037"/>
      <c r="F95" s="1037" t="str">
        <f>IF('geg ZO'!E119=1,"categorie 1",IF('geg ZO'!E119=2,"categorie 2","categorie 3"))</f>
        <v>categorie 1</v>
      </c>
      <c r="G95" s="1076" t="s">
        <v>125</v>
      </c>
      <c r="H95" s="1037"/>
      <c r="I95" s="1461">
        <v>0</v>
      </c>
      <c r="J95" s="1461">
        <f>ROUND('geg ZO'!I119*VLOOKUP($F95,categoriePers8jreo,3,FALSE),0)</f>
        <v>0</v>
      </c>
      <c r="K95" s="1461">
        <f>ROUND('geg ZO'!J119*VLOOKUP($F95,categoriePers8jreo,3,FALSE),0)</f>
        <v>0</v>
      </c>
      <c r="L95" s="1461">
        <f>ROUND('geg ZO'!K119*VLOOKUP($F95,categoriePers8jreo,3,FALSE),0)</f>
        <v>0</v>
      </c>
      <c r="M95" s="1461">
        <f>ROUND('geg ZO'!L119*VLOOKUP($F95,categoriePers8jreo,3,FALSE),0)</f>
        <v>0</v>
      </c>
      <c r="N95" s="1461">
        <f>ROUND('geg ZO'!M119*VLOOKUP($F95,categoriePers8jreo,3,FALSE),0)</f>
        <v>0</v>
      </c>
      <c r="O95" s="1461">
        <f>ROUND('geg ZO'!N119*VLOOKUP($F95,categoriePers8jreo,3,FALSE),0)</f>
        <v>0</v>
      </c>
      <c r="P95" s="1461">
        <f>ROUND('geg ZO'!O119*VLOOKUP($F95,categoriePers8jreo,3,FALSE),0)</f>
        <v>0</v>
      </c>
      <c r="Q95" s="1037"/>
      <c r="R95" s="539"/>
    </row>
    <row r="96" spans="2:18" ht="13.15" customHeight="1" x14ac:dyDescent="0.2">
      <c r="B96" s="26"/>
      <c r="C96" s="1037"/>
      <c r="D96" s="1000"/>
      <c r="E96" s="1037"/>
      <c r="F96" s="1037" t="str">
        <f>IF('geg ZO'!E120=1,"categorie 1",IF('geg ZO'!E120=2,"categorie 2","categorie 3"))</f>
        <v>categorie 2</v>
      </c>
      <c r="G96" s="1076" t="s">
        <v>125</v>
      </c>
      <c r="H96" s="1037"/>
      <c r="I96" s="1461">
        <v>0</v>
      </c>
      <c r="J96" s="1461">
        <f>ROUND('geg ZO'!I120*VLOOKUP($F96,categoriePers8jreo,3,FALSE),0)</f>
        <v>0</v>
      </c>
      <c r="K96" s="1461">
        <f>ROUND('geg ZO'!J120*VLOOKUP($F96,categoriePers8jreo,3,FALSE),0)</f>
        <v>0</v>
      </c>
      <c r="L96" s="1461">
        <f>ROUND('geg ZO'!K120*VLOOKUP($F96,categoriePers8jreo,3,FALSE),0)</f>
        <v>0</v>
      </c>
      <c r="M96" s="1461">
        <f>ROUND('geg ZO'!L120*VLOOKUP($F96,categoriePers8jreo,3,FALSE),0)</f>
        <v>0</v>
      </c>
      <c r="N96" s="1461">
        <f>ROUND('geg ZO'!M120*VLOOKUP($F96,categoriePers8jreo,3,FALSE),0)</f>
        <v>0</v>
      </c>
      <c r="O96" s="1461">
        <f>ROUND('geg ZO'!N120*VLOOKUP($F96,categoriePers8jreo,3,FALSE),0)</f>
        <v>0</v>
      </c>
      <c r="P96" s="1461">
        <f>ROUND('geg ZO'!O120*VLOOKUP($F96,categoriePers8jreo,3,FALSE),0)</f>
        <v>0</v>
      </c>
      <c r="Q96" s="1037"/>
      <c r="R96" s="539"/>
    </row>
    <row r="97" spans="2:18" ht="13.15" customHeight="1" x14ac:dyDescent="0.2">
      <c r="B97" s="26"/>
      <c r="C97" s="1037"/>
      <c r="D97" s="1000"/>
      <c r="E97" s="1037"/>
      <c r="F97" s="1037" t="str">
        <f>IF('geg ZO'!E121=1,"categorie 1",IF('geg ZO'!E121=2,"categorie 2","categorie 3"))</f>
        <v>categorie 3</v>
      </c>
      <c r="G97" s="1076" t="s">
        <v>125</v>
      </c>
      <c r="H97" s="1037"/>
      <c r="I97" s="1461">
        <v>0</v>
      </c>
      <c r="J97" s="1461">
        <f>ROUND('geg ZO'!I121*VLOOKUP($F97,categoriePers8jreo,3,FALSE),0)</f>
        <v>0</v>
      </c>
      <c r="K97" s="1461">
        <f>ROUND('geg ZO'!J121*VLOOKUP($F97,categoriePers8jreo,3,FALSE),0)</f>
        <v>0</v>
      </c>
      <c r="L97" s="1461">
        <f>ROUND('geg ZO'!K121*VLOOKUP($F97,categoriePers8jreo,3,FALSE),0)</f>
        <v>0</v>
      </c>
      <c r="M97" s="1461">
        <f>ROUND('geg ZO'!L121*VLOOKUP($F97,categoriePers8jreo,3,FALSE),0)</f>
        <v>0</v>
      </c>
      <c r="N97" s="1461">
        <f>ROUND('geg ZO'!M121*VLOOKUP($F97,categoriePers8jreo,3,FALSE),0)</f>
        <v>0</v>
      </c>
      <c r="O97" s="1461">
        <f>ROUND('geg ZO'!N121*VLOOKUP($F97,categoriePers8jreo,3,FALSE),0)</f>
        <v>0</v>
      </c>
      <c r="P97" s="1461">
        <f>ROUND('geg ZO'!O121*VLOOKUP($F97,categoriePers8jreo,3,FALSE),0)</f>
        <v>0</v>
      </c>
      <c r="Q97" s="1037"/>
      <c r="R97" s="539"/>
    </row>
    <row r="98" spans="2:18" ht="13.15" customHeight="1" x14ac:dyDescent="0.2">
      <c r="B98" s="26"/>
      <c r="C98" s="1037"/>
      <c r="D98" s="1447" t="str">
        <f>'geg ZO'!D124</f>
        <v>Naam SO 10</v>
      </c>
      <c r="E98" s="1037"/>
      <c r="F98" s="1037" t="str">
        <f>IF('geg ZO'!E124=1,"categorie 1",IF('geg ZO'!E124=2,"categorie 2","categorie 3"))</f>
        <v>categorie 1</v>
      </c>
      <c r="G98" s="1076" t="s">
        <v>145</v>
      </c>
      <c r="H98" s="1037"/>
      <c r="I98" s="1461">
        <v>0</v>
      </c>
      <c r="J98" s="1461">
        <f>ROUND('geg ZO'!I124*VLOOKUP($F98,categoriePers,3,FALSE),0)</f>
        <v>0</v>
      </c>
      <c r="K98" s="1461">
        <f>ROUND('geg ZO'!J124*VLOOKUP($F98,categoriePers,3,FALSE),0)</f>
        <v>0</v>
      </c>
      <c r="L98" s="1461">
        <f>ROUND('geg ZO'!K124*VLOOKUP($F98,categoriePers,3,FALSE),0)</f>
        <v>0</v>
      </c>
      <c r="M98" s="1461">
        <f>ROUND('geg ZO'!L124*VLOOKUP($F98,categoriePers,3,FALSE),0)</f>
        <v>0</v>
      </c>
      <c r="N98" s="1461">
        <f>ROUND('geg ZO'!M124*VLOOKUP($F98,categoriePers,3,FALSE),0)</f>
        <v>0</v>
      </c>
      <c r="O98" s="1461">
        <f>ROUND('geg ZO'!N124*VLOOKUP($F98,categoriePers,3,FALSE),0)</f>
        <v>0</v>
      </c>
      <c r="P98" s="1461">
        <f>ROUND('geg ZO'!O124*VLOOKUP($F98,categoriePers,3,FALSE),0)</f>
        <v>0</v>
      </c>
      <c r="Q98" s="1037"/>
      <c r="R98" s="539"/>
    </row>
    <row r="99" spans="2:18" ht="13.15" customHeight="1" x14ac:dyDescent="0.2">
      <c r="B99" s="26"/>
      <c r="C99" s="1037"/>
      <c r="D99" s="1000" t="s">
        <v>40</v>
      </c>
      <c r="E99" s="1037"/>
      <c r="F99" s="1037" t="str">
        <f>IF('geg ZO'!E125=1,"categorie 1",IF('geg ZO'!E125=2,"categorie 2","categorie 3"))</f>
        <v>categorie 2</v>
      </c>
      <c r="G99" s="1076" t="s">
        <v>145</v>
      </c>
      <c r="H99" s="1037"/>
      <c r="I99" s="1461">
        <v>0</v>
      </c>
      <c r="J99" s="1461">
        <f>ROUND('geg ZO'!I125*VLOOKUP($F99,categoriePers,3,FALSE),0)</f>
        <v>0</v>
      </c>
      <c r="K99" s="1461">
        <f>ROUND('geg ZO'!J125*VLOOKUP($F99,categoriePers,3,FALSE),0)</f>
        <v>0</v>
      </c>
      <c r="L99" s="1461">
        <f>ROUND('geg ZO'!K125*VLOOKUP($F99,categoriePers,3,FALSE),0)</f>
        <v>0</v>
      </c>
      <c r="M99" s="1461">
        <f>ROUND('geg ZO'!L125*VLOOKUP($F99,categoriePers,3,FALSE),0)</f>
        <v>0</v>
      </c>
      <c r="N99" s="1461">
        <f>ROUND('geg ZO'!M125*VLOOKUP($F99,categoriePers,3,FALSE),0)</f>
        <v>0</v>
      </c>
      <c r="O99" s="1461">
        <f>ROUND('geg ZO'!N125*VLOOKUP($F99,categoriePers,3,FALSE),0)</f>
        <v>0</v>
      </c>
      <c r="P99" s="1461">
        <f>ROUND('geg ZO'!O125*VLOOKUP($F99,categoriePers,3,FALSE),0)</f>
        <v>0</v>
      </c>
      <c r="Q99" s="1037"/>
      <c r="R99" s="539"/>
    </row>
    <row r="100" spans="2:18" ht="13.15" customHeight="1" x14ac:dyDescent="0.2">
      <c r="B100" s="26"/>
      <c r="C100" s="1037"/>
      <c r="D100" s="1000"/>
      <c r="E100" s="1037"/>
      <c r="F100" s="1037" t="str">
        <f>IF('geg ZO'!E126=1,"categorie 1",IF('geg ZO'!E126=2,"categorie 2","categorie 3"))</f>
        <v>categorie 3</v>
      </c>
      <c r="G100" s="1076" t="s">
        <v>145</v>
      </c>
      <c r="H100" s="1037"/>
      <c r="I100" s="1461">
        <v>0</v>
      </c>
      <c r="J100" s="1461">
        <f>ROUND('geg ZO'!I126*VLOOKUP($F100,categoriePers,3,FALSE),0)</f>
        <v>0</v>
      </c>
      <c r="K100" s="1461">
        <f>ROUND('geg ZO'!J126*VLOOKUP($F100,categoriePers,3,FALSE),0)</f>
        <v>0</v>
      </c>
      <c r="L100" s="1461">
        <f>ROUND('geg ZO'!K126*VLOOKUP($F100,categoriePers,3,FALSE),0)</f>
        <v>0</v>
      </c>
      <c r="M100" s="1461">
        <f>ROUND('geg ZO'!L126*VLOOKUP($F100,categoriePers,3,FALSE),0)</f>
        <v>0</v>
      </c>
      <c r="N100" s="1461">
        <f>ROUND('geg ZO'!M126*VLOOKUP($F100,categoriePers,3,FALSE),0)</f>
        <v>0</v>
      </c>
      <c r="O100" s="1461">
        <f>ROUND('geg ZO'!N126*VLOOKUP($F100,categoriePers,3,FALSE),0)</f>
        <v>0</v>
      </c>
      <c r="P100" s="1461">
        <f>ROUND('geg ZO'!O126*VLOOKUP($F100,categoriePers,3,FALSE),0)</f>
        <v>0</v>
      </c>
      <c r="Q100" s="1037"/>
      <c r="R100" s="539"/>
    </row>
    <row r="101" spans="2:18" ht="13.15" customHeight="1" x14ac:dyDescent="0.2">
      <c r="B101" s="26"/>
      <c r="C101" s="1037"/>
      <c r="D101" s="1000"/>
      <c r="E101" s="1037"/>
      <c r="F101" s="1037" t="str">
        <f>IF('geg ZO'!E127=1,"categorie 1",IF('geg ZO'!E127=2,"categorie 2","categorie 3"))</f>
        <v>categorie 1</v>
      </c>
      <c r="G101" s="1076" t="s">
        <v>125</v>
      </c>
      <c r="H101" s="1037"/>
      <c r="I101" s="1461">
        <v>0</v>
      </c>
      <c r="J101" s="1461">
        <f>ROUND('geg ZO'!I127*VLOOKUP($F101,categoriePers8jreo,3,FALSE),0)</f>
        <v>0</v>
      </c>
      <c r="K101" s="1461">
        <f>ROUND('geg ZO'!J127*VLOOKUP($F101,categoriePers8jreo,3,FALSE),0)</f>
        <v>0</v>
      </c>
      <c r="L101" s="1461">
        <f>ROUND('geg ZO'!K127*VLOOKUP($F101,categoriePers8jreo,3,FALSE),0)</f>
        <v>0</v>
      </c>
      <c r="M101" s="1461">
        <f>ROUND('geg ZO'!L127*VLOOKUP($F101,categoriePers8jreo,3,FALSE),0)</f>
        <v>0</v>
      </c>
      <c r="N101" s="1461">
        <f>ROUND('geg ZO'!M127*VLOOKUP($F101,categoriePers8jreo,3,FALSE),0)</f>
        <v>0</v>
      </c>
      <c r="O101" s="1461">
        <f>ROUND('geg ZO'!N127*VLOOKUP($F101,categoriePers8jreo,3,FALSE),0)</f>
        <v>0</v>
      </c>
      <c r="P101" s="1461">
        <f>ROUND('geg ZO'!O127*VLOOKUP($F101,categoriePers8jreo,3,FALSE),0)</f>
        <v>0</v>
      </c>
      <c r="Q101" s="1037"/>
      <c r="R101" s="539"/>
    </row>
    <row r="102" spans="2:18" ht="13.15" customHeight="1" x14ac:dyDescent="0.2">
      <c r="B102" s="26"/>
      <c r="C102" s="1037"/>
      <c r="D102" s="1000"/>
      <c r="E102" s="1037"/>
      <c r="F102" s="1037" t="str">
        <f>IF('geg ZO'!E128=1,"categorie 1",IF('geg ZO'!E128=2,"categorie 2","categorie 3"))</f>
        <v>categorie 2</v>
      </c>
      <c r="G102" s="1076" t="s">
        <v>125</v>
      </c>
      <c r="H102" s="1037"/>
      <c r="I102" s="1461">
        <v>0</v>
      </c>
      <c r="J102" s="1461">
        <f>ROUND('geg ZO'!I128*VLOOKUP($F102,categoriePers8jreo,3,FALSE),0)</f>
        <v>0</v>
      </c>
      <c r="K102" s="1461">
        <f>ROUND('geg ZO'!J128*VLOOKUP($F102,categoriePers8jreo,3,FALSE),0)</f>
        <v>0</v>
      </c>
      <c r="L102" s="1461">
        <f>ROUND('geg ZO'!K128*VLOOKUP($F102,categoriePers8jreo,3,FALSE),0)</f>
        <v>0</v>
      </c>
      <c r="M102" s="1461">
        <f>ROUND('geg ZO'!L128*VLOOKUP($F102,categoriePers8jreo,3,FALSE),0)</f>
        <v>0</v>
      </c>
      <c r="N102" s="1461">
        <f>ROUND('geg ZO'!M128*VLOOKUP($F102,categoriePers8jreo,3,FALSE),0)</f>
        <v>0</v>
      </c>
      <c r="O102" s="1461">
        <f>ROUND('geg ZO'!N128*VLOOKUP($F102,categoriePers8jreo,3,FALSE),0)</f>
        <v>0</v>
      </c>
      <c r="P102" s="1461">
        <f>ROUND('geg ZO'!O128*VLOOKUP($F102,categoriePers8jreo,3,FALSE),0)</f>
        <v>0</v>
      </c>
      <c r="Q102" s="1037"/>
      <c r="R102" s="539"/>
    </row>
    <row r="103" spans="2:18" ht="13.15" customHeight="1" x14ac:dyDescent="0.2">
      <c r="B103" s="26"/>
      <c r="C103" s="1037"/>
      <c r="D103" s="1000"/>
      <c r="E103" s="1037"/>
      <c r="F103" s="1037" t="str">
        <f>IF('geg ZO'!E129=1,"categorie 1",IF('geg ZO'!E129=2,"categorie 2","categorie 3"))</f>
        <v>categorie 3</v>
      </c>
      <c r="G103" s="1076" t="s">
        <v>125</v>
      </c>
      <c r="H103" s="1037"/>
      <c r="I103" s="1461">
        <v>0</v>
      </c>
      <c r="J103" s="1461">
        <f>ROUND('geg ZO'!I129*VLOOKUP($F103,categoriePers8jreo,3,FALSE),0)</f>
        <v>0</v>
      </c>
      <c r="K103" s="1461">
        <f>ROUND('geg ZO'!J129*VLOOKUP($F103,categoriePers8jreo,3,FALSE),0)</f>
        <v>0</v>
      </c>
      <c r="L103" s="1461">
        <f>ROUND('geg ZO'!K129*VLOOKUP($F103,categoriePers8jreo,3,FALSE),0)</f>
        <v>0</v>
      </c>
      <c r="M103" s="1461">
        <f>ROUND('geg ZO'!L129*VLOOKUP($F103,categoriePers8jreo,3,FALSE),0)</f>
        <v>0</v>
      </c>
      <c r="N103" s="1461">
        <f>ROUND('geg ZO'!M129*VLOOKUP($F103,categoriePers8jreo,3,FALSE),0)</f>
        <v>0</v>
      </c>
      <c r="O103" s="1461">
        <f>ROUND('geg ZO'!N129*VLOOKUP($F103,categoriePers8jreo,3,FALSE),0)</f>
        <v>0</v>
      </c>
      <c r="P103" s="1461">
        <f>ROUND('geg ZO'!O129*VLOOKUP($F103,categoriePers8jreo,3,FALSE),0)</f>
        <v>0</v>
      </c>
      <c r="Q103" s="1037"/>
      <c r="R103" s="539"/>
    </row>
    <row r="104" spans="2:18" ht="13.15" customHeight="1" x14ac:dyDescent="0.2">
      <c r="B104" s="26"/>
      <c r="C104" s="1037"/>
      <c r="D104" s="1447" t="str">
        <f>'geg ZO'!D132</f>
        <v>Naam SO 11</v>
      </c>
      <c r="E104" s="1037"/>
      <c r="F104" s="1037" t="str">
        <f>IF('geg ZO'!E132=1,"categorie 1",IF('geg ZO'!E132=2,"categorie 2","categorie 3"))</f>
        <v>categorie 1</v>
      </c>
      <c r="G104" s="1076" t="s">
        <v>145</v>
      </c>
      <c r="H104" s="1037"/>
      <c r="I104" s="1461">
        <v>0</v>
      </c>
      <c r="J104" s="1461">
        <f>ROUND('geg ZO'!I132*VLOOKUP($F104,categoriePers,3,FALSE),0)</f>
        <v>0</v>
      </c>
      <c r="K104" s="1461">
        <f>ROUND('geg ZO'!J132*VLOOKUP($F104,categoriePers,3,FALSE),0)</f>
        <v>0</v>
      </c>
      <c r="L104" s="1461">
        <f>ROUND('geg ZO'!K132*VLOOKUP($F104,categoriePers,3,FALSE),0)</f>
        <v>0</v>
      </c>
      <c r="M104" s="1461">
        <f>ROUND('geg ZO'!L132*VLOOKUP($F104,categoriePers,3,FALSE),0)</f>
        <v>0</v>
      </c>
      <c r="N104" s="1461">
        <f>ROUND('geg ZO'!M132*VLOOKUP($F104,categoriePers,3,FALSE),0)</f>
        <v>0</v>
      </c>
      <c r="O104" s="1461">
        <f>ROUND('geg ZO'!N132*VLOOKUP($F104,categoriePers,3,FALSE),0)</f>
        <v>0</v>
      </c>
      <c r="P104" s="1461">
        <f>ROUND('geg ZO'!O132*VLOOKUP($F104,categoriePers,3,FALSE),0)</f>
        <v>0</v>
      </c>
      <c r="Q104" s="1037"/>
      <c r="R104" s="539"/>
    </row>
    <row r="105" spans="2:18" ht="13.15" customHeight="1" x14ac:dyDescent="0.2">
      <c r="B105" s="26"/>
      <c r="C105" s="1037"/>
      <c r="D105" s="1000" t="s">
        <v>40</v>
      </c>
      <c r="E105" s="1037"/>
      <c r="F105" s="1037" t="str">
        <f>IF('geg ZO'!E133=1,"categorie 1",IF('geg ZO'!E133=2,"categorie 2","categorie 3"))</f>
        <v>categorie 2</v>
      </c>
      <c r="G105" s="1076" t="s">
        <v>145</v>
      </c>
      <c r="H105" s="1037"/>
      <c r="I105" s="1461">
        <v>0</v>
      </c>
      <c r="J105" s="1461">
        <f>ROUND('geg ZO'!I133*VLOOKUP($F105,categoriePers,3,FALSE),0)</f>
        <v>0</v>
      </c>
      <c r="K105" s="1461">
        <f>ROUND('geg ZO'!J133*VLOOKUP($F105,categoriePers,3,FALSE),0)</f>
        <v>0</v>
      </c>
      <c r="L105" s="1461">
        <f>ROUND('geg ZO'!K133*VLOOKUP($F105,categoriePers,3,FALSE),0)</f>
        <v>0</v>
      </c>
      <c r="M105" s="1461">
        <f>ROUND('geg ZO'!L133*VLOOKUP($F105,categoriePers,3,FALSE),0)</f>
        <v>0</v>
      </c>
      <c r="N105" s="1461">
        <f>ROUND('geg ZO'!M133*VLOOKUP($F105,categoriePers,3,FALSE),0)</f>
        <v>0</v>
      </c>
      <c r="O105" s="1461">
        <f>ROUND('geg ZO'!N133*VLOOKUP($F105,categoriePers,3,FALSE),0)</f>
        <v>0</v>
      </c>
      <c r="P105" s="1461">
        <f>ROUND('geg ZO'!O133*VLOOKUP($F105,categoriePers,3,FALSE),0)</f>
        <v>0</v>
      </c>
      <c r="Q105" s="1037"/>
      <c r="R105" s="539"/>
    </row>
    <row r="106" spans="2:18" ht="13.15" customHeight="1" x14ac:dyDescent="0.2">
      <c r="B106" s="26"/>
      <c r="C106" s="1037"/>
      <c r="D106" s="1000"/>
      <c r="E106" s="1037"/>
      <c r="F106" s="1037" t="str">
        <f>IF('geg ZO'!E134=1,"categorie 1",IF('geg ZO'!E134=2,"categorie 2","categorie 3"))</f>
        <v>categorie 3</v>
      </c>
      <c r="G106" s="1076" t="s">
        <v>145</v>
      </c>
      <c r="H106" s="1037"/>
      <c r="I106" s="1461">
        <v>0</v>
      </c>
      <c r="J106" s="1461">
        <f>ROUND('geg ZO'!I134*VLOOKUP($F106,categoriePers,3,FALSE),0)</f>
        <v>0</v>
      </c>
      <c r="K106" s="1461">
        <f>ROUND('geg ZO'!J134*VLOOKUP($F106,categoriePers,3,FALSE),0)</f>
        <v>0</v>
      </c>
      <c r="L106" s="1461">
        <f>ROUND('geg ZO'!K134*VLOOKUP($F106,categoriePers,3,FALSE),0)</f>
        <v>0</v>
      </c>
      <c r="M106" s="1461">
        <f>ROUND('geg ZO'!L134*VLOOKUP($F106,categoriePers,3,FALSE),0)</f>
        <v>0</v>
      </c>
      <c r="N106" s="1461">
        <f>ROUND('geg ZO'!M134*VLOOKUP($F106,categoriePers,3,FALSE),0)</f>
        <v>0</v>
      </c>
      <c r="O106" s="1461">
        <f>ROUND('geg ZO'!N134*VLOOKUP($F106,categoriePers,3,FALSE),0)</f>
        <v>0</v>
      </c>
      <c r="P106" s="1461">
        <f>ROUND('geg ZO'!O134*VLOOKUP($F106,categoriePers,3,FALSE),0)</f>
        <v>0</v>
      </c>
      <c r="Q106" s="1037"/>
      <c r="R106" s="539"/>
    </row>
    <row r="107" spans="2:18" ht="13.15" customHeight="1" x14ac:dyDescent="0.2">
      <c r="B107" s="26"/>
      <c r="C107" s="1037"/>
      <c r="D107" s="1000"/>
      <c r="E107" s="1037"/>
      <c r="F107" s="1037" t="str">
        <f>IF('geg ZO'!E135=1,"categorie 1",IF('geg ZO'!E135=2,"categorie 2","categorie 3"))</f>
        <v>categorie 1</v>
      </c>
      <c r="G107" s="1076" t="s">
        <v>125</v>
      </c>
      <c r="H107" s="1037"/>
      <c r="I107" s="1461">
        <v>0</v>
      </c>
      <c r="J107" s="1461">
        <f>ROUND('geg ZO'!I135*VLOOKUP($F107,categoriePers8jreo,3,FALSE),0)</f>
        <v>0</v>
      </c>
      <c r="K107" s="1461">
        <f>ROUND('geg ZO'!J135*VLOOKUP($F107,categoriePers8jreo,3,FALSE),0)</f>
        <v>0</v>
      </c>
      <c r="L107" s="1461">
        <f>ROUND('geg ZO'!K135*VLOOKUP($F107,categoriePers8jreo,3,FALSE),0)</f>
        <v>0</v>
      </c>
      <c r="M107" s="1461">
        <f>ROUND('geg ZO'!L135*VLOOKUP($F107,categoriePers8jreo,3,FALSE),0)</f>
        <v>0</v>
      </c>
      <c r="N107" s="1461">
        <f>ROUND('geg ZO'!M135*VLOOKUP($F107,categoriePers8jreo,3,FALSE),0)</f>
        <v>0</v>
      </c>
      <c r="O107" s="1461">
        <f>ROUND('geg ZO'!N135*VLOOKUP($F107,categoriePers8jreo,3,FALSE),0)</f>
        <v>0</v>
      </c>
      <c r="P107" s="1461">
        <f>ROUND('geg ZO'!O135*VLOOKUP($F107,categoriePers8jreo,3,FALSE),0)</f>
        <v>0</v>
      </c>
      <c r="Q107" s="1037"/>
      <c r="R107" s="539"/>
    </row>
    <row r="108" spans="2:18" ht="13.15" customHeight="1" x14ac:dyDescent="0.2">
      <c r="B108" s="26"/>
      <c r="C108" s="1037"/>
      <c r="D108" s="1000"/>
      <c r="E108" s="1037"/>
      <c r="F108" s="1037" t="str">
        <f>IF('geg ZO'!E136=1,"categorie 1",IF('geg ZO'!E136=2,"categorie 2","categorie 3"))</f>
        <v>categorie 2</v>
      </c>
      <c r="G108" s="1076" t="s">
        <v>125</v>
      </c>
      <c r="H108" s="1037"/>
      <c r="I108" s="1461">
        <v>0</v>
      </c>
      <c r="J108" s="1461">
        <f>ROUND('geg ZO'!I136*VLOOKUP($F108,categoriePers8jreo,3,FALSE),0)</f>
        <v>0</v>
      </c>
      <c r="K108" s="1461">
        <f>ROUND('geg ZO'!J136*VLOOKUP($F108,categoriePers8jreo,3,FALSE),0)</f>
        <v>0</v>
      </c>
      <c r="L108" s="1461">
        <f>ROUND('geg ZO'!K136*VLOOKUP($F108,categoriePers8jreo,3,FALSE),0)</f>
        <v>0</v>
      </c>
      <c r="M108" s="1461">
        <f>ROUND('geg ZO'!L136*VLOOKUP($F108,categoriePers8jreo,3,FALSE),0)</f>
        <v>0</v>
      </c>
      <c r="N108" s="1461">
        <f>ROUND('geg ZO'!M136*VLOOKUP($F108,categoriePers8jreo,3,FALSE),0)</f>
        <v>0</v>
      </c>
      <c r="O108" s="1461">
        <f>ROUND('geg ZO'!N136*VLOOKUP($F108,categoriePers8jreo,3,FALSE),0)</f>
        <v>0</v>
      </c>
      <c r="P108" s="1461">
        <f>ROUND('geg ZO'!O136*VLOOKUP($F108,categoriePers8jreo,3,FALSE),0)</f>
        <v>0</v>
      </c>
      <c r="Q108" s="1037"/>
      <c r="R108" s="539"/>
    </row>
    <row r="109" spans="2:18" ht="13.15" customHeight="1" x14ac:dyDescent="0.2">
      <c r="B109" s="26"/>
      <c r="C109" s="1037"/>
      <c r="D109" s="1000"/>
      <c r="E109" s="1037"/>
      <c r="F109" s="1037" t="str">
        <f>IF('geg ZO'!E137=1,"categorie 1",IF('geg ZO'!E137=2,"categorie 2","categorie 3"))</f>
        <v>categorie 3</v>
      </c>
      <c r="G109" s="1076" t="s">
        <v>125</v>
      </c>
      <c r="H109" s="1037"/>
      <c r="I109" s="1461">
        <v>0</v>
      </c>
      <c r="J109" s="1461">
        <f>ROUND('geg ZO'!I137*VLOOKUP($F109,categoriePers8jreo,3,FALSE),0)</f>
        <v>0</v>
      </c>
      <c r="K109" s="1461">
        <f>ROUND('geg ZO'!J137*VLOOKUP($F109,categoriePers8jreo,3,FALSE),0)</f>
        <v>0</v>
      </c>
      <c r="L109" s="1461">
        <f>ROUND('geg ZO'!K137*VLOOKUP($F109,categoriePers8jreo,3,FALSE),0)</f>
        <v>0</v>
      </c>
      <c r="M109" s="1461">
        <f>ROUND('geg ZO'!L137*VLOOKUP($F109,categoriePers8jreo,3,FALSE),0)</f>
        <v>0</v>
      </c>
      <c r="N109" s="1461">
        <f>ROUND('geg ZO'!M137*VLOOKUP($F109,categoriePers8jreo,3,FALSE),0)</f>
        <v>0</v>
      </c>
      <c r="O109" s="1461">
        <f>ROUND('geg ZO'!N137*VLOOKUP($F109,categoriePers8jreo,3,FALSE),0)</f>
        <v>0</v>
      </c>
      <c r="P109" s="1461">
        <f>ROUND('geg ZO'!O137*VLOOKUP($F109,categoriePers8jreo,3,FALSE),0)</f>
        <v>0</v>
      </c>
      <c r="Q109" s="1037"/>
      <c r="R109" s="539"/>
    </row>
    <row r="110" spans="2:18" ht="13.15" customHeight="1" x14ac:dyDescent="0.2">
      <c r="B110" s="26"/>
      <c r="C110" s="1037"/>
      <c r="D110" s="1447" t="str">
        <f>'geg ZO'!D140</f>
        <v>Naam SO 12</v>
      </c>
      <c r="E110" s="1037"/>
      <c r="F110" s="1037" t="str">
        <f>IF('geg ZO'!E140=1,"categorie 1",IF('geg ZO'!E140=2,"categorie 2","categorie 3"))</f>
        <v>categorie 1</v>
      </c>
      <c r="G110" s="1076" t="s">
        <v>145</v>
      </c>
      <c r="H110" s="1037"/>
      <c r="I110" s="1461">
        <v>0</v>
      </c>
      <c r="J110" s="1461">
        <f>ROUND('geg ZO'!I140*VLOOKUP($F110,categoriePers,3,FALSE),0)</f>
        <v>0</v>
      </c>
      <c r="K110" s="1461">
        <f>ROUND('geg ZO'!J140*VLOOKUP($F110,categoriePers,3,FALSE),0)</f>
        <v>0</v>
      </c>
      <c r="L110" s="1461">
        <f>ROUND('geg ZO'!K140*VLOOKUP($F110,categoriePers,3,FALSE),0)</f>
        <v>0</v>
      </c>
      <c r="M110" s="1461">
        <f>ROUND('geg ZO'!L140*VLOOKUP($F110,categoriePers,3,FALSE),0)</f>
        <v>0</v>
      </c>
      <c r="N110" s="1461">
        <f>ROUND('geg ZO'!M140*VLOOKUP($F110,categoriePers,3,FALSE),0)</f>
        <v>0</v>
      </c>
      <c r="O110" s="1461">
        <f>ROUND('geg ZO'!N140*VLOOKUP($F110,categoriePers,3,FALSE),0)</f>
        <v>0</v>
      </c>
      <c r="P110" s="1461">
        <f>ROUND('geg ZO'!O140*VLOOKUP($F110,categoriePers,3,FALSE),0)</f>
        <v>0</v>
      </c>
      <c r="Q110" s="1037"/>
      <c r="R110" s="539"/>
    </row>
    <row r="111" spans="2:18" ht="13.15" customHeight="1" x14ac:dyDescent="0.2">
      <c r="B111" s="26"/>
      <c r="C111" s="1037"/>
      <c r="D111" s="1000" t="s">
        <v>40</v>
      </c>
      <c r="E111" s="1037"/>
      <c r="F111" s="1037" t="str">
        <f>IF('geg ZO'!E141=1,"categorie 1",IF('geg ZO'!E141=2,"categorie 2","categorie 3"))</f>
        <v>categorie 2</v>
      </c>
      <c r="G111" s="1076" t="s">
        <v>145</v>
      </c>
      <c r="H111" s="1037"/>
      <c r="I111" s="1461">
        <v>0</v>
      </c>
      <c r="J111" s="1461">
        <f>ROUND('geg ZO'!I141*VLOOKUP($F111,categoriePers,3,FALSE),0)</f>
        <v>0</v>
      </c>
      <c r="K111" s="1461">
        <f>ROUND('geg ZO'!J141*VLOOKUP($F111,categoriePers,3,FALSE),0)</f>
        <v>0</v>
      </c>
      <c r="L111" s="1461">
        <f>ROUND('geg ZO'!K141*VLOOKUP($F111,categoriePers,3,FALSE),0)</f>
        <v>0</v>
      </c>
      <c r="M111" s="1461">
        <f>ROUND('geg ZO'!L141*VLOOKUP($F111,categoriePers,3,FALSE),0)</f>
        <v>0</v>
      </c>
      <c r="N111" s="1461">
        <f>ROUND('geg ZO'!M141*VLOOKUP($F111,categoriePers,3,FALSE),0)</f>
        <v>0</v>
      </c>
      <c r="O111" s="1461">
        <f>ROUND('geg ZO'!N141*VLOOKUP($F111,categoriePers,3,FALSE),0)</f>
        <v>0</v>
      </c>
      <c r="P111" s="1461">
        <f>ROUND('geg ZO'!O141*VLOOKUP($F111,categoriePers,3,FALSE),0)</f>
        <v>0</v>
      </c>
      <c r="Q111" s="1037"/>
      <c r="R111" s="539"/>
    </row>
    <row r="112" spans="2:18" ht="13.15" customHeight="1" x14ac:dyDescent="0.2">
      <c r="B112" s="26"/>
      <c r="C112" s="1037"/>
      <c r="D112" s="1000"/>
      <c r="E112" s="1037"/>
      <c r="F112" s="1037" t="str">
        <f>IF('geg ZO'!E142=1,"categorie 1",IF('geg ZO'!E142=2,"categorie 2","categorie 3"))</f>
        <v>categorie 3</v>
      </c>
      <c r="G112" s="1076" t="s">
        <v>145</v>
      </c>
      <c r="H112" s="1037"/>
      <c r="I112" s="1461">
        <v>0</v>
      </c>
      <c r="J112" s="1461">
        <f>ROUND('geg ZO'!I142*VLOOKUP($F112,categoriePers,3,FALSE),0)</f>
        <v>0</v>
      </c>
      <c r="K112" s="1461">
        <f>ROUND('geg ZO'!J142*VLOOKUP($F112,categoriePers,3,FALSE),0)</f>
        <v>0</v>
      </c>
      <c r="L112" s="1461">
        <f>ROUND('geg ZO'!K142*VLOOKUP($F112,categoriePers,3,FALSE),0)</f>
        <v>0</v>
      </c>
      <c r="M112" s="1461">
        <f>ROUND('geg ZO'!L142*VLOOKUP($F112,categoriePers,3,FALSE),0)</f>
        <v>0</v>
      </c>
      <c r="N112" s="1461">
        <f>ROUND('geg ZO'!M142*VLOOKUP($F112,categoriePers,3,FALSE),0)</f>
        <v>0</v>
      </c>
      <c r="O112" s="1461">
        <f>ROUND('geg ZO'!N142*VLOOKUP($F112,categoriePers,3,FALSE),0)</f>
        <v>0</v>
      </c>
      <c r="P112" s="1461">
        <f>ROUND('geg ZO'!O142*VLOOKUP($F112,categoriePers,3,FALSE),0)</f>
        <v>0</v>
      </c>
      <c r="Q112" s="1037"/>
      <c r="R112" s="539"/>
    </row>
    <row r="113" spans="2:18" ht="13.15" customHeight="1" x14ac:dyDescent="0.2">
      <c r="B113" s="26"/>
      <c r="C113" s="1037"/>
      <c r="D113" s="1000"/>
      <c r="E113" s="1037"/>
      <c r="F113" s="1037" t="str">
        <f>IF('geg ZO'!E143=1,"categorie 1",IF('geg ZO'!E143=2,"categorie 2","categorie 3"))</f>
        <v>categorie 1</v>
      </c>
      <c r="G113" s="1076" t="s">
        <v>125</v>
      </c>
      <c r="H113" s="1037"/>
      <c r="I113" s="1461">
        <v>0</v>
      </c>
      <c r="J113" s="1461">
        <f>ROUND('geg ZO'!I143*VLOOKUP($F113,categoriePers8jreo,3,FALSE),0)</f>
        <v>0</v>
      </c>
      <c r="K113" s="1461">
        <f>ROUND('geg ZO'!J143*VLOOKUP($F113,categoriePers8jreo,3,FALSE),0)</f>
        <v>0</v>
      </c>
      <c r="L113" s="1461">
        <f>ROUND('geg ZO'!K143*VLOOKUP($F113,categoriePers8jreo,3,FALSE),0)</f>
        <v>0</v>
      </c>
      <c r="M113" s="1461">
        <f>ROUND('geg ZO'!L143*VLOOKUP($F113,categoriePers8jreo,3,FALSE),0)</f>
        <v>0</v>
      </c>
      <c r="N113" s="1461">
        <f>ROUND('geg ZO'!M143*VLOOKUP($F113,categoriePers8jreo,3,FALSE),0)</f>
        <v>0</v>
      </c>
      <c r="O113" s="1461">
        <f>ROUND('geg ZO'!N143*VLOOKUP($F113,categoriePers8jreo,3,FALSE),0)</f>
        <v>0</v>
      </c>
      <c r="P113" s="1461">
        <f>ROUND('geg ZO'!O143*VLOOKUP($F113,categoriePers8jreo,3,FALSE),0)</f>
        <v>0</v>
      </c>
      <c r="Q113" s="1037"/>
      <c r="R113" s="539"/>
    </row>
    <row r="114" spans="2:18" ht="13.15" customHeight="1" x14ac:dyDescent="0.2">
      <c r="B114" s="26"/>
      <c r="C114" s="1037"/>
      <c r="D114" s="1000"/>
      <c r="E114" s="1037"/>
      <c r="F114" s="1037" t="str">
        <f>IF('geg ZO'!E144=1,"categorie 1",IF('geg ZO'!E144=2,"categorie 2","categorie 3"))</f>
        <v>categorie 2</v>
      </c>
      <c r="G114" s="1076" t="s">
        <v>125</v>
      </c>
      <c r="H114" s="1037"/>
      <c r="I114" s="1461">
        <v>0</v>
      </c>
      <c r="J114" s="1461">
        <f>ROUND('geg ZO'!I144*VLOOKUP($F114,categoriePers8jreo,3,FALSE),0)</f>
        <v>0</v>
      </c>
      <c r="K114" s="1461">
        <f>ROUND('geg ZO'!J144*VLOOKUP($F114,categoriePers8jreo,3,FALSE),0)</f>
        <v>0</v>
      </c>
      <c r="L114" s="1461">
        <f>ROUND('geg ZO'!K144*VLOOKUP($F114,categoriePers8jreo,3,FALSE),0)</f>
        <v>0</v>
      </c>
      <c r="M114" s="1461">
        <f>ROUND('geg ZO'!L144*VLOOKUP($F114,categoriePers8jreo,3,FALSE),0)</f>
        <v>0</v>
      </c>
      <c r="N114" s="1461">
        <f>ROUND('geg ZO'!M144*VLOOKUP($F114,categoriePers8jreo,3,FALSE),0)</f>
        <v>0</v>
      </c>
      <c r="O114" s="1461">
        <f>ROUND('geg ZO'!N144*VLOOKUP($F114,categoriePers8jreo,3,FALSE),0)</f>
        <v>0</v>
      </c>
      <c r="P114" s="1461">
        <f>ROUND('geg ZO'!O144*VLOOKUP($F114,categoriePers8jreo,3,FALSE),0)</f>
        <v>0</v>
      </c>
      <c r="Q114" s="1037"/>
      <c r="R114" s="539"/>
    </row>
    <row r="115" spans="2:18" ht="13.15" customHeight="1" x14ac:dyDescent="0.2">
      <c r="B115" s="26"/>
      <c r="C115" s="1037"/>
      <c r="D115" s="1000"/>
      <c r="E115" s="1037"/>
      <c r="F115" s="1037" t="str">
        <f>IF('geg ZO'!E145=1,"categorie 1",IF('geg ZO'!E145=2,"categorie 2","categorie 3"))</f>
        <v>categorie 3</v>
      </c>
      <c r="G115" s="1076" t="s">
        <v>125</v>
      </c>
      <c r="H115" s="1037"/>
      <c r="I115" s="1461">
        <v>0</v>
      </c>
      <c r="J115" s="1461">
        <f>ROUND('geg ZO'!I145*VLOOKUP($F115,categoriePers8jreo,3,FALSE),0)</f>
        <v>0</v>
      </c>
      <c r="K115" s="1461">
        <f>ROUND('geg ZO'!J145*VLOOKUP($F115,categoriePers8jreo,3,FALSE),0)</f>
        <v>0</v>
      </c>
      <c r="L115" s="1461">
        <f>ROUND('geg ZO'!K145*VLOOKUP($F115,categoriePers8jreo,3,FALSE),0)</f>
        <v>0</v>
      </c>
      <c r="M115" s="1461">
        <f>ROUND('geg ZO'!L145*VLOOKUP($F115,categoriePers8jreo,3,FALSE),0)</f>
        <v>0</v>
      </c>
      <c r="N115" s="1461">
        <f>ROUND('geg ZO'!M145*VLOOKUP($F115,categoriePers8jreo,3,FALSE),0)</f>
        <v>0</v>
      </c>
      <c r="O115" s="1461">
        <f>ROUND('geg ZO'!N145*VLOOKUP($F115,categoriePers8jreo,3,FALSE),0)</f>
        <v>0</v>
      </c>
      <c r="P115" s="1461">
        <f>ROUND('geg ZO'!O145*VLOOKUP($F115,categoriePers8jreo,3,FALSE),0)</f>
        <v>0</v>
      </c>
      <c r="Q115" s="1037"/>
      <c r="R115" s="539"/>
    </row>
    <row r="116" spans="2:18" ht="13.15" customHeight="1" x14ac:dyDescent="0.2">
      <c r="B116" s="26"/>
      <c r="C116" s="1037"/>
      <c r="D116" s="1447" t="str">
        <f>'geg ZO'!D148</f>
        <v>Naam SO 13</v>
      </c>
      <c r="E116" s="1037"/>
      <c r="F116" s="1037" t="str">
        <f>IF('geg ZO'!E148=1,"categorie 1",IF('geg ZO'!E148=2,"categorie 2","categorie 3"))</f>
        <v>categorie 1</v>
      </c>
      <c r="G116" s="1076" t="s">
        <v>145</v>
      </c>
      <c r="H116" s="1037"/>
      <c r="I116" s="1461">
        <v>0</v>
      </c>
      <c r="J116" s="1461">
        <f>ROUND('geg ZO'!I148*VLOOKUP($F116,categoriePers,3,FALSE),0)</f>
        <v>0</v>
      </c>
      <c r="K116" s="1461">
        <f>ROUND('geg ZO'!J148*VLOOKUP($F116,categoriePers,3,FALSE),0)</f>
        <v>0</v>
      </c>
      <c r="L116" s="1461">
        <f>ROUND('geg ZO'!K148*VLOOKUP($F116,categoriePers,3,FALSE),0)</f>
        <v>0</v>
      </c>
      <c r="M116" s="1461">
        <f>ROUND('geg ZO'!L148*VLOOKUP($F116,categoriePers,3,FALSE),0)</f>
        <v>0</v>
      </c>
      <c r="N116" s="1461">
        <f>ROUND('geg ZO'!M148*VLOOKUP($F116,categoriePers,3,FALSE),0)</f>
        <v>0</v>
      </c>
      <c r="O116" s="1461">
        <f>ROUND('geg ZO'!N148*VLOOKUP($F116,categoriePers,3,FALSE),0)</f>
        <v>0</v>
      </c>
      <c r="P116" s="1461">
        <f>ROUND('geg ZO'!O148*VLOOKUP($F116,categoriePers,3,FALSE),0)</f>
        <v>0</v>
      </c>
      <c r="Q116" s="1037"/>
      <c r="R116" s="539"/>
    </row>
    <row r="117" spans="2:18" ht="13.15" customHeight="1" x14ac:dyDescent="0.2">
      <c r="B117" s="26"/>
      <c r="C117" s="1037"/>
      <c r="D117" s="1000" t="s">
        <v>40</v>
      </c>
      <c r="E117" s="1037"/>
      <c r="F117" s="1037" t="str">
        <f>IF('geg ZO'!E149=1,"categorie 1",IF('geg ZO'!E149=2,"categorie 2","categorie 3"))</f>
        <v>categorie 2</v>
      </c>
      <c r="G117" s="1076" t="s">
        <v>145</v>
      </c>
      <c r="H117" s="1037"/>
      <c r="I117" s="1461">
        <v>0</v>
      </c>
      <c r="J117" s="1461">
        <f>ROUND('geg ZO'!I149*VLOOKUP($F117,categoriePers,3,FALSE),0)</f>
        <v>0</v>
      </c>
      <c r="K117" s="1461">
        <f>ROUND('geg ZO'!J149*VLOOKUP($F117,categoriePers,3,FALSE),0)</f>
        <v>0</v>
      </c>
      <c r="L117" s="1461">
        <f>ROUND('geg ZO'!K149*VLOOKUP($F117,categoriePers,3,FALSE),0)</f>
        <v>0</v>
      </c>
      <c r="M117" s="1461">
        <f>ROUND('geg ZO'!L149*VLOOKUP($F117,categoriePers,3,FALSE),0)</f>
        <v>0</v>
      </c>
      <c r="N117" s="1461">
        <f>ROUND('geg ZO'!M149*VLOOKUP($F117,categoriePers,3,FALSE),0)</f>
        <v>0</v>
      </c>
      <c r="O117" s="1461">
        <f>ROUND('geg ZO'!N149*VLOOKUP($F117,categoriePers,3,FALSE),0)</f>
        <v>0</v>
      </c>
      <c r="P117" s="1461">
        <f>ROUND('geg ZO'!O149*VLOOKUP($F117,categoriePers,3,FALSE),0)</f>
        <v>0</v>
      </c>
      <c r="Q117" s="1037"/>
      <c r="R117" s="539"/>
    </row>
    <row r="118" spans="2:18" ht="13.15" customHeight="1" x14ac:dyDescent="0.2">
      <c r="B118" s="26"/>
      <c r="C118" s="1037"/>
      <c r="D118" s="1000"/>
      <c r="E118" s="1037"/>
      <c r="F118" s="1037" t="str">
        <f>IF('geg ZO'!E150=1,"categorie 1",IF('geg ZO'!E150=2,"categorie 2","categorie 3"))</f>
        <v>categorie 3</v>
      </c>
      <c r="G118" s="1076" t="s">
        <v>145</v>
      </c>
      <c r="H118" s="1037"/>
      <c r="I118" s="1461">
        <v>0</v>
      </c>
      <c r="J118" s="1461">
        <f>ROUND('geg ZO'!I150*VLOOKUP($F118,categoriePers,3,FALSE),0)</f>
        <v>0</v>
      </c>
      <c r="K118" s="1461">
        <f>ROUND('geg ZO'!J150*VLOOKUP($F118,categoriePers,3,FALSE),0)</f>
        <v>0</v>
      </c>
      <c r="L118" s="1461">
        <f>ROUND('geg ZO'!K150*VLOOKUP($F118,categoriePers,3,FALSE),0)</f>
        <v>0</v>
      </c>
      <c r="M118" s="1461">
        <f>ROUND('geg ZO'!L150*VLOOKUP($F118,categoriePers,3,FALSE),0)</f>
        <v>0</v>
      </c>
      <c r="N118" s="1461">
        <f>ROUND('geg ZO'!M150*VLOOKUP($F118,categoriePers,3,FALSE),0)</f>
        <v>0</v>
      </c>
      <c r="O118" s="1461">
        <f>ROUND('geg ZO'!N150*VLOOKUP($F118,categoriePers,3,FALSE),0)</f>
        <v>0</v>
      </c>
      <c r="P118" s="1461">
        <f>ROUND('geg ZO'!O150*VLOOKUP($F118,categoriePers,3,FALSE),0)</f>
        <v>0</v>
      </c>
      <c r="Q118" s="1037"/>
      <c r="R118" s="539"/>
    </row>
    <row r="119" spans="2:18" ht="13.15" customHeight="1" x14ac:dyDescent="0.2">
      <c r="B119" s="26"/>
      <c r="C119" s="1037"/>
      <c r="D119" s="1000"/>
      <c r="E119" s="1037"/>
      <c r="F119" s="1037" t="str">
        <f>IF('geg ZO'!E151=1,"categorie 1",IF('geg ZO'!E151=2,"categorie 2","categorie 3"))</f>
        <v>categorie 1</v>
      </c>
      <c r="G119" s="1076" t="s">
        <v>125</v>
      </c>
      <c r="H119" s="1037"/>
      <c r="I119" s="1461">
        <v>0</v>
      </c>
      <c r="J119" s="1461">
        <f>ROUND('geg ZO'!I151*VLOOKUP($F119,categoriePers8jreo,3,FALSE),0)</f>
        <v>0</v>
      </c>
      <c r="K119" s="1461">
        <f>ROUND('geg ZO'!J151*VLOOKUP($F119,categoriePers8jreo,3,FALSE),0)</f>
        <v>0</v>
      </c>
      <c r="L119" s="1461">
        <f>ROUND('geg ZO'!K151*VLOOKUP($F119,categoriePers8jreo,3,FALSE),0)</f>
        <v>0</v>
      </c>
      <c r="M119" s="1461">
        <f>ROUND('geg ZO'!L151*VLOOKUP($F119,categoriePers8jreo,3,FALSE),0)</f>
        <v>0</v>
      </c>
      <c r="N119" s="1461">
        <f>ROUND('geg ZO'!M151*VLOOKUP($F119,categoriePers8jreo,3,FALSE),0)</f>
        <v>0</v>
      </c>
      <c r="O119" s="1461">
        <f>ROUND('geg ZO'!N151*VLOOKUP($F119,categoriePers8jreo,3,FALSE),0)</f>
        <v>0</v>
      </c>
      <c r="P119" s="1461">
        <f>ROUND('geg ZO'!O151*VLOOKUP($F119,categoriePers8jreo,3,FALSE),0)</f>
        <v>0</v>
      </c>
      <c r="Q119" s="1037"/>
      <c r="R119" s="539"/>
    </row>
    <row r="120" spans="2:18" ht="13.15" customHeight="1" x14ac:dyDescent="0.2">
      <c r="B120" s="26"/>
      <c r="C120" s="1037"/>
      <c r="D120" s="1000"/>
      <c r="E120" s="1037"/>
      <c r="F120" s="1037" t="str">
        <f>IF('geg ZO'!E152=1,"categorie 1",IF('geg ZO'!E152=2,"categorie 2","categorie 3"))</f>
        <v>categorie 2</v>
      </c>
      <c r="G120" s="1076" t="s">
        <v>125</v>
      </c>
      <c r="H120" s="1037"/>
      <c r="I120" s="1461">
        <v>0</v>
      </c>
      <c r="J120" s="1461">
        <f>ROUND('geg ZO'!I152*VLOOKUP($F120,categoriePers8jreo,3,FALSE),0)</f>
        <v>0</v>
      </c>
      <c r="K120" s="1461">
        <f>ROUND('geg ZO'!J152*VLOOKUP($F120,categoriePers8jreo,3,FALSE),0)</f>
        <v>0</v>
      </c>
      <c r="L120" s="1461">
        <f>ROUND('geg ZO'!K152*VLOOKUP($F120,categoriePers8jreo,3,FALSE),0)</f>
        <v>0</v>
      </c>
      <c r="M120" s="1461">
        <f>ROUND('geg ZO'!L152*VLOOKUP($F120,categoriePers8jreo,3,FALSE),0)</f>
        <v>0</v>
      </c>
      <c r="N120" s="1461">
        <f>ROUND('geg ZO'!M152*VLOOKUP($F120,categoriePers8jreo,3,FALSE),0)</f>
        <v>0</v>
      </c>
      <c r="O120" s="1461">
        <f>ROUND('geg ZO'!N152*VLOOKUP($F120,categoriePers8jreo,3,FALSE),0)</f>
        <v>0</v>
      </c>
      <c r="P120" s="1461">
        <f>ROUND('geg ZO'!O152*VLOOKUP($F120,categoriePers8jreo,3,FALSE),0)</f>
        <v>0</v>
      </c>
      <c r="Q120" s="1037"/>
      <c r="R120" s="539"/>
    </row>
    <row r="121" spans="2:18" ht="13.15" customHeight="1" x14ac:dyDescent="0.2">
      <c r="B121" s="26"/>
      <c r="C121" s="1037"/>
      <c r="D121" s="1000"/>
      <c r="E121" s="1037"/>
      <c r="F121" s="1037" t="str">
        <f>IF('geg ZO'!E153=1,"categorie 1",IF('geg ZO'!E153=2,"categorie 2","categorie 3"))</f>
        <v>categorie 3</v>
      </c>
      <c r="G121" s="1076" t="s">
        <v>125</v>
      </c>
      <c r="H121" s="1037"/>
      <c r="I121" s="1461">
        <v>0</v>
      </c>
      <c r="J121" s="1461">
        <f>ROUND('geg ZO'!I153*VLOOKUP($F121,categoriePers8jreo,3,FALSE),0)</f>
        <v>0</v>
      </c>
      <c r="K121" s="1461">
        <f>ROUND('geg ZO'!J153*VLOOKUP($F121,categoriePers8jreo,3,FALSE),0)</f>
        <v>0</v>
      </c>
      <c r="L121" s="1461">
        <f>ROUND('geg ZO'!K153*VLOOKUP($F121,categoriePers8jreo,3,FALSE),0)</f>
        <v>0</v>
      </c>
      <c r="M121" s="1461">
        <f>ROUND('geg ZO'!L153*VLOOKUP($F121,categoriePers8jreo,3,FALSE),0)</f>
        <v>0</v>
      </c>
      <c r="N121" s="1461">
        <f>ROUND('geg ZO'!M153*VLOOKUP($F121,categoriePers8jreo,3,FALSE),0)</f>
        <v>0</v>
      </c>
      <c r="O121" s="1461">
        <f>ROUND('geg ZO'!N153*VLOOKUP($F121,categoriePers8jreo,3,FALSE),0)</f>
        <v>0</v>
      </c>
      <c r="P121" s="1461">
        <f>ROUND('geg ZO'!O153*VLOOKUP($F121,categoriePers8jreo,3,FALSE),0)</f>
        <v>0</v>
      </c>
      <c r="Q121" s="1037"/>
      <c r="R121" s="539"/>
    </row>
    <row r="122" spans="2:18" ht="13.15" customHeight="1" x14ac:dyDescent="0.2">
      <c r="B122" s="26"/>
      <c r="C122" s="1037"/>
      <c r="D122" s="1447" t="str">
        <f>'geg ZO'!D156</f>
        <v>Naam SO 14</v>
      </c>
      <c r="E122" s="1037"/>
      <c r="F122" s="1037" t="str">
        <f>IF('geg ZO'!E156=1,"categorie 1",IF('geg ZO'!E156=2,"categorie 2","categorie 3"))</f>
        <v>categorie 1</v>
      </c>
      <c r="G122" s="1076" t="s">
        <v>145</v>
      </c>
      <c r="H122" s="1037"/>
      <c r="I122" s="1461">
        <v>0</v>
      </c>
      <c r="J122" s="1461">
        <f>ROUND('geg ZO'!I156*VLOOKUP($F122,categoriePers,3,FALSE),0)</f>
        <v>0</v>
      </c>
      <c r="K122" s="1461">
        <f>ROUND('geg ZO'!J156*VLOOKUP($F122,categoriePers,3,FALSE),0)</f>
        <v>0</v>
      </c>
      <c r="L122" s="1461">
        <f>ROUND('geg ZO'!K156*VLOOKUP($F122,categoriePers,3,FALSE),0)</f>
        <v>0</v>
      </c>
      <c r="M122" s="1461">
        <f>ROUND('geg ZO'!L156*VLOOKUP($F122,categoriePers,3,FALSE),0)</f>
        <v>0</v>
      </c>
      <c r="N122" s="1461">
        <f>ROUND('geg ZO'!M156*VLOOKUP($F122,categoriePers,3,FALSE),0)</f>
        <v>0</v>
      </c>
      <c r="O122" s="1461">
        <f>ROUND('geg ZO'!N156*VLOOKUP($F122,categoriePers,3,FALSE),0)</f>
        <v>0</v>
      </c>
      <c r="P122" s="1461">
        <f>ROUND('geg ZO'!O156*VLOOKUP($F122,categoriePers,3,FALSE),0)</f>
        <v>0</v>
      </c>
      <c r="Q122" s="1037"/>
      <c r="R122" s="539"/>
    </row>
    <row r="123" spans="2:18" ht="13.15" customHeight="1" x14ac:dyDescent="0.2">
      <c r="B123" s="26"/>
      <c r="C123" s="1037"/>
      <c r="D123" s="1000" t="s">
        <v>40</v>
      </c>
      <c r="E123" s="1037"/>
      <c r="F123" s="1037" t="str">
        <f>IF('geg ZO'!E157=1,"categorie 1",IF('geg ZO'!E157=2,"categorie 2","categorie 3"))</f>
        <v>categorie 2</v>
      </c>
      <c r="G123" s="1076" t="s">
        <v>145</v>
      </c>
      <c r="H123" s="1037"/>
      <c r="I123" s="1461">
        <v>0</v>
      </c>
      <c r="J123" s="1461">
        <f>ROUND('geg ZO'!I157*VLOOKUP($F123,categoriePers,3,FALSE),0)</f>
        <v>0</v>
      </c>
      <c r="K123" s="1461">
        <f>ROUND('geg ZO'!J157*VLOOKUP($F123,categoriePers,3,FALSE),0)</f>
        <v>0</v>
      </c>
      <c r="L123" s="1461">
        <f>ROUND('geg ZO'!K157*VLOOKUP($F123,categoriePers,3,FALSE),0)</f>
        <v>0</v>
      </c>
      <c r="M123" s="1461">
        <f>ROUND('geg ZO'!L157*VLOOKUP($F123,categoriePers,3,FALSE),0)</f>
        <v>0</v>
      </c>
      <c r="N123" s="1461">
        <f>ROUND('geg ZO'!M157*VLOOKUP($F123,categoriePers,3,FALSE),0)</f>
        <v>0</v>
      </c>
      <c r="O123" s="1461">
        <f>ROUND('geg ZO'!N157*VLOOKUP($F123,categoriePers,3,FALSE),0)</f>
        <v>0</v>
      </c>
      <c r="P123" s="1461">
        <f>ROUND('geg ZO'!O157*VLOOKUP($F123,categoriePers,3,FALSE),0)</f>
        <v>0</v>
      </c>
      <c r="Q123" s="1037"/>
      <c r="R123" s="539"/>
    </row>
    <row r="124" spans="2:18" ht="13.15" customHeight="1" x14ac:dyDescent="0.2">
      <c r="B124" s="26"/>
      <c r="C124" s="1037"/>
      <c r="D124" s="1000"/>
      <c r="E124" s="1037"/>
      <c r="F124" s="1037" t="str">
        <f>IF('geg ZO'!E158=1,"categorie 1",IF('geg ZO'!E158=2,"categorie 2","categorie 3"))</f>
        <v>categorie 3</v>
      </c>
      <c r="G124" s="1076" t="s">
        <v>145</v>
      </c>
      <c r="H124" s="1037"/>
      <c r="I124" s="1461">
        <v>0</v>
      </c>
      <c r="J124" s="1461">
        <f>ROUND('geg ZO'!I158*VLOOKUP($F124,categoriePers,3,FALSE),0)</f>
        <v>0</v>
      </c>
      <c r="K124" s="1461">
        <f>ROUND('geg ZO'!J158*VLOOKUP($F124,categoriePers,3,FALSE),0)</f>
        <v>0</v>
      </c>
      <c r="L124" s="1461">
        <f>ROUND('geg ZO'!K158*VLOOKUP($F124,categoriePers,3,FALSE),0)</f>
        <v>0</v>
      </c>
      <c r="M124" s="1461">
        <f>ROUND('geg ZO'!L158*VLOOKUP($F124,categoriePers,3,FALSE),0)</f>
        <v>0</v>
      </c>
      <c r="N124" s="1461">
        <f>ROUND('geg ZO'!M158*VLOOKUP($F124,categoriePers,3,FALSE),0)</f>
        <v>0</v>
      </c>
      <c r="O124" s="1461">
        <f>ROUND('geg ZO'!N158*VLOOKUP($F124,categoriePers,3,FALSE),0)</f>
        <v>0</v>
      </c>
      <c r="P124" s="1461">
        <f>ROUND('geg ZO'!O158*VLOOKUP($F124,categoriePers,3,FALSE),0)</f>
        <v>0</v>
      </c>
      <c r="Q124" s="1037"/>
      <c r="R124" s="539"/>
    </row>
    <row r="125" spans="2:18" ht="13.15" customHeight="1" x14ac:dyDescent="0.2">
      <c r="B125" s="26"/>
      <c r="C125" s="1037"/>
      <c r="D125" s="1000"/>
      <c r="E125" s="1037"/>
      <c r="F125" s="1037" t="str">
        <f>IF('geg ZO'!E159=1,"categorie 1",IF('geg ZO'!E159=2,"categorie 2","categorie 3"))</f>
        <v>categorie 1</v>
      </c>
      <c r="G125" s="1076" t="s">
        <v>125</v>
      </c>
      <c r="H125" s="1037"/>
      <c r="I125" s="1461">
        <v>0</v>
      </c>
      <c r="J125" s="1461">
        <f>ROUND('geg ZO'!I159*VLOOKUP($F125,categoriePers8jreo,3,FALSE),0)</f>
        <v>0</v>
      </c>
      <c r="K125" s="1461">
        <f>ROUND('geg ZO'!J159*VLOOKUP($F125,categoriePers8jreo,3,FALSE),0)</f>
        <v>0</v>
      </c>
      <c r="L125" s="1461">
        <f>ROUND('geg ZO'!K159*VLOOKUP($F125,categoriePers8jreo,3,FALSE),0)</f>
        <v>0</v>
      </c>
      <c r="M125" s="1461">
        <f>ROUND('geg ZO'!L159*VLOOKUP($F125,categoriePers8jreo,3,FALSE),0)</f>
        <v>0</v>
      </c>
      <c r="N125" s="1461">
        <f>ROUND('geg ZO'!M159*VLOOKUP($F125,categoriePers8jreo,3,FALSE),0)</f>
        <v>0</v>
      </c>
      <c r="O125" s="1461">
        <f>ROUND('geg ZO'!N159*VLOOKUP($F125,categoriePers8jreo,3,FALSE),0)</f>
        <v>0</v>
      </c>
      <c r="P125" s="1461">
        <f>ROUND('geg ZO'!O159*VLOOKUP($F125,categoriePers8jreo,3,FALSE),0)</f>
        <v>0</v>
      </c>
      <c r="Q125" s="1037"/>
      <c r="R125" s="539"/>
    </row>
    <row r="126" spans="2:18" ht="13.15" customHeight="1" x14ac:dyDescent="0.2">
      <c r="B126" s="26"/>
      <c r="C126" s="1037"/>
      <c r="D126" s="1000"/>
      <c r="E126" s="1037"/>
      <c r="F126" s="1037" t="str">
        <f>IF('geg ZO'!E160=1,"categorie 1",IF('geg ZO'!E160=2,"categorie 2","categorie 3"))</f>
        <v>categorie 2</v>
      </c>
      <c r="G126" s="1076" t="s">
        <v>125</v>
      </c>
      <c r="H126" s="1037"/>
      <c r="I126" s="1461">
        <v>0</v>
      </c>
      <c r="J126" s="1461">
        <f>ROUND('geg ZO'!I160*VLOOKUP($F126,categoriePers8jreo,3,FALSE),0)</f>
        <v>0</v>
      </c>
      <c r="K126" s="1461">
        <f>ROUND('geg ZO'!J160*VLOOKUP($F126,categoriePers8jreo,3,FALSE),0)</f>
        <v>0</v>
      </c>
      <c r="L126" s="1461">
        <f>ROUND('geg ZO'!K160*VLOOKUP($F126,categoriePers8jreo,3,FALSE),0)</f>
        <v>0</v>
      </c>
      <c r="M126" s="1461">
        <f>ROUND('geg ZO'!L160*VLOOKUP($F126,categoriePers8jreo,3,FALSE),0)</f>
        <v>0</v>
      </c>
      <c r="N126" s="1461">
        <f>ROUND('geg ZO'!M160*VLOOKUP($F126,categoriePers8jreo,3,FALSE),0)</f>
        <v>0</v>
      </c>
      <c r="O126" s="1461">
        <f>ROUND('geg ZO'!N160*VLOOKUP($F126,categoriePers8jreo,3,FALSE),0)</f>
        <v>0</v>
      </c>
      <c r="P126" s="1461">
        <f>ROUND('geg ZO'!O160*VLOOKUP($F126,categoriePers8jreo,3,FALSE),0)</f>
        <v>0</v>
      </c>
      <c r="Q126" s="1037"/>
      <c r="R126" s="539"/>
    </row>
    <row r="127" spans="2:18" ht="13.15" customHeight="1" x14ac:dyDescent="0.2">
      <c r="B127" s="26"/>
      <c r="C127" s="1037"/>
      <c r="D127" s="1000"/>
      <c r="E127" s="1037"/>
      <c r="F127" s="1037" t="str">
        <f>IF('geg ZO'!E161=1,"categorie 1",IF('geg ZO'!E161=2,"categorie 2","categorie 3"))</f>
        <v>categorie 3</v>
      </c>
      <c r="G127" s="1076" t="s">
        <v>125</v>
      </c>
      <c r="H127" s="1037"/>
      <c r="I127" s="1461">
        <v>0</v>
      </c>
      <c r="J127" s="1461">
        <f>ROUND('geg ZO'!I161*VLOOKUP($F127,categoriePers8jreo,3,FALSE),0)</f>
        <v>0</v>
      </c>
      <c r="K127" s="1461">
        <f>ROUND('geg ZO'!J161*VLOOKUP($F127,categoriePers8jreo,3,FALSE),0)</f>
        <v>0</v>
      </c>
      <c r="L127" s="1461">
        <f>ROUND('geg ZO'!K161*VLOOKUP($F127,categoriePers8jreo,3,FALSE),0)</f>
        <v>0</v>
      </c>
      <c r="M127" s="1461">
        <f>ROUND('geg ZO'!L161*VLOOKUP($F127,categoriePers8jreo,3,FALSE),0)</f>
        <v>0</v>
      </c>
      <c r="N127" s="1461">
        <f>ROUND('geg ZO'!M161*VLOOKUP($F127,categoriePers8jreo,3,FALSE),0)</f>
        <v>0</v>
      </c>
      <c r="O127" s="1461">
        <f>ROUND('geg ZO'!N161*VLOOKUP($F127,categoriePers8jreo,3,FALSE),0)</f>
        <v>0</v>
      </c>
      <c r="P127" s="1461">
        <f>ROUND('geg ZO'!O161*VLOOKUP($F127,categoriePers8jreo,3,FALSE),0)</f>
        <v>0</v>
      </c>
      <c r="Q127" s="1037"/>
      <c r="R127" s="539"/>
    </row>
    <row r="128" spans="2:18" ht="13.15" customHeight="1" x14ac:dyDescent="0.2">
      <c r="B128" s="26"/>
      <c r="C128" s="1037"/>
      <c r="D128" s="1447" t="str">
        <f>'geg ZO'!D164</f>
        <v>Naam SO 15</v>
      </c>
      <c r="E128" s="1037"/>
      <c r="F128" s="1037" t="str">
        <f>IF('geg ZO'!E164=1,"categorie 1",IF('geg ZO'!E164=2,"categorie 2","categorie 3"))</f>
        <v>categorie 1</v>
      </c>
      <c r="G128" s="1076" t="s">
        <v>145</v>
      </c>
      <c r="H128" s="1037"/>
      <c r="I128" s="1461">
        <v>0</v>
      </c>
      <c r="J128" s="1461">
        <f>ROUND('geg ZO'!I164*VLOOKUP($F128,categoriePers,3,FALSE),0)</f>
        <v>0</v>
      </c>
      <c r="K128" s="1461">
        <f>ROUND('geg ZO'!J164*VLOOKUP($F128,categoriePers,3,FALSE),0)</f>
        <v>0</v>
      </c>
      <c r="L128" s="1461">
        <f>ROUND('geg ZO'!K164*VLOOKUP($F128,categoriePers,3,FALSE),0)</f>
        <v>0</v>
      </c>
      <c r="M128" s="1461">
        <f>ROUND('geg ZO'!L164*VLOOKUP($F128,categoriePers,3,FALSE),0)</f>
        <v>0</v>
      </c>
      <c r="N128" s="1461">
        <f>ROUND('geg ZO'!M164*VLOOKUP($F128,categoriePers,3,FALSE),0)</f>
        <v>0</v>
      </c>
      <c r="O128" s="1461">
        <f>ROUND('geg ZO'!N164*VLOOKUP($F128,categoriePers,3,FALSE),0)</f>
        <v>0</v>
      </c>
      <c r="P128" s="1461">
        <f>ROUND('geg ZO'!O164*VLOOKUP($F128,categoriePers,3,FALSE),0)</f>
        <v>0</v>
      </c>
      <c r="Q128" s="1037"/>
      <c r="R128" s="539"/>
    </row>
    <row r="129" spans="2:18" ht="13.15" customHeight="1" x14ac:dyDescent="0.2">
      <c r="B129" s="26"/>
      <c r="C129" s="1037"/>
      <c r="D129" s="1000" t="s">
        <v>40</v>
      </c>
      <c r="E129" s="1037"/>
      <c r="F129" s="1037" t="str">
        <f>IF('geg ZO'!E165=1,"categorie 1",IF('geg ZO'!E165=2,"categorie 2","categorie 3"))</f>
        <v>categorie 2</v>
      </c>
      <c r="G129" s="1076" t="s">
        <v>145</v>
      </c>
      <c r="H129" s="1037"/>
      <c r="I129" s="1461">
        <v>0</v>
      </c>
      <c r="J129" s="1461">
        <f>ROUND('geg ZO'!I165*VLOOKUP($F129,categoriePers,3,FALSE),0)</f>
        <v>0</v>
      </c>
      <c r="K129" s="1461">
        <f>ROUND('geg ZO'!J165*VLOOKUP($F129,categoriePers,3,FALSE),0)</f>
        <v>0</v>
      </c>
      <c r="L129" s="1461">
        <f>ROUND('geg ZO'!K165*VLOOKUP($F129,categoriePers,3,FALSE),0)</f>
        <v>0</v>
      </c>
      <c r="M129" s="1461">
        <f>ROUND('geg ZO'!L165*VLOOKUP($F129,categoriePers,3,FALSE),0)</f>
        <v>0</v>
      </c>
      <c r="N129" s="1461">
        <f>ROUND('geg ZO'!M165*VLOOKUP($F129,categoriePers,3,FALSE),0)</f>
        <v>0</v>
      </c>
      <c r="O129" s="1461">
        <f>ROUND('geg ZO'!N165*VLOOKUP($F129,categoriePers,3,FALSE),0)</f>
        <v>0</v>
      </c>
      <c r="P129" s="1461">
        <f>ROUND('geg ZO'!O165*VLOOKUP($F129,categoriePers,3,FALSE),0)</f>
        <v>0</v>
      </c>
      <c r="Q129" s="1037"/>
      <c r="R129" s="539"/>
    </row>
    <row r="130" spans="2:18" ht="13.15" customHeight="1" x14ac:dyDescent="0.2">
      <c r="B130" s="26"/>
      <c r="C130" s="1037"/>
      <c r="D130" s="1000"/>
      <c r="E130" s="1037"/>
      <c r="F130" s="1037" t="str">
        <f>IF('geg ZO'!E166=1,"categorie 1",IF('geg ZO'!E166=2,"categorie 2","categorie 3"))</f>
        <v>categorie 3</v>
      </c>
      <c r="G130" s="1076" t="s">
        <v>145</v>
      </c>
      <c r="H130" s="1037"/>
      <c r="I130" s="1461">
        <v>0</v>
      </c>
      <c r="J130" s="1461">
        <f>ROUND('geg ZO'!I166*VLOOKUP($F130,categoriePers,3,FALSE),0)</f>
        <v>0</v>
      </c>
      <c r="K130" s="1461">
        <f>ROUND('geg ZO'!J166*VLOOKUP($F130,categoriePers,3,FALSE),0)</f>
        <v>0</v>
      </c>
      <c r="L130" s="1461">
        <f>ROUND('geg ZO'!K166*VLOOKUP($F130,categoriePers,3,FALSE),0)</f>
        <v>0</v>
      </c>
      <c r="M130" s="1461">
        <f>ROUND('geg ZO'!L166*VLOOKUP($F130,categoriePers,3,FALSE),0)</f>
        <v>0</v>
      </c>
      <c r="N130" s="1461">
        <f>ROUND('geg ZO'!M166*VLOOKUP($F130,categoriePers,3,FALSE),0)</f>
        <v>0</v>
      </c>
      <c r="O130" s="1461">
        <f>ROUND('geg ZO'!N166*VLOOKUP($F130,categoriePers,3,FALSE),0)</f>
        <v>0</v>
      </c>
      <c r="P130" s="1461">
        <f>ROUND('geg ZO'!O166*VLOOKUP($F130,categoriePers,3,FALSE),0)</f>
        <v>0</v>
      </c>
      <c r="Q130" s="1037"/>
      <c r="R130" s="539"/>
    </row>
    <row r="131" spans="2:18" ht="13.15" customHeight="1" x14ac:dyDescent="0.2">
      <c r="B131" s="26"/>
      <c r="C131" s="1037"/>
      <c r="D131" s="1000"/>
      <c r="E131" s="1037"/>
      <c r="F131" s="1037" t="str">
        <f>IF('geg ZO'!E167=1,"categorie 1",IF('geg ZO'!E167=2,"categorie 2","categorie 3"))</f>
        <v>categorie 1</v>
      </c>
      <c r="G131" s="1076" t="s">
        <v>125</v>
      </c>
      <c r="H131" s="1037"/>
      <c r="I131" s="1461">
        <v>0</v>
      </c>
      <c r="J131" s="1461">
        <f>ROUND('geg ZO'!I167*VLOOKUP($F131,categoriePers8jreo,3,FALSE),0)</f>
        <v>0</v>
      </c>
      <c r="K131" s="1461">
        <f>ROUND('geg ZO'!J167*VLOOKUP($F131,categoriePers8jreo,3,FALSE),0)</f>
        <v>0</v>
      </c>
      <c r="L131" s="1461">
        <f>ROUND('geg ZO'!K167*VLOOKUP($F131,categoriePers8jreo,3,FALSE),0)</f>
        <v>0</v>
      </c>
      <c r="M131" s="1461">
        <f>ROUND('geg ZO'!L167*VLOOKUP($F131,categoriePers8jreo,3,FALSE),0)</f>
        <v>0</v>
      </c>
      <c r="N131" s="1461">
        <f>ROUND('geg ZO'!M167*VLOOKUP($F131,categoriePers8jreo,3,FALSE),0)</f>
        <v>0</v>
      </c>
      <c r="O131" s="1461">
        <f>ROUND('geg ZO'!N167*VLOOKUP($F131,categoriePers8jreo,3,FALSE),0)</f>
        <v>0</v>
      </c>
      <c r="P131" s="1461">
        <f>ROUND('geg ZO'!O167*VLOOKUP($F131,categoriePers8jreo,3,FALSE),0)</f>
        <v>0</v>
      </c>
      <c r="Q131" s="1037"/>
      <c r="R131" s="539"/>
    </row>
    <row r="132" spans="2:18" ht="13.15" customHeight="1" x14ac:dyDescent="0.2">
      <c r="B132" s="26"/>
      <c r="C132" s="1037"/>
      <c r="D132" s="1000"/>
      <c r="E132" s="1037"/>
      <c r="F132" s="1037" t="str">
        <f>IF('geg ZO'!E168=1,"categorie 1",IF('geg ZO'!E168=2,"categorie 2","categorie 3"))</f>
        <v>categorie 2</v>
      </c>
      <c r="G132" s="1076" t="s">
        <v>125</v>
      </c>
      <c r="H132" s="1037"/>
      <c r="I132" s="1461">
        <v>0</v>
      </c>
      <c r="J132" s="1461">
        <f>ROUND('geg ZO'!I168*VLOOKUP($F132,categoriePers8jreo,3,FALSE),0)</f>
        <v>0</v>
      </c>
      <c r="K132" s="1461">
        <f>ROUND('geg ZO'!J168*VLOOKUP($F132,categoriePers8jreo,3,FALSE),0)</f>
        <v>0</v>
      </c>
      <c r="L132" s="1461">
        <f>ROUND('geg ZO'!K168*VLOOKUP($F132,categoriePers8jreo,3,FALSE),0)</f>
        <v>0</v>
      </c>
      <c r="M132" s="1461">
        <f>ROUND('geg ZO'!L168*VLOOKUP($F132,categoriePers8jreo,3,FALSE),0)</f>
        <v>0</v>
      </c>
      <c r="N132" s="1461">
        <f>ROUND('geg ZO'!M168*VLOOKUP($F132,categoriePers8jreo,3,FALSE),0)</f>
        <v>0</v>
      </c>
      <c r="O132" s="1461">
        <f>ROUND('geg ZO'!N168*VLOOKUP($F132,categoriePers8jreo,3,FALSE),0)</f>
        <v>0</v>
      </c>
      <c r="P132" s="1461">
        <f>ROUND('geg ZO'!O168*VLOOKUP($F132,categoriePers8jreo,3,FALSE),0)</f>
        <v>0</v>
      </c>
      <c r="Q132" s="1037"/>
      <c r="R132" s="539"/>
    </row>
    <row r="133" spans="2:18" ht="13.15" customHeight="1" x14ac:dyDescent="0.2">
      <c r="B133" s="26"/>
      <c r="C133" s="1037"/>
      <c r="D133" s="1000"/>
      <c r="E133" s="1037"/>
      <c r="F133" s="1037" t="str">
        <f>IF('geg ZO'!E169=1,"categorie 1",IF('geg ZO'!E169=2,"categorie 2","categorie 3"))</f>
        <v>categorie 3</v>
      </c>
      <c r="G133" s="1076" t="s">
        <v>125</v>
      </c>
      <c r="H133" s="1037"/>
      <c r="I133" s="1461">
        <v>0</v>
      </c>
      <c r="J133" s="1461">
        <f>ROUND('geg ZO'!I169*VLOOKUP($F133,categoriePers8jreo,3,FALSE),0)</f>
        <v>0</v>
      </c>
      <c r="K133" s="1461">
        <f>ROUND('geg ZO'!J169*VLOOKUP($F133,categoriePers8jreo,3,FALSE),0)</f>
        <v>0</v>
      </c>
      <c r="L133" s="1461">
        <f>ROUND('geg ZO'!K169*VLOOKUP($F133,categoriePers8jreo,3,FALSE),0)</f>
        <v>0</v>
      </c>
      <c r="M133" s="1461">
        <f>ROUND('geg ZO'!L169*VLOOKUP($F133,categoriePers8jreo,3,FALSE),0)</f>
        <v>0</v>
      </c>
      <c r="N133" s="1461">
        <f>ROUND('geg ZO'!M169*VLOOKUP($F133,categoriePers8jreo,3,FALSE),0)</f>
        <v>0</v>
      </c>
      <c r="O133" s="1461">
        <f>ROUND('geg ZO'!N169*VLOOKUP($F133,categoriePers8jreo,3,FALSE),0)</f>
        <v>0</v>
      </c>
      <c r="P133" s="1461">
        <f>ROUND('geg ZO'!O169*VLOOKUP($F133,categoriePers8jreo,3,FALSE),0)</f>
        <v>0</v>
      </c>
      <c r="Q133" s="1037"/>
      <c r="R133" s="539"/>
    </row>
    <row r="134" spans="2:18" ht="13.15" customHeight="1" x14ac:dyDescent="0.2">
      <c r="B134" s="26"/>
      <c r="C134" s="1037"/>
      <c r="D134" s="1000"/>
      <c r="E134" s="1037"/>
      <c r="F134" s="1037"/>
      <c r="G134" s="1076"/>
      <c r="H134" s="1037"/>
      <c r="I134" s="1277"/>
      <c r="J134" s="1076"/>
      <c r="K134" s="1076"/>
      <c r="L134" s="1076"/>
      <c r="M134" s="1076"/>
      <c r="N134" s="1076"/>
      <c r="O134" s="1076"/>
      <c r="P134" s="1076"/>
      <c r="Q134" s="1037"/>
      <c r="R134" s="539"/>
    </row>
    <row r="135" spans="2:18" ht="13.15" customHeight="1" x14ac:dyDescent="0.2">
      <c r="B135" s="26"/>
      <c r="C135" s="27"/>
      <c r="D135" s="87"/>
      <c r="E135" s="27"/>
      <c r="F135" s="27"/>
      <c r="G135" s="80"/>
      <c r="H135" s="27"/>
      <c r="I135" s="80"/>
      <c r="J135" s="80"/>
      <c r="K135" s="80"/>
      <c r="L135" s="80"/>
      <c r="M135" s="80"/>
      <c r="N135" s="80"/>
      <c r="O135" s="80"/>
      <c r="P135" s="80"/>
      <c r="Q135" s="27"/>
      <c r="R135" s="30"/>
    </row>
    <row r="136" spans="2:18" ht="13.15" customHeight="1" x14ac:dyDescent="0.2">
      <c r="B136" s="211"/>
      <c r="C136" s="194"/>
      <c r="D136" s="93"/>
      <c r="E136" s="194"/>
      <c r="F136" s="194"/>
      <c r="G136" s="94"/>
      <c r="H136" s="194"/>
      <c r="I136" s="94"/>
      <c r="J136" s="94"/>
      <c r="K136" s="94"/>
      <c r="L136" s="94"/>
      <c r="M136" s="94"/>
      <c r="N136" s="94"/>
      <c r="O136" s="94"/>
      <c r="P136" s="94"/>
      <c r="Q136" s="194"/>
      <c r="R136" s="213"/>
    </row>
    <row r="137" spans="2:18" ht="13.15" customHeight="1" x14ac:dyDescent="0.2">
      <c r="B137" s="23"/>
      <c r="C137" s="24"/>
      <c r="D137" s="83"/>
      <c r="E137" s="24"/>
      <c r="F137" s="24"/>
      <c r="G137" s="84"/>
      <c r="H137" s="24"/>
      <c r="I137" s="84"/>
      <c r="J137" s="84"/>
      <c r="K137" s="84"/>
      <c r="L137" s="84"/>
      <c r="M137" s="84"/>
      <c r="N137" s="84"/>
      <c r="O137" s="84"/>
      <c r="P137" s="84"/>
      <c r="Q137" s="24"/>
      <c r="R137" s="25"/>
    </row>
    <row r="138" spans="2:18" ht="13.15" customHeight="1" x14ac:dyDescent="0.2">
      <c r="B138" s="26"/>
      <c r="C138" s="27"/>
      <c r="D138" s="87"/>
      <c r="E138" s="27"/>
      <c r="F138" s="27"/>
      <c r="G138" s="80"/>
      <c r="H138" s="27"/>
      <c r="I138" s="80"/>
      <c r="J138" s="80"/>
      <c r="K138" s="80"/>
      <c r="L138" s="80"/>
      <c r="M138" s="80"/>
      <c r="N138" s="80"/>
      <c r="O138" s="80"/>
      <c r="P138" s="80"/>
      <c r="Q138" s="27"/>
      <c r="R138" s="30"/>
    </row>
    <row r="139" spans="2:18" ht="13.15" customHeight="1" x14ac:dyDescent="0.2">
      <c r="B139" s="26"/>
      <c r="C139" s="27"/>
      <c r="D139" s="87"/>
      <c r="E139" s="27"/>
      <c r="F139" s="27"/>
      <c r="G139" s="80"/>
      <c r="H139" s="27"/>
      <c r="I139" s="702"/>
      <c r="J139" s="702"/>
      <c r="K139" s="702"/>
      <c r="L139" s="702"/>
      <c r="M139" s="702"/>
      <c r="N139" s="702"/>
      <c r="O139" s="702"/>
      <c r="P139" s="702"/>
      <c r="Q139" s="27"/>
      <c r="R139" s="539"/>
    </row>
    <row r="140" spans="2:18" ht="13.15" customHeight="1" x14ac:dyDescent="0.2">
      <c r="B140" s="26"/>
      <c r="C140" s="27"/>
      <c r="D140" s="87"/>
      <c r="E140" s="27"/>
      <c r="F140" s="27"/>
      <c r="G140" s="80"/>
      <c r="H140" s="27"/>
      <c r="I140" s="660" t="e">
        <f t="shared" ref="I140:O140" si="14">I39</f>
        <v>#REF!</v>
      </c>
      <c r="J140" s="660" t="str">
        <f t="shared" si="14"/>
        <v>2015/16</v>
      </c>
      <c r="K140" s="660" t="str">
        <f t="shared" si="14"/>
        <v>2016/17</v>
      </c>
      <c r="L140" s="660" t="str">
        <f t="shared" si="14"/>
        <v>2017/18</v>
      </c>
      <c r="M140" s="660" t="str">
        <f t="shared" si="14"/>
        <v>2018/19</v>
      </c>
      <c r="N140" s="660" t="str">
        <f t="shared" si="14"/>
        <v>2019/20</v>
      </c>
      <c r="O140" s="660" t="str">
        <f t="shared" si="14"/>
        <v>2020/21</v>
      </c>
      <c r="P140" s="660" t="str">
        <f t="shared" ref="P140" si="15">P39</f>
        <v>2021/22</v>
      </c>
      <c r="Q140" s="27"/>
      <c r="R140" s="30"/>
    </row>
    <row r="141" spans="2:18" ht="13.15" customHeight="1" x14ac:dyDescent="0.2">
      <c r="B141" s="26"/>
      <c r="C141" s="27"/>
      <c r="D141" s="87"/>
      <c r="E141" s="27"/>
      <c r="F141" s="27"/>
      <c r="G141" s="80"/>
      <c r="H141" s="27"/>
      <c r="I141" s="80"/>
      <c r="J141" s="80"/>
      <c r="K141" s="80"/>
      <c r="L141" s="80"/>
      <c r="M141" s="80"/>
      <c r="N141" s="80"/>
      <c r="O141" s="80"/>
      <c r="P141" s="80"/>
      <c r="Q141" s="27"/>
      <c r="R141" s="30"/>
    </row>
    <row r="142" spans="2:18" ht="13.15" customHeight="1" x14ac:dyDescent="0.2">
      <c r="B142" s="26"/>
      <c r="C142" s="1037"/>
      <c r="D142" s="1000"/>
      <c r="E142" s="1037"/>
      <c r="F142" s="1037"/>
      <c r="G142" s="1076"/>
      <c r="H142" s="1037"/>
      <c r="I142" s="1076"/>
      <c r="J142" s="1076"/>
      <c r="K142" s="1076"/>
      <c r="L142" s="1076"/>
      <c r="M142" s="1076"/>
      <c r="N142" s="1076"/>
      <c r="O142" s="1076"/>
      <c r="P142" s="1076"/>
      <c r="Q142" s="1037"/>
      <c r="R142" s="539"/>
    </row>
    <row r="143" spans="2:18" ht="13.15" customHeight="1" x14ac:dyDescent="0.2">
      <c r="B143" s="26"/>
      <c r="C143" s="1037"/>
      <c r="D143" s="1447" t="str">
        <f>+'geg ZO'!D180</f>
        <v>Naam SO 16</v>
      </c>
      <c r="E143" s="1037"/>
      <c r="F143" s="1037" t="str">
        <f>IF('geg ZO'!E180=1,"categorie 1",IF('geg ZO'!E180=2,"categorie 2","categorie 3"))</f>
        <v>categorie 1</v>
      </c>
      <c r="G143" s="1076" t="s">
        <v>145</v>
      </c>
      <c r="H143" s="1037"/>
      <c r="I143" s="1461">
        <v>0</v>
      </c>
      <c r="J143" s="1461">
        <f>ROUND('geg ZO'!I180*VLOOKUP($F143,categoriePers,3,FALSE),0)</f>
        <v>0</v>
      </c>
      <c r="K143" s="1461">
        <f>ROUND('geg ZO'!J180*VLOOKUP($F143,categoriePers,3,FALSE),0)</f>
        <v>0</v>
      </c>
      <c r="L143" s="1461">
        <f>ROUND('geg ZO'!K180*VLOOKUP($F143,categoriePers,3,FALSE),0)</f>
        <v>0</v>
      </c>
      <c r="M143" s="1461">
        <f>ROUND('geg ZO'!L180*VLOOKUP($F143,categoriePers,3,FALSE),0)</f>
        <v>0</v>
      </c>
      <c r="N143" s="1461">
        <f>ROUND('geg ZO'!M180*VLOOKUP($F143,categoriePers,3,FALSE),0)</f>
        <v>0</v>
      </c>
      <c r="O143" s="1461">
        <f>ROUND('geg ZO'!N180*VLOOKUP($F143,categoriePers,3,FALSE),0)</f>
        <v>0</v>
      </c>
      <c r="P143" s="1461">
        <f>ROUND('geg ZO'!O180*VLOOKUP($F143,categoriePers,3,FALSE),0)</f>
        <v>0</v>
      </c>
      <c r="Q143" s="1037"/>
      <c r="R143" s="539"/>
    </row>
    <row r="144" spans="2:18" ht="13.15" customHeight="1" x14ac:dyDescent="0.2">
      <c r="B144" s="26"/>
      <c r="C144" s="1037"/>
      <c r="D144" s="1000"/>
      <c r="E144" s="1037"/>
      <c r="F144" s="1037" t="str">
        <f>IF('geg ZO'!E181=1,"categorie 1",IF('geg ZO'!E181=2,"categorie 2","categorie 3"))</f>
        <v>categorie 2</v>
      </c>
      <c r="G144" s="1076" t="s">
        <v>145</v>
      </c>
      <c r="H144" s="1037"/>
      <c r="I144" s="1461">
        <v>0</v>
      </c>
      <c r="J144" s="1461">
        <f>ROUND('geg ZO'!I181*VLOOKUP($F144,categoriePers,3,FALSE),0)</f>
        <v>0</v>
      </c>
      <c r="K144" s="1461">
        <f>ROUND('geg ZO'!J181*VLOOKUP($F144,categoriePers,3,FALSE),0)</f>
        <v>0</v>
      </c>
      <c r="L144" s="1461">
        <f>ROUND('geg ZO'!K181*VLOOKUP($F144,categoriePers,3,FALSE),0)</f>
        <v>0</v>
      </c>
      <c r="M144" s="1461">
        <f>ROUND('geg ZO'!L181*VLOOKUP($F144,categoriePers,3,FALSE),0)</f>
        <v>0</v>
      </c>
      <c r="N144" s="1461">
        <f>ROUND('geg ZO'!M181*VLOOKUP($F144,categoriePers,3,FALSE),0)</f>
        <v>0</v>
      </c>
      <c r="O144" s="1461">
        <f>ROUND('geg ZO'!N181*VLOOKUP($F144,categoriePers,3,FALSE),0)</f>
        <v>0</v>
      </c>
      <c r="P144" s="1461">
        <f>ROUND('geg ZO'!O181*VLOOKUP($F144,categoriePers,3,FALSE),0)</f>
        <v>0</v>
      </c>
      <c r="Q144" s="1037"/>
      <c r="R144" s="539"/>
    </row>
    <row r="145" spans="2:18" ht="13.15" customHeight="1" x14ac:dyDescent="0.2">
      <c r="B145" s="26"/>
      <c r="C145" s="1037"/>
      <c r="D145" s="1000"/>
      <c r="E145" s="1037"/>
      <c r="F145" s="1037" t="str">
        <f>IF('geg ZO'!E182=1,"categorie 1",IF('geg ZO'!E182=2,"categorie 2","categorie 3"))</f>
        <v>categorie 3</v>
      </c>
      <c r="G145" s="1076" t="s">
        <v>145</v>
      </c>
      <c r="H145" s="1037"/>
      <c r="I145" s="1461">
        <v>0</v>
      </c>
      <c r="J145" s="1461">
        <f>ROUND('geg ZO'!I182*VLOOKUP($F145,categoriePers,3,FALSE),0)</f>
        <v>0</v>
      </c>
      <c r="K145" s="1461">
        <f>ROUND('geg ZO'!J182*VLOOKUP($F145,categoriePers,3,FALSE),0)</f>
        <v>0</v>
      </c>
      <c r="L145" s="1461">
        <f>ROUND('geg ZO'!K182*VLOOKUP($F145,categoriePers,3,FALSE),0)</f>
        <v>0</v>
      </c>
      <c r="M145" s="1461">
        <f>ROUND('geg ZO'!L182*VLOOKUP($F145,categoriePers,3,FALSE),0)</f>
        <v>0</v>
      </c>
      <c r="N145" s="1461">
        <f>ROUND('geg ZO'!M182*VLOOKUP($F145,categoriePers,3,FALSE),0)</f>
        <v>0</v>
      </c>
      <c r="O145" s="1461">
        <f>ROUND('geg ZO'!N182*VLOOKUP($F145,categoriePers,3,FALSE),0)</f>
        <v>0</v>
      </c>
      <c r="P145" s="1461">
        <f>ROUND('geg ZO'!O182*VLOOKUP($F145,categoriePers,3,FALSE),0)</f>
        <v>0</v>
      </c>
      <c r="Q145" s="1037"/>
      <c r="R145" s="539"/>
    </row>
    <row r="146" spans="2:18" ht="13.15" customHeight="1" x14ac:dyDescent="0.2">
      <c r="B146" s="26"/>
      <c r="C146" s="1037"/>
      <c r="D146" s="1000"/>
      <c r="E146" s="1037"/>
      <c r="F146" s="1037" t="str">
        <f>IF('geg ZO'!E183=1,"categorie 1",IF('geg ZO'!E183=2,"categorie 2","categorie 3"))</f>
        <v>categorie 1</v>
      </c>
      <c r="G146" s="1076" t="s">
        <v>125</v>
      </c>
      <c r="H146" s="1037"/>
      <c r="I146" s="1461">
        <v>0</v>
      </c>
      <c r="J146" s="1461">
        <f>ROUND('geg ZO'!I183*VLOOKUP($F146,categoriePers8jreo,3,FALSE),0)</f>
        <v>0</v>
      </c>
      <c r="K146" s="1461">
        <f>ROUND('geg ZO'!J183*VLOOKUP($F146,categoriePers8jreo,3,FALSE),0)</f>
        <v>0</v>
      </c>
      <c r="L146" s="1461">
        <f>ROUND('geg ZO'!K183*VLOOKUP($F146,categoriePers8jreo,3,FALSE),0)</f>
        <v>0</v>
      </c>
      <c r="M146" s="1461">
        <f>ROUND('geg ZO'!L183*VLOOKUP($F146,categoriePers8jreo,3,FALSE),0)</f>
        <v>0</v>
      </c>
      <c r="N146" s="1461">
        <f>ROUND('geg ZO'!M183*VLOOKUP($F146,categoriePers8jreo,3,FALSE),0)</f>
        <v>0</v>
      </c>
      <c r="O146" s="1461">
        <f>ROUND('geg ZO'!N183*VLOOKUP($F146,categoriePers8jreo,3,FALSE),0)</f>
        <v>0</v>
      </c>
      <c r="P146" s="1461">
        <f>ROUND('geg ZO'!O183*VLOOKUP($F146,categoriePers8jreo,3,FALSE),0)</f>
        <v>0</v>
      </c>
      <c r="Q146" s="1037"/>
      <c r="R146" s="539"/>
    </row>
    <row r="147" spans="2:18" ht="13.15" customHeight="1" x14ac:dyDescent="0.2">
      <c r="B147" s="26"/>
      <c r="C147" s="1037"/>
      <c r="D147" s="1000"/>
      <c r="E147" s="1037"/>
      <c r="F147" s="1037" t="str">
        <f>IF('geg ZO'!E184=1,"categorie 1",IF('geg ZO'!E184=2,"categorie 2","categorie 3"))</f>
        <v>categorie 2</v>
      </c>
      <c r="G147" s="1076" t="s">
        <v>125</v>
      </c>
      <c r="H147" s="1037"/>
      <c r="I147" s="1461">
        <v>0</v>
      </c>
      <c r="J147" s="1461">
        <f>ROUND('geg ZO'!I184*VLOOKUP($F147,categoriePers8jreo,3,FALSE),0)</f>
        <v>0</v>
      </c>
      <c r="K147" s="1461">
        <f>ROUND('geg ZO'!J184*VLOOKUP($F147,categoriePers8jreo,3,FALSE),0)</f>
        <v>0</v>
      </c>
      <c r="L147" s="1461">
        <f>ROUND('geg ZO'!K184*VLOOKUP($F147,categoriePers8jreo,3,FALSE),0)</f>
        <v>0</v>
      </c>
      <c r="M147" s="1461">
        <f>ROUND('geg ZO'!L184*VLOOKUP($F147,categoriePers8jreo,3,FALSE),0)</f>
        <v>0</v>
      </c>
      <c r="N147" s="1461">
        <f>ROUND('geg ZO'!M184*VLOOKUP($F147,categoriePers8jreo,3,FALSE),0)</f>
        <v>0</v>
      </c>
      <c r="O147" s="1461">
        <f>ROUND('geg ZO'!N184*VLOOKUP($F147,categoriePers8jreo,3,FALSE),0)</f>
        <v>0</v>
      </c>
      <c r="P147" s="1461">
        <f>ROUND('geg ZO'!O184*VLOOKUP($F147,categoriePers8jreo,3,FALSE),0)</f>
        <v>0</v>
      </c>
      <c r="Q147" s="1037"/>
      <c r="R147" s="539"/>
    </row>
    <row r="148" spans="2:18" ht="13.15" customHeight="1" x14ac:dyDescent="0.2">
      <c r="B148" s="26"/>
      <c r="C148" s="1037"/>
      <c r="D148" s="1000"/>
      <c r="E148" s="1037"/>
      <c r="F148" s="1037" t="str">
        <f>IF('geg ZO'!E185=1,"categorie 1",IF('geg ZO'!E185=2,"categorie 2","categorie 3"))</f>
        <v>categorie 3</v>
      </c>
      <c r="G148" s="1076" t="s">
        <v>125</v>
      </c>
      <c r="H148" s="1037"/>
      <c r="I148" s="1461">
        <v>0</v>
      </c>
      <c r="J148" s="1461">
        <f>ROUND('geg ZO'!I185*VLOOKUP($F148,categoriePers8jreo,3,FALSE),0)</f>
        <v>0</v>
      </c>
      <c r="K148" s="1461">
        <f>ROUND('geg ZO'!J185*VLOOKUP($F148,categoriePers8jreo,3,FALSE),0)</f>
        <v>0</v>
      </c>
      <c r="L148" s="1461">
        <f>ROUND('geg ZO'!K185*VLOOKUP($F148,categoriePers8jreo,3,FALSE),0)</f>
        <v>0</v>
      </c>
      <c r="M148" s="1461">
        <f>ROUND('geg ZO'!L185*VLOOKUP($F148,categoriePers8jreo,3,FALSE),0)</f>
        <v>0</v>
      </c>
      <c r="N148" s="1461">
        <f>ROUND('geg ZO'!M185*VLOOKUP($F148,categoriePers8jreo,3,FALSE),0)</f>
        <v>0</v>
      </c>
      <c r="O148" s="1461">
        <f>ROUND('geg ZO'!N185*VLOOKUP($F148,categoriePers8jreo,3,FALSE),0)</f>
        <v>0</v>
      </c>
      <c r="P148" s="1461">
        <f>ROUND('geg ZO'!O185*VLOOKUP($F148,categoriePers8jreo,3,FALSE),0)</f>
        <v>0</v>
      </c>
      <c r="Q148" s="1037"/>
      <c r="R148" s="539"/>
    </row>
    <row r="149" spans="2:18" ht="13.15" customHeight="1" x14ac:dyDescent="0.2">
      <c r="B149" s="26"/>
      <c r="C149" s="1037"/>
      <c r="D149" s="1447" t="str">
        <f>+'geg ZO'!D188</f>
        <v>Naam SO 17</v>
      </c>
      <c r="E149" s="1037"/>
      <c r="F149" s="1037" t="str">
        <f>IF('geg ZO'!E188=1,"categorie 1",IF('geg ZO'!E188=2,"categorie 2","categorie 3"))</f>
        <v>categorie 1</v>
      </c>
      <c r="G149" s="1076" t="s">
        <v>145</v>
      </c>
      <c r="H149" s="1037"/>
      <c r="I149" s="1461">
        <v>0</v>
      </c>
      <c r="J149" s="1461">
        <f>ROUND('geg ZO'!I188*VLOOKUP($F149,categoriePers,3,FALSE),0)</f>
        <v>0</v>
      </c>
      <c r="K149" s="1461">
        <f>ROUND('geg ZO'!J188*VLOOKUP($F149,categoriePers,3,FALSE),0)</f>
        <v>0</v>
      </c>
      <c r="L149" s="1461">
        <f>ROUND('geg ZO'!K188*VLOOKUP($F149,categoriePers,3,FALSE),0)</f>
        <v>0</v>
      </c>
      <c r="M149" s="1461">
        <f>ROUND('geg ZO'!L188*VLOOKUP($F149,categoriePers,3,FALSE),0)</f>
        <v>0</v>
      </c>
      <c r="N149" s="1461">
        <f>ROUND('geg ZO'!M188*VLOOKUP($F149,categoriePers,3,FALSE),0)</f>
        <v>0</v>
      </c>
      <c r="O149" s="1461">
        <f>ROUND('geg ZO'!N188*VLOOKUP($F149,categoriePers,3,FALSE),0)</f>
        <v>0</v>
      </c>
      <c r="P149" s="1461">
        <f>ROUND('geg ZO'!O188*VLOOKUP($F149,categoriePers,3,FALSE),0)</f>
        <v>0</v>
      </c>
      <c r="Q149" s="1037"/>
      <c r="R149" s="539"/>
    </row>
    <row r="150" spans="2:18" ht="13.15" customHeight="1" x14ac:dyDescent="0.2">
      <c r="B150" s="26"/>
      <c r="C150" s="1037"/>
      <c r="D150" s="1000"/>
      <c r="E150" s="1037"/>
      <c r="F150" s="1037" t="str">
        <f>IF('geg ZO'!E189=1,"categorie 1",IF('geg ZO'!E189=2,"categorie 2","categorie 3"))</f>
        <v>categorie 2</v>
      </c>
      <c r="G150" s="1076" t="s">
        <v>145</v>
      </c>
      <c r="H150" s="1037"/>
      <c r="I150" s="1461">
        <v>0</v>
      </c>
      <c r="J150" s="1461">
        <f>ROUND('geg ZO'!I189*VLOOKUP($F150,categoriePers,3,FALSE),0)</f>
        <v>0</v>
      </c>
      <c r="K150" s="1461">
        <f>ROUND('geg ZO'!J189*VLOOKUP($F150,categoriePers,3,FALSE),0)</f>
        <v>0</v>
      </c>
      <c r="L150" s="1461">
        <f>ROUND('geg ZO'!K189*VLOOKUP($F150,categoriePers,3,FALSE),0)</f>
        <v>0</v>
      </c>
      <c r="M150" s="1461">
        <f>ROUND('geg ZO'!L189*VLOOKUP($F150,categoriePers,3,FALSE),0)</f>
        <v>0</v>
      </c>
      <c r="N150" s="1461">
        <f>ROUND('geg ZO'!M189*VLOOKUP($F150,categoriePers,3,FALSE),0)</f>
        <v>0</v>
      </c>
      <c r="O150" s="1461">
        <f>ROUND('geg ZO'!N189*VLOOKUP($F150,categoriePers,3,FALSE),0)</f>
        <v>0</v>
      </c>
      <c r="P150" s="1461">
        <f>ROUND('geg ZO'!O189*VLOOKUP($F150,categoriePers,3,FALSE),0)</f>
        <v>0</v>
      </c>
      <c r="Q150" s="1037"/>
      <c r="R150" s="539"/>
    </row>
    <row r="151" spans="2:18" ht="13.15" customHeight="1" x14ac:dyDescent="0.2">
      <c r="B151" s="26"/>
      <c r="C151" s="1037"/>
      <c r="D151" s="1000"/>
      <c r="E151" s="1037"/>
      <c r="F151" s="1037" t="str">
        <f>IF('geg ZO'!E190=1,"categorie 1",IF('geg ZO'!E190=2,"categorie 2","categorie 3"))</f>
        <v>categorie 3</v>
      </c>
      <c r="G151" s="1076" t="s">
        <v>145</v>
      </c>
      <c r="H151" s="1037"/>
      <c r="I151" s="1461">
        <v>0</v>
      </c>
      <c r="J151" s="1461">
        <f>ROUND('geg ZO'!I190*VLOOKUP($F151,categoriePers,3,FALSE),0)</f>
        <v>0</v>
      </c>
      <c r="K151" s="1461">
        <f>ROUND('geg ZO'!J190*VLOOKUP($F151,categoriePers,3,FALSE),0)</f>
        <v>0</v>
      </c>
      <c r="L151" s="1461">
        <f>ROUND('geg ZO'!K190*VLOOKUP($F151,categoriePers,3,FALSE),0)</f>
        <v>0</v>
      </c>
      <c r="M151" s="1461">
        <f>ROUND('geg ZO'!L190*VLOOKUP($F151,categoriePers,3,FALSE),0)</f>
        <v>0</v>
      </c>
      <c r="N151" s="1461">
        <f>ROUND('geg ZO'!M190*VLOOKUP($F151,categoriePers,3,FALSE),0)</f>
        <v>0</v>
      </c>
      <c r="O151" s="1461">
        <f>ROUND('geg ZO'!N190*VLOOKUP($F151,categoriePers,3,FALSE),0)</f>
        <v>0</v>
      </c>
      <c r="P151" s="1461">
        <f>ROUND('geg ZO'!O190*VLOOKUP($F151,categoriePers,3,FALSE),0)</f>
        <v>0</v>
      </c>
      <c r="Q151" s="1037"/>
      <c r="R151" s="539"/>
    </row>
    <row r="152" spans="2:18" ht="13.15" customHeight="1" x14ac:dyDescent="0.2">
      <c r="B152" s="26"/>
      <c r="C152" s="1037"/>
      <c r="D152" s="1000"/>
      <c r="E152" s="1037"/>
      <c r="F152" s="1037" t="str">
        <f>IF('geg ZO'!E191=1,"categorie 1",IF('geg ZO'!E191=2,"categorie 2","categorie 3"))</f>
        <v>categorie 1</v>
      </c>
      <c r="G152" s="1076" t="s">
        <v>125</v>
      </c>
      <c r="H152" s="1037"/>
      <c r="I152" s="1461">
        <v>0</v>
      </c>
      <c r="J152" s="1461">
        <f>ROUND('geg ZO'!I191*VLOOKUP($F152,categoriePers8jreo,3,FALSE),0)</f>
        <v>0</v>
      </c>
      <c r="K152" s="1461">
        <f>ROUND('geg ZO'!J191*VLOOKUP($F152,categoriePers8jreo,3,FALSE),0)</f>
        <v>0</v>
      </c>
      <c r="L152" s="1461">
        <f>ROUND('geg ZO'!K191*VLOOKUP($F152,categoriePers8jreo,3,FALSE),0)</f>
        <v>0</v>
      </c>
      <c r="M152" s="1461">
        <f>ROUND('geg ZO'!L191*VLOOKUP($F152,categoriePers8jreo,3,FALSE),0)</f>
        <v>0</v>
      </c>
      <c r="N152" s="1461">
        <f>ROUND('geg ZO'!M191*VLOOKUP($F152,categoriePers8jreo,3,FALSE),0)</f>
        <v>0</v>
      </c>
      <c r="O152" s="1461">
        <f>ROUND('geg ZO'!N191*VLOOKUP($F152,categoriePers8jreo,3,FALSE),0)</f>
        <v>0</v>
      </c>
      <c r="P152" s="1461">
        <f>ROUND('geg ZO'!O191*VLOOKUP($F152,categoriePers8jreo,3,FALSE),0)</f>
        <v>0</v>
      </c>
      <c r="Q152" s="1037"/>
      <c r="R152" s="539"/>
    </row>
    <row r="153" spans="2:18" ht="13.15" customHeight="1" x14ac:dyDescent="0.2">
      <c r="B153" s="26"/>
      <c r="C153" s="1037"/>
      <c r="D153" s="1000"/>
      <c r="E153" s="1037"/>
      <c r="F153" s="1037" t="str">
        <f>IF('geg ZO'!E192=1,"categorie 1",IF('geg ZO'!E192=2,"categorie 2","categorie 3"))</f>
        <v>categorie 2</v>
      </c>
      <c r="G153" s="1076" t="s">
        <v>125</v>
      </c>
      <c r="H153" s="1037"/>
      <c r="I153" s="1461">
        <v>0</v>
      </c>
      <c r="J153" s="1461">
        <f>ROUND('geg ZO'!I192*VLOOKUP($F153,categoriePers8jreo,3,FALSE),0)</f>
        <v>0</v>
      </c>
      <c r="K153" s="1461">
        <f>ROUND('geg ZO'!J192*VLOOKUP($F153,categoriePers8jreo,3,FALSE),0)</f>
        <v>0</v>
      </c>
      <c r="L153" s="1461">
        <f>ROUND('geg ZO'!K192*VLOOKUP($F153,categoriePers8jreo,3,FALSE),0)</f>
        <v>0</v>
      </c>
      <c r="M153" s="1461">
        <f>ROUND('geg ZO'!L192*VLOOKUP($F153,categoriePers8jreo,3,FALSE),0)</f>
        <v>0</v>
      </c>
      <c r="N153" s="1461">
        <f>ROUND('geg ZO'!M192*VLOOKUP($F153,categoriePers8jreo,3,FALSE),0)</f>
        <v>0</v>
      </c>
      <c r="O153" s="1461">
        <f>ROUND('geg ZO'!N192*VLOOKUP($F153,categoriePers8jreo,3,FALSE),0)</f>
        <v>0</v>
      </c>
      <c r="P153" s="1461">
        <f>ROUND('geg ZO'!O192*VLOOKUP($F153,categoriePers8jreo,3,FALSE),0)</f>
        <v>0</v>
      </c>
      <c r="Q153" s="1037"/>
      <c r="R153" s="539"/>
    </row>
    <row r="154" spans="2:18" ht="13.15" customHeight="1" x14ac:dyDescent="0.2">
      <c r="B154" s="26"/>
      <c r="C154" s="1037"/>
      <c r="D154" s="1000"/>
      <c r="E154" s="1037"/>
      <c r="F154" s="1037" t="str">
        <f>IF('geg ZO'!E193=1,"categorie 1",IF('geg ZO'!E193=2,"categorie 2","categorie 3"))</f>
        <v>categorie 3</v>
      </c>
      <c r="G154" s="1076" t="s">
        <v>125</v>
      </c>
      <c r="H154" s="1037"/>
      <c r="I154" s="1461">
        <v>0</v>
      </c>
      <c r="J154" s="1461">
        <f>ROUND('geg ZO'!I193*VLOOKUP($F154,categoriePers8jreo,3,FALSE),0)</f>
        <v>0</v>
      </c>
      <c r="K154" s="1461">
        <f>ROUND('geg ZO'!J193*VLOOKUP($F154,categoriePers8jreo,3,FALSE),0)</f>
        <v>0</v>
      </c>
      <c r="L154" s="1461">
        <f>ROUND('geg ZO'!K193*VLOOKUP($F154,categoriePers8jreo,3,FALSE),0)</f>
        <v>0</v>
      </c>
      <c r="M154" s="1461">
        <f>ROUND('geg ZO'!L193*VLOOKUP($F154,categoriePers8jreo,3,FALSE),0)</f>
        <v>0</v>
      </c>
      <c r="N154" s="1461">
        <f>ROUND('geg ZO'!M193*VLOOKUP($F154,categoriePers8jreo,3,FALSE),0)</f>
        <v>0</v>
      </c>
      <c r="O154" s="1461">
        <f>ROUND('geg ZO'!N193*VLOOKUP($F154,categoriePers8jreo,3,FALSE),0)</f>
        <v>0</v>
      </c>
      <c r="P154" s="1461">
        <f>ROUND('geg ZO'!O193*VLOOKUP($F154,categoriePers8jreo,3,FALSE),0)</f>
        <v>0</v>
      </c>
      <c r="Q154" s="1037"/>
      <c r="R154" s="539"/>
    </row>
    <row r="155" spans="2:18" ht="13.15" customHeight="1" x14ac:dyDescent="0.2">
      <c r="B155" s="26"/>
      <c r="C155" s="1037"/>
      <c r="D155" s="1447" t="str">
        <f>+'geg ZO'!D196</f>
        <v>Naam SO 18</v>
      </c>
      <c r="E155" s="1037"/>
      <c r="F155" s="1037" t="str">
        <f>IF('geg ZO'!E196=1,"categorie 1",IF('geg ZO'!E196=2,"categorie 2","categorie 3"))</f>
        <v>categorie 1</v>
      </c>
      <c r="G155" s="1076" t="s">
        <v>145</v>
      </c>
      <c r="H155" s="1037"/>
      <c r="I155" s="1461">
        <v>0</v>
      </c>
      <c r="J155" s="1461">
        <f>ROUND('geg ZO'!I196*VLOOKUP($F155,categoriePers,3,FALSE),0)</f>
        <v>0</v>
      </c>
      <c r="K155" s="1461">
        <f>ROUND('geg ZO'!J196*VLOOKUP($F155,categoriePers,3,FALSE),0)</f>
        <v>0</v>
      </c>
      <c r="L155" s="1461">
        <f>ROUND('geg ZO'!K196*VLOOKUP($F155,categoriePers,3,FALSE),0)</f>
        <v>0</v>
      </c>
      <c r="M155" s="1461">
        <f>ROUND('geg ZO'!L196*VLOOKUP($F155,categoriePers,3,FALSE),0)</f>
        <v>0</v>
      </c>
      <c r="N155" s="1461">
        <f>ROUND('geg ZO'!M196*VLOOKUP($F155,categoriePers,3,FALSE),0)</f>
        <v>0</v>
      </c>
      <c r="O155" s="1461">
        <f>ROUND('geg ZO'!N196*VLOOKUP($F155,categoriePers,3,FALSE),0)</f>
        <v>0</v>
      </c>
      <c r="P155" s="1461">
        <f>ROUND('geg ZO'!O196*VLOOKUP($F155,categoriePers,3,FALSE),0)</f>
        <v>0</v>
      </c>
      <c r="Q155" s="1037"/>
      <c r="R155" s="539"/>
    </row>
    <row r="156" spans="2:18" ht="13.15" customHeight="1" x14ac:dyDescent="0.2">
      <c r="B156" s="26"/>
      <c r="C156" s="1037"/>
      <c r="D156" s="1000"/>
      <c r="E156" s="1037"/>
      <c r="F156" s="1037" t="str">
        <f>IF('geg ZO'!E197=1,"categorie 1",IF('geg ZO'!E197=2,"categorie 2","categorie 3"))</f>
        <v>categorie 2</v>
      </c>
      <c r="G156" s="1076" t="s">
        <v>145</v>
      </c>
      <c r="H156" s="1037"/>
      <c r="I156" s="1461">
        <v>0</v>
      </c>
      <c r="J156" s="1461">
        <f>ROUND('geg ZO'!I197*VLOOKUP($F156,categoriePers,3,FALSE),0)</f>
        <v>0</v>
      </c>
      <c r="K156" s="1461">
        <f>ROUND('geg ZO'!J197*VLOOKUP($F156,categoriePers,3,FALSE),0)</f>
        <v>0</v>
      </c>
      <c r="L156" s="1461">
        <f>ROUND('geg ZO'!K197*VLOOKUP($F156,categoriePers,3,FALSE),0)</f>
        <v>0</v>
      </c>
      <c r="M156" s="1461">
        <f>ROUND('geg ZO'!L197*VLOOKUP($F156,categoriePers,3,FALSE),0)</f>
        <v>0</v>
      </c>
      <c r="N156" s="1461">
        <f>ROUND('geg ZO'!M197*VLOOKUP($F156,categoriePers,3,FALSE),0)</f>
        <v>0</v>
      </c>
      <c r="O156" s="1461">
        <f>ROUND('geg ZO'!N197*VLOOKUP($F156,categoriePers,3,FALSE),0)</f>
        <v>0</v>
      </c>
      <c r="P156" s="1461">
        <f>ROUND('geg ZO'!O197*VLOOKUP($F156,categoriePers,3,FALSE),0)</f>
        <v>0</v>
      </c>
      <c r="Q156" s="1037"/>
      <c r="R156" s="539"/>
    </row>
    <row r="157" spans="2:18" ht="13.15" customHeight="1" x14ac:dyDescent="0.2">
      <c r="B157" s="26"/>
      <c r="C157" s="1037"/>
      <c r="D157" s="1000"/>
      <c r="E157" s="1037"/>
      <c r="F157" s="1037" t="str">
        <f>IF('geg ZO'!E198=1,"categorie 1",IF('geg ZO'!E198=2,"categorie 2","categorie 3"))</f>
        <v>categorie 3</v>
      </c>
      <c r="G157" s="1076" t="s">
        <v>145</v>
      </c>
      <c r="H157" s="1037"/>
      <c r="I157" s="1461">
        <v>0</v>
      </c>
      <c r="J157" s="1461">
        <f>ROUND('geg ZO'!I198*VLOOKUP($F157,categoriePers,3,FALSE),0)</f>
        <v>0</v>
      </c>
      <c r="K157" s="1461">
        <f>ROUND('geg ZO'!J198*VLOOKUP($F157,categoriePers,3,FALSE),0)</f>
        <v>0</v>
      </c>
      <c r="L157" s="1461">
        <f>ROUND('geg ZO'!K198*VLOOKUP($F157,categoriePers,3,FALSE),0)</f>
        <v>0</v>
      </c>
      <c r="M157" s="1461">
        <f>ROUND('geg ZO'!L198*VLOOKUP($F157,categoriePers,3,FALSE),0)</f>
        <v>0</v>
      </c>
      <c r="N157" s="1461">
        <f>ROUND('geg ZO'!M198*VLOOKUP($F157,categoriePers,3,FALSE),0)</f>
        <v>0</v>
      </c>
      <c r="O157" s="1461">
        <f>ROUND('geg ZO'!N198*VLOOKUP($F157,categoriePers,3,FALSE),0)</f>
        <v>0</v>
      </c>
      <c r="P157" s="1461">
        <f>ROUND('geg ZO'!O198*VLOOKUP($F157,categoriePers,3,FALSE),0)</f>
        <v>0</v>
      </c>
      <c r="Q157" s="1037"/>
      <c r="R157" s="539"/>
    </row>
    <row r="158" spans="2:18" ht="13.15" customHeight="1" x14ac:dyDescent="0.2">
      <c r="B158" s="26"/>
      <c r="C158" s="1037"/>
      <c r="D158" s="1000"/>
      <c r="E158" s="1037"/>
      <c r="F158" s="1037" t="str">
        <f>IF('geg ZO'!E199=1,"categorie 1",IF('geg ZO'!E199=2,"categorie 2","categorie 3"))</f>
        <v>categorie 1</v>
      </c>
      <c r="G158" s="1076" t="s">
        <v>125</v>
      </c>
      <c r="H158" s="1037"/>
      <c r="I158" s="1461">
        <v>0</v>
      </c>
      <c r="J158" s="1461">
        <f>ROUND('geg ZO'!I199*VLOOKUP($F158,categoriePers8jreo,3,FALSE),0)</f>
        <v>0</v>
      </c>
      <c r="K158" s="1461">
        <f>ROUND('geg ZO'!J199*VLOOKUP($F158,categoriePers8jreo,3,FALSE),0)</f>
        <v>0</v>
      </c>
      <c r="L158" s="1461">
        <f>ROUND('geg ZO'!K199*VLOOKUP($F158,categoriePers8jreo,3,FALSE),0)</f>
        <v>0</v>
      </c>
      <c r="M158" s="1461">
        <f>ROUND('geg ZO'!L199*VLOOKUP($F158,categoriePers8jreo,3,FALSE),0)</f>
        <v>0</v>
      </c>
      <c r="N158" s="1461">
        <f>ROUND('geg ZO'!M199*VLOOKUP($F158,categoriePers8jreo,3,FALSE),0)</f>
        <v>0</v>
      </c>
      <c r="O158" s="1461">
        <f>ROUND('geg ZO'!N199*VLOOKUP($F158,categoriePers8jreo,3,FALSE),0)</f>
        <v>0</v>
      </c>
      <c r="P158" s="1461">
        <f>ROUND('geg ZO'!O199*VLOOKUP($F158,categoriePers8jreo,3,FALSE),0)</f>
        <v>0</v>
      </c>
      <c r="Q158" s="1037"/>
      <c r="R158" s="539"/>
    </row>
    <row r="159" spans="2:18" ht="13.15" customHeight="1" x14ac:dyDescent="0.2">
      <c r="B159" s="26"/>
      <c r="C159" s="1037"/>
      <c r="D159" s="1000"/>
      <c r="E159" s="1037"/>
      <c r="F159" s="1037" t="str">
        <f>IF('geg ZO'!E200=1,"categorie 1",IF('geg ZO'!E200=2,"categorie 2","categorie 3"))</f>
        <v>categorie 2</v>
      </c>
      <c r="G159" s="1076" t="s">
        <v>125</v>
      </c>
      <c r="H159" s="1037"/>
      <c r="I159" s="1461">
        <v>0</v>
      </c>
      <c r="J159" s="1461">
        <f>ROUND('geg ZO'!I200*VLOOKUP($F159,categoriePers8jreo,3,FALSE),0)</f>
        <v>0</v>
      </c>
      <c r="K159" s="1461">
        <f>ROUND('geg ZO'!J200*VLOOKUP($F159,categoriePers8jreo,3,FALSE),0)</f>
        <v>0</v>
      </c>
      <c r="L159" s="1461">
        <f>ROUND('geg ZO'!K200*VLOOKUP($F159,categoriePers8jreo,3,FALSE),0)</f>
        <v>0</v>
      </c>
      <c r="M159" s="1461">
        <f>ROUND('geg ZO'!L200*VLOOKUP($F159,categoriePers8jreo,3,FALSE),0)</f>
        <v>0</v>
      </c>
      <c r="N159" s="1461">
        <f>ROUND('geg ZO'!M200*VLOOKUP($F159,categoriePers8jreo,3,FALSE),0)</f>
        <v>0</v>
      </c>
      <c r="O159" s="1461">
        <f>ROUND('geg ZO'!N200*VLOOKUP($F159,categoriePers8jreo,3,FALSE),0)</f>
        <v>0</v>
      </c>
      <c r="P159" s="1461">
        <f>ROUND('geg ZO'!O200*VLOOKUP($F159,categoriePers8jreo,3,FALSE),0)</f>
        <v>0</v>
      </c>
      <c r="Q159" s="1037"/>
      <c r="R159" s="539"/>
    </row>
    <row r="160" spans="2:18" ht="13.15" customHeight="1" x14ac:dyDescent="0.2">
      <c r="B160" s="26"/>
      <c r="C160" s="1037"/>
      <c r="D160" s="1000"/>
      <c r="E160" s="1037"/>
      <c r="F160" s="1037" t="str">
        <f>IF('geg ZO'!E201=1,"categorie 1",IF('geg ZO'!E201=2,"categorie 2","categorie 3"))</f>
        <v>categorie 3</v>
      </c>
      <c r="G160" s="1076" t="s">
        <v>125</v>
      </c>
      <c r="H160" s="1037"/>
      <c r="I160" s="1461">
        <v>0</v>
      </c>
      <c r="J160" s="1461">
        <f>ROUND('geg ZO'!I201*VLOOKUP($F160,categoriePers8jreo,3,FALSE),0)</f>
        <v>0</v>
      </c>
      <c r="K160" s="1461">
        <f>ROUND('geg ZO'!J201*VLOOKUP($F160,categoriePers8jreo,3,FALSE),0)</f>
        <v>0</v>
      </c>
      <c r="L160" s="1461">
        <f>ROUND('geg ZO'!K201*VLOOKUP($F160,categoriePers8jreo,3,FALSE),0)</f>
        <v>0</v>
      </c>
      <c r="M160" s="1461">
        <f>ROUND('geg ZO'!L201*VLOOKUP($F160,categoriePers8jreo,3,FALSE),0)</f>
        <v>0</v>
      </c>
      <c r="N160" s="1461">
        <f>ROUND('geg ZO'!M201*VLOOKUP($F160,categoriePers8jreo,3,FALSE),0)</f>
        <v>0</v>
      </c>
      <c r="O160" s="1461">
        <f>ROUND('geg ZO'!N201*VLOOKUP($F160,categoriePers8jreo,3,FALSE),0)</f>
        <v>0</v>
      </c>
      <c r="P160" s="1461">
        <f>ROUND('geg ZO'!O201*VLOOKUP($F160,categoriePers8jreo,3,FALSE),0)</f>
        <v>0</v>
      </c>
      <c r="Q160" s="1037"/>
      <c r="R160" s="539"/>
    </row>
    <row r="161" spans="2:18" ht="13.15" customHeight="1" x14ac:dyDescent="0.2">
      <c r="B161" s="26"/>
      <c r="C161" s="1037"/>
      <c r="D161" s="1447" t="str">
        <f>+'geg ZO'!D204</f>
        <v>Naam SO 19</v>
      </c>
      <c r="E161" s="1037"/>
      <c r="F161" s="1037" t="str">
        <f>IF('geg ZO'!E204=1,"categorie 1",IF('geg ZO'!E204=2,"categorie 2","categorie 3"))</f>
        <v>categorie 1</v>
      </c>
      <c r="G161" s="1076" t="s">
        <v>145</v>
      </c>
      <c r="H161" s="1037"/>
      <c r="I161" s="1461">
        <v>0</v>
      </c>
      <c r="J161" s="1461">
        <f>ROUND('geg ZO'!I204*VLOOKUP($F161,categoriePers,3,FALSE),0)</f>
        <v>0</v>
      </c>
      <c r="K161" s="1461">
        <f>ROUND('geg ZO'!J204*VLOOKUP($F161,categoriePers,3,FALSE),0)</f>
        <v>0</v>
      </c>
      <c r="L161" s="1461">
        <f>ROUND('geg ZO'!K204*VLOOKUP($F161,categoriePers,3,FALSE),0)</f>
        <v>0</v>
      </c>
      <c r="M161" s="1461">
        <f>ROUND('geg ZO'!L204*VLOOKUP($F161,categoriePers,3,FALSE),0)</f>
        <v>0</v>
      </c>
      <c r="N161" s="1461">
        <f>ROUND('geg ZO'!M204*VLOOKUP($F161,categoriePers,3,FALSE),0)</f>
        <v>0</v>
      </c>
      <c r="O161" s="1461">
        <f>ROUND('geg ZO'!N204*VLOOKUP($F161,categoriePers,3,FALSE),0)</f>
        <v>0</v>
      </c>
      <c r="P161" s="1461">
        <f>ROUND('geg ZO'!O204*VLOOKUP($F161,categoriePers,3,FALSE),0)</f>
        <v>0</v>
      </c>
      <c r="Q161" s="1037"/>
      <c r="R161" s="539"/>
    </row>
    <row r="162" spans="2:18" ht="13.15" customHeight="1" x14ac:dyDescent="0.2">
      <c r="B162" s="26"/>
      <c r="C162" s="1037"/>
      <c r="D162" s="1000"/>
      <c r="E162" s="1037"/>
      <c r="F162" s="1037" t="str">
        <f>IF('geg ZO'!E205=1,"categorie 1",IF('geg ZO'!E205=2,"categorie 2","categorie 3"))</f>
        <v>categorie 2</v>
      </c>
      <c r="G162" s="1076" t="s">
        <v>145</v>
      </c>
      <c r="H162" s="1037"/>
      <c r="I162" s="1461">
        <v>0</v>
      </c>
      <c r="J162" s="1461">
        <f>ROUND('geg ZO'!I205*VLOOKUP($F162,categoriePers,3,FALSE),0)</f>
        <v>0</v>
      </c>
      <c r="K162" s="1461">
        <f>ROUND('geg ZO'!J205*VLOOKUP($F162,categoriePers,3,FALSE),0)</f>
        <v>0</v>
      </c>
      <c r="L162" s="1461">
        <f>ROUND('geg ZO'!K205*VLOOKUP($F162,categoriePers,3,FALSE),0)</f>
        <v>0</v>
      </c>
      <c r="M162" s="1461">
        <f>ROUND('geg ZO'!L205*VLOOKUP($F162,categoriePers,3,FALSE),0)</f>
        <v>0</v>
      </c>
      <c r="N162" s="1461">
        <f>ROUND('geg ZO'!M205*VLOOKUP($F162,categoriePers,3,FALSE),0)</f>
        <v>0</v>
      </c>
      <c r="O162" s="1461">
        <f>ROUND('geg ZO'!N205*VLOOKUP($F162,categoriePers,3,FALSE),0)</f>
        <v>0</v>
      </c>
      <c r="P162" s="1461">
        <f>ROUND('geg ZO'!O205*VLOOKUP($F162,categoriePers,3,FALSE),0)</f>
        <v>0</v>
      </c>
      <c r="Q162" s="1037"/>
      <c r="R162" s="539"/>
    </row>
    <row r="163" spans="2:18" ht="13.15" customHeight="1" x14ac:dyDescent="0.2">
      <c r="B163" s="26"/>
      <c r="C163" s="1037"/>
      <c r="D163" s="1000"/>
      <c r="E163" s="1037"/>
      <c r="F163" s="1037" t="str">
        <f>IF('geg ZO'!E206=1,"categorie 1",IF('geg ZO'!E206=2,"categorie 2","categorie 3"))</f>
        <v>categorie 3</v>
      </c>
      <c r="G163" s="1076" t="s">
        <v>145</v>
      </c>
      <c r="H163" s="1037"/>
      <c r="I163" s="1461">
        <v>0</v>
      </c>
      <c r="J163" s="1461">
        <f>ROUND('geg ZO'!I206*VLOOKUP($F163,categoriePers,3,FALSE),0)</f>
        <v>0</v>
      </c>
      <c r="K163" s="1461">
        <f>ROUND('geg ZO'!J206*VLOOKUP($F163,categoriePers,3,FALSE),0)</f>
        <v>0</v>
      </c>
      <c r="L163" s="1461">
        <f>ROUND('geg ZO'!K206*VLOOKUP($F163,categoriePers,3,FALSE),0)</f>
        <v>0</v>
      </c>
      <c r="M163" s="1461">
        <f>ROUND('geg ZO'!L206*VLOOKUP($F163,categoriePers,3,FALSE),0)</f>
        <v>0</v>
      </c>
      <c r="N163" s="1461">
        <f>ROUND('geg ZO'!M206*VLOOKUP($F163,categoriePers,3,FALSE),0)</f>
        <v>0</v>
      </c>
      <c r="O163" s="1461">
        <f>ROUND('geg ZO'!N206*VLOOKUP($F163,categoriePers,3,FALSE),0)</f>
        <v>0</v>
      </c>
      <c r="P163" s="1461">
        <f>ROUND('geg ZO'!O206*VLOOKUP($F163,categoriePers,3,FALSE),0)</f>
        <v>0</v>
      </c>
      <c r="Q163" s="1037"/>
      <c r="R163" s="539"/>
    </row>
    <row r="164" spans="2:18" ht="13.15" customHeight="1" x14ac:dyDescent="0.2">
      <c r="B164" s="26"/>
      <c r="C164" s="1037"/>
      <c r="D164" s="1000"/>
      <c r="E164" s="1037"/>
      <c r="F164" s="1037" t="str">
        <f>IF('geg ZO'!E207=1,"categorie 1",IF('geg ZO'!E207=2,"categorie 2","categorie 3"))</f>
        <v>categorie 1</v>
      </c>
      <c r="G164" s="1076" t="s">
        <v>125</v>
      </c>
      <c r="H164" s="1037"/>
      <c r="I164" s="1461">
        <v>0</v>
      </c>
      <c r="J164" s="1461">
        <f>ROUND('geg ZO'!I207*VLOOKUP($F164,categoriePers8jreo,3,FALSE),0)</f>
        <v>0</v>
      </c>
      <c r="K164" s="1461">
        <f>ROUND('geg ZO'!J207*VLOOKUP($F164,categoriePers8jreo,3,FALSE),0)</f>
        <v>0</v>
      </c>
      <c r="L164" s="1461">
        <f>ROUND('geg ZO'!K207*VLOOKUP($F164,categoriePers8jreo,3,FALSE),0)</f>
        <v>0</v>
      </c>
      <c r="M164" s="1461">
        <f>ROUND('geg ZO'!L207*VLOOKUP($F164,categoriePers8jreo,3,FALSE),0)</f>
        <v>0</v>
      </c>
      <c r="N164" s="1461">
        <f>ROUND('geg ZO'!M207*VLOOKUP($F164,categoriePers8jreo,3,FALSE),0)</f>
        <v>0</v>
      </c>
      <c r="O164" s="1461">
        <f>ROUND('geg ZO'!N207*VLOOKUP($F164,categoriePers8jreo,3,FALSE),0)</f>
        <v>0</v>
      </c>
      <c r="P164" s="1461">
        <f>ROUND('geg ZO'!O207*VLOOKUP($F164,categoriePers8jreo,3,FALSE),0)</f>
        <v>0</v>
      </c>
      <c r="Q164" s="1037"/>
      <c r="R164" s="539"/>
    </row>
    <row r="165" spans="2:18" ht="13.15" customHeight="1" x14ac:dyDescent="0.2">
      <c r="B165" s="26"/>
      <c r="C165" s="1037"/>
      <c r="D165" s="1000"/>
      <c r="E165" s="1037"/>
      <c r="F165" s="1037" t="str">
        <f>IF('geg ZO'!E208=1,"categorie 1",IF('geg ZO'!E208=2,"categorie 2","categorie 3"))</f>
        <v>categorie 2</v>
      </c>
      <c r="G165" s="1076" t="s">
        <v>125</v>
      </c>
      <c r="H165" s="1037"/>
      <c r="I165" s="1461">
        <v>0</v>
      </c>
      <c r="J165" s="1461">
        <f>ROUND('geg ZO'!I208*VLOOKUP($F165,categoriePers8jreo,3,FALSE),0)</f>
        <v>0</v>
      </c>
      <c r="K165" s="1461">
        <f>ROUND('geg ZO'!J208*VLOOKUP($F165,categoriePers8jreo,3,FALSE),0)</f>
        <v>0</v>
      </c>
      <c r="L165" s="1461">
        <f>ROUND('geg ZO'!K208*VLOOKUP($F165,categoriePers8jreo,3,FALSE),0)</f>
        <v>0</v>
      </c>
      <c r="M165" s="1461">
        <f>ROUND('geg ZO'!L208*VLOOKUP($F165,categoriePers8jreo,3,FALSE),0)</f>
        <v>0</v>
      </c>
      <c r="N165" s="1461">
        <f>ROUND('geg ZO'!M208*VLOOKUP($F165,categoriePers8jreo,3,FALSE),0)</f>
        <v>0</v>
      </c>
      <c r="O165" s="1461">
        <f>ROUND('geg ZO'!N208*VLOOKUP($F165,categoriePers8jreo,3,FALSE),0)</f>
        <v>0</v>
      </c>
      <c r="P165" s="1461">
        <f>ROUND('geg ZO'!O208*VLOOKUP($F165,categoriePers8jreo,3,FALSE),0)</f>
        <v>0</v>
      </c>
      <c r="Q165" s="1037"/>
      <c r="R165" s="539"/>
    </row>
    <row r="166" spans="2:18" ht="13.15" customHeight="1" x14ac:dyDescent="0.2">
      <c r="B166" s="26"/>
      <c r="C166" s="1037"/>
      <c r="D166" s="1000"/>
      <c r="E166" s="1037"/>
      <c r="F166" s="1037" t="str">
        <f>IF('geg ZO'!E209=1,"categorie 1",IF('geg ZO'!E209=2,"categorie 2","categorie 3"))</f>
        <v>categorie 3</v>
      </c>
      <c r="G166" s="1076" t="s">
        <v>125</v>
      </c>
      <c r="H166" s="1037"/>
      <c r="I166" s="1461">
        <v>0</v>
      </c>
      <c r="J166" s="1461">
        <f>ROUND('geg ZO'!I209*VLOOKUP($F166,categoriePers8jreo,3,FALSE),0)</f>
        <v>0</v>
      </c>
      <c r="K166" s="1461">
        <f>ROUND('geg ZO'!J209*VLOOKUP($F166,categoriePers8jreo,3,FALSE),0)</f>
        <v>0</v>
      </c>
      <c r="L166" s="1461">
        <f>ROUND('geg ZO'!K209*VLOOKUP($F166,categoriePers8jreo,3,FALSE),0)</f>
        <v>0</v>
      </c>
      <c r="M166" s="1461">
        <f>ROUND('geg ZO'!L209*VLOOKUP($F166,categoriePers8jreo,3,FALSE),0)</f>
        <v>0</v>
      </c>
      <c r="N166" s="1461">
        <f>ROUND('geg ZO'!M209*VLOOKUP($F166,categoriePers8jreo,3,FALSE),0)</f>
        <v>0</v>
      </c>
      <c r="O166" s="1461">
        <f>ROUND('geg ZO'!N209*VLOOKUP($F166,categoriePers8jreo,3,FALSE),0)</f>
        <v>0</v>
      </c>
      <c r="P166" s="1461">
        <f>ROUND('geg ZO'!O209*VLOOKUP($F166,categoriePers8jreo,3,FALSE),0)</f>
        <v>0</v>
      </c>
      <c r="Q166" s="1037"/>
      <c r="R166" s="539"/>
    </row>
    <row r="167" spans="2:18" ht="13.15" customHeight="1" x14ac:dyDescent="0.2">
      <c r="B167" s="26"/>
      <c r="C167" s="1037"/>
      <c r="D167" s="1447" t="str">
        <f>+'geg ZO'!D212</f>
        <v>Naam SO 20</v>
      </c>
      <c r="E167" s="1037"/>
      <c r="F167" s="1037" t="str">
        <f>IF('geg ZO'!E212=1,"categorie 1",IF('geg ZO'!E212=2,"categorie 2","categorie 3"))</f>
        <v>categorie 1</v>
      </c>
      <c r="G167" s="1076" t="s">
        <v>145</v>
      </c>
      <c r="H167" s="1037"/>
      <c r="I167" s="1461">
        <v>0</v>
      </c>
      <c r="J167" s="1461">
        <f>ROUND('geg ZO'!I212*VLOOKUP($F167,categoriePers,3,FALSE),0)</f>
        <v>0</v>
      </c>
      <c r="K167" s="1461">
        <f>ROUND('geg ZO'!J212*VLOOKUP($F167,categoriePers,3,FALSE),0)</f>
        <v>0</v>
      </c>
      <c r="L167" s="1461">
        <f>ROUND('geg ZO'!K212*VLOOKUP($F167,categoriePers,3,FALSE),0)</f>
        <v>0</v>
      </c>
      <c r="M167" s="1461">
        <f>ROUND('geg ZO'!L212*VLOOKUP($F167,categoriePers,3,FALSE),0)</f>
        <v>0</v>
      </c>
      <c r="N167" s="1461">
        <f>ROUND('geg ZO'!M212*VLOOKUP($F167,categoriePers,3,FALSE),0)</f>
        <v>0</v>
      </c>
      <c r="O167" s="1461">
        <f>ROUND('geg ZO'!N212*VLOOKUP($F167,categoriePers,3,FALSE),0)</f>
        <v>0</v>
      </c>
      <c r="P167" s="1461">
        <f>ROUND('geg ZO'!O212*VLOOKUP($F167,categoriePers,3,FALSE),0)</f>
        <v>0</v>
      </c>
      <c r="Q167" s="1037"/>
      <c r="R167" s="539"/>
    </row>
    <row r="168" spans="2:18" ht="13.15" customHeight="1" x14ac:dyDescent="0.2">
      <c r="B168" s="26"/>
      <c r="C168" s="1037"/>
      <c r="D168" s="1000"/>
      <c r="E168" s="1037"/>
      <c r="F168" s="1037" t="str">
        <f>IF('geg ZO'!E213=1,"categorie 1",IF('geg ZO'!E213=2,"categorie 2","categorie 3"))</f>
        <v>categorie 2</v>
      </c>
      <c r="G168" s="1076" t="s">
        <v>145</v>
      </c>
      <c r="H168" s="1037"/>
      <c r="I168" s="1461">
        <v>0</v>
      </c>
      <c r="J168" s="1461">
        <f>ROUND('geg ZO'!I213*VLOOKUP($F168,categoriePers,3,FALSE),0)</f>
        <v>0</v>
      </c>
      <c r="K168" s="1461">
        <f>ROUND('geg ZO'!J213*VLOOKUP($F168,categoriePers,3,FALSE),0)</f>
        <v>0</v>
      </c>
      <c r="L168" s="1461">
        <f>ROUND('geg ZO'!K213*VLOOKUP($F168,categoriePers,3,FALSE),0)</f>
        <v>0</v>
      </c>
      <c r="M168" s="1461">
        <f>ROUND('geg ZO'!L213*VLOOKUP($F168,categoriePers,3,FALSE),0)</f>
        <v>0</v>
      </c>
      <c r="N168" s="1461">
        <f>ROUND('geg ZO'!M213*VLOOKUP($F168,categoriePers,3,FALSE),0)</f>
        <v>0</v>
      </c>
      <c r="O168" s="1461">
        <f>ROUND('geg ZO'!N213*VLOOKUP($F168,categoriePers,3,FALSE),0)</f>
        <v>0</v>
      </c>
      <c r="P168" s="1461">
        <f>ROUND('geg ZO'!O213*VLOOKUP($F168,categoriePers,3,FALSE),0)</f>
        <v>0</v>
      </c>
      <c r="Q168" s="1037"/>
      <c r="R168" s="539"/>
    </row>
    <row r="169" spans="2:18" ht="13.15" customHeight="1" x14ac:dyDescent="0.2">
      <c r="B169" s="26"/>
      <c r="C169" s="1037"/>
      <c r="D169" s="1000"/>
      <c r="E169" s="1037"/>
      <c r="F169" s="1037" t="str">
        <f>IF('geg ZO'!E214=1,"categorie 1",IF('geg ZO'!E214=2,"categorie 2","categorie 3"))</f>
        <v>categorie 3</v>
      </c>
      <c r="G169" s="1076" t="s">
        <v>145</v>
      </c>
      <c r="H169" s="1037"/>
      <c r="I169" s="1461">
        <v>0</v>
      </c>
      <c r="J169" s="1461">
        <f>ROUND('geg ZO'!I214*VLOOKUP($F169,categoriePers,3,FALSE),0)</f>
        <v>0</v>
      </c>
      <c r="K169" s="1461">
        <f>ROUND('geg ZO'!J214*VLOOKUP($F169,categoriePers,3,FALSE),0)</f>
        <v>0</v>
      </c>
      <c r="L169" s="1461">
        <f>ROUND('geg ZO'!K214*VLOOKUP($F169,categoriePers,3,FALSE),0)</f>
        <v>0</v>
      </c>
      <c r="M169" s="1461">
        <f>ROUND('geg ZO'!L214*VLOOKUP($F169,categoriePers,3,FALSE),0)</f>
        <v>0</v>
      </c>
      <c r="N169" s="1461">
        <f>ROUND('geg ZO'!M214*VLOOKUP($F169,categoriePers,3,FALSE),0)</f>
        <v>0</v>
      </c>
      <c r="O169" s="1461">
        <f>ROUND('geg ZO'!N214*VLOOKUP($F169,categoriePers,3,FALSE),0)</f>
        <v>0</v>
      </c>
      <c r="P169" s="1461">
        <f>ROUND('geg ZO'!O214*VLOOKUP($F169,categoriePers,3,FALSE),0)</f>
        <v>0</v>
      </c>
      <c r="Q169" s="1037"/>
      <c r="R169" s="539"/>
    </row>
    <row r="170" spans="2:18" ht="13.15" customHeight="1" x14ac:dyDescent="0.2">
      <c r="B170" s="26"/>
      <c r="C170" s="1037"/>
      <c r="D170" s="1000"/>
      <c r="E170" s="1037"/>
      <c r="F170" s="1037" t="str">
        <f>IF('geg ZO'!E215=1,"categorie 1",IF('geg ZO'!E215=2,"categorie 2","categorie 3"))</f>
        <v>categorie 1</v>
      </c>
      <c r="G170" s="1076" t="s">
        <v>125</v>
      </c>
      <c r="H170" s="1037"/>
      <c r="I170" s="1461">
        <v>0</v>
      </c>
      <c r="J170" s="1461">
        <f>ROUND('geg ZO'!I215*VLOOKUP($F170,categoriePers8jreo,3,FALSE),0)</f>
        <v>0</v>
      </c>
      <c r="K170" s="1461">
        <f>ROUND('geg ZO'!J215*VLOOKUP($F170,categoriePers8jreo,3,FALSE),0)</f>
        <v>0</v>
      </c>
      <c r="L170" s="1461">
        <f>ROUND('geg ZO'!K215*VLOOKUP($F170,categoriePers8jreo,3,FALSE),0)</f>
        <v>0</v>
      </c>
      <c r="M170" s="1461">
        <f>ROUND('geg ZO'!L215*VLOOKUP($F170,categoriePers8jreo,3,FALSE),0)</f>
        <v>0</v>
      </c>
      <c r="N170" s="1461">
        <f>ROUND('geg ZO'!M215*VLOOKUP($F170,categoriePers8jreo,3,FALSE),0)</f>
        <v>0</v>
      </c>
      <c r="O170" s="1461">
        <f>ROUND('geg ZO'!N215*VLOOKUP($F170,categoriePers8jreo,3,FALSE),0)</f>
        <v>0</v>
      </c>
      <c r="P170" s="1461">
        <f>ROUND('geg ZO'!O215*VLOOKUP($F170,categoriePers8jreo,3,FALSE),0)</f>
        <v>0</v>
      </c>
      <c r="Q170" s="1037"/>
      <c r="R170" s="539"/>
    </row>
    <row r="171" spans="2:18" ht="13.15" customHeight="1" x14ac:dyDescent="0.2">
      <c r="B171" s="26"/>
      <c r="C171" s="1037"/>
      <c r="D171" s="1000"/>
      <c r="E171" s="1037"/>
      <c r="F171" s="1037" t="str">
        <f>IF('geg ZO'!E216=1,"categorie 1",IF('geg ZO'!E216=2,"categorie 2","categorie 3"))</f>
        <v>categorie 2</v>
      </c>
      <c r="G171" s="1076" t="s">
        <v>125</v>
      </c>
      <c r="H171" s="1037"/>
      <c r="I171" s="1461">
        <v>0</v>
      </c>
      <c r="J171" s="1461">
        <f>ROUND('geg ZO'!I216*VLOOKUP($F171,categoriePers8jreo,3,FALSE),0)</f>
        <v>0</v>
      </c>
      <c r="K171" s="1461">
        <f>ROUND('geg ZO'!J216*VLOOKUP($F171,categoriePers8jreo,3,FALSE),0)</f>
        <v>0</v>
      </c>
      <c r="L171" s="1461">
        <f>ROUND('geg ZO'!K216*VLOOKUP($F171,categoriePers8jreo,3,FALSE),0)</f>
        <v>0</v>
      </c>
      <c r="M171" s="1461">
        <f>ROUND('geg ZO'!L216*VLOOKUP($F171,categoriePers8jreo,3,FALSE),0)</f>
        <v>0</v>
      </c>
      <c r="N171" s="1461">
        <f>ROUND('geg ZO'!M216*VLOOKUP($F171,categoriePers8jreo,3,FALSE),0)</f>
        <v>0</v>
      </c>
      <c r="O171" s="1461">
        <f>ROUND('geg ZO'!N216*VLOOKUP($F171,categoriePers8jreo,3,FALSE),0)</f>
        <v>0</v>
      </c>
      <c r="P171" s="1461">
        <f>ROUND('geg ZO'!O216*VLOOKUP($F171,categoriePers8jreo,3,FALSE),0)</f>
        <v>0</v>
      </c>
      <c r="Q171" s="1037"/>
      <c r="R171" s="539"/>
    </row>
    <row r="172" spans="2:18" ht="13.15" customHeight="1" x14ac:dyDescent="0.2">
      <c r="B172" s="26"/>
      <c r="C172" s="1037"/>
      <c r="D172" s="1000"/>
      <c r="E172" s="1037"/>
      <c r="F172" s="1037" t="str">
        <f>IF('geg ZO'!E217=1,"categorie 1",IF('geg ZO'!E217=2,"categorie 2","categorie 3"))</f>
        <v>categorie 3</v>
      </c>
      <c r="G172" s="1076" t="s">
        <v>125</v>
      </c>
      <c r="H172" s="1037"/>
      <c r="I172" s="1461">
        <v>0</v>
      </c>
      <c r="J172" s="1461">
        <f>ROUND('geg ZO'!I217*VLOOKUP($F172,categoriePers8jreo,3,FALSE),0)</f>
        <v>0</v>
      </c>
      <c r="K172" s="1461">
        <f>ROUND('geg ZO'!J217*VLOOKUP($F172,categoriePers8jreo,3,FALSE),0)</f>
        <v>0</v>
      </c>
      <c r="L172" s="1461">
        <f>ROUND('geg ZO'!K217*VLOOKUP($F172,categoriePers8jreo,3,FALSE),0)</f>
        <v>0</v>
      </c>
      <c r="M172" s="1461">
        <f>ROUND('geg ZO'!L217*VLOOKUP($F172,categoriePers8jreo,3,FALSE),0)</f>
        <v>0</v>
      </c>
      <c r="N172" s="1461">
        <f>ROUND('geg ZO'!M217*VLOOKUP($F172,categoriePers8jreo,3,FALSE),0)</f>
        <v>0</v>
      </c>
      <c r="O172" s="1461">
        <f>ROUND('geg ZO'!N217*VLOOKUP($F172,categoriePers8jreo,3,FALSE),0)</f>
        <v>0</v>
      </c>
      <c r="P172" s="1461">
        <f>ROUND('geg ZO'!O217*VLOOKUP($F172,categoriePers8jreo,3,FALSE),0)</f>
        <v>0</v>
      </c>
      <c r="Q172" s="1037"/>
      <c r="R172" s="539"/>
    </row>
    <row r="173" spans="2:18" ht="13.15" customHeight="1" x14ac:dyDescent="0.2">
      <c r="B173" s="26"/>
      <c r="C173" s="1037"/>
      <c r="D173" s="1447" t="str">
        <f>+'geg ZO'!D220</f>
        <v>Naam SO 21</v>
      </c>
      <c r="E173" s="1037"/>
      <c r="F173" s="1037" t="str">
        <f>IF('geg ZO'!E220=1,"categorie 1",IF('geg ZO'!E220=2,"categorie 2","categorie 3"))</f>
        <v>categorie 1</v>
      </c>
      <c r="G173" s="1076" t="s">
        <v>145</v>
      </c>
      <c r="H173" s="1037"/>
      <c r="I173" s="1461">
        <v>0</v>
      </c>
      <c r="J173" s="1461">
        <f>ROUND('geg ZO'!I220*VLOOKUP($F173,categoriePers,3,FALSE),0)</f>
        <v>0</v>
      </c>
      <c r="K173" s="1461">
        <f>ROUND('geg ZO'!J220*VLOOKUP($F173,categoriePers,3,FALSE),0)</f>
        <v>0</v>
      </c>
      <c r="L173" s="1461">
        <f>ROUND('geg ZO'!K220*VLOOKUP($F173,categoriePers,3,FALSE),0)</f>
        <v>0</v>
      </c>
      <c r="M173" s="1461">
        <f>ROUND('geg ZO'!L220*VLOOKUP($F173,categoriePers,3,FALSE),0)</f>
        <v>0</v>
      </c>
      <c r="N173" s="1461">
        <f>ROUND('geg ZO'!M220*VLOOKUP($F173,categoriePers,3,FALSE),0)</f>
        <v>0</v>
      </c>
      <c r="O173" s="1461">
        <f>ROUND('geg ZO'!N220*VLOOKUP($F173,categoriePers,3,FALSE),0)</f>
        <v>0</v>
      </c>
      <c r="P173" s="1461">
        <f>ROUND('geg ZO'!O220*VLOOKUP($F173,categoriePers,3,FALSE),0)</f>
        <v>0</v>
      </c>
      <c r="Q173" s="1037"/>
      <c r="R173" s="539"/>
    </row>
    <row r="174" spans="2:18" ht="13.15" customHeight="1" x14ac:dyDescent="0.2">
      <c r="B174" s="26"/>
      <c r="C174" s="1037"/>
      <c r="D174" s="1000"/>
      <c r="E174" s="1037"/>
      <c r="F174" s="1037" t="str">
        <f>IF('geg ZO'!E221=1,"categorie 1",IF('geg ZO'!E221=2,"categorie 2","categorie 3"))</f>
        <v>categorie 2</v>
      </c>
      <c r="G174" s="1076" t="s">
        <v>145</v>
      </c>
      <c r="H174" s="1037"/>
      <c r="I174" s="1461">
        <v>0</v>
      </c>
      <c r="J174" s="1461">
        <f>ROUND('geg ZO'!I221*VLOOKUP($F174,categoriePers,3,FALSE),0)</f>
        <v>0</v>
      </c>
      <c r="K174" s="1461">
        <f>ROUND('geg ZO'!J221*VLOOKUP($F174,categoriePers,3,FALSE),0)</f>
        <v>0</v>
      </c>
      <c r="L174" s="1461">
        <f>ROUND('geg ZO'!K221*VLOOKUP($F174,categoriePers,3,FALSE),0)</f>
        <v>0</v>
      </c>
      <c r="M174" s="1461">
        <f>ROUND('geg ZO'!L221*VLOOKUP($F174,categoriePers,3,FALSE),0)</f>
        <v>0</v>
      </c>
      <c r="N174" s="1461">
        <f>ROUND('geg ZO'!M221*VLOOKUP($F174,categoriePers,3,FALSE),0)</f>
        <v>0</v>
      </c>
      <c r="O174" s="1461">
        <f>ROUND('geg ZO'!N221*VLOOKUP($F174,categoriePers,3,FALSE),0)</f>
        <v>0</v>
      </c>
      <c r="P174" s="1461">
        <f>ROUND('geg ZO'!O221*VLOOKUP($F174,categoriePers,3,FALSE),0)</f>
        <v>0</v>
      </c>
      <c r="Q174" s="1037"/>
      <c r="R174" s="539"/>
    </row>
    <row r="175" spans="2:18" ht="13.15" customHeight="1" x14ac:dyDescent="0.2">
      <c r="B175" s="26"/>
      <c r="C175" s="1037"/>
      <c r="D175" s="1000"/>
      <c r="E175" s="1037"/>
      <c r="F175" s="1037" t="str">
        <f>IF('geg ZO'!E222=1,"categorie 1",IF('geg ZO'!E222=2,"categorie 2","categorie 3"))</f>
        <v>categorie 3</v>
      </c>
      <c r="G175" s="1076" t="s">
        <v>145</v>
      </c>
      <c r="H175" s="1037"/>
      <c r="I175" s="1461">
        <v>0</v>
      </c>
      <c r="J175" s="1461">
        <f>ROUND('geg ZO'!I222*VLOOKUP($F175,categoriePers,3,FALSE),0)</f>
        <v>0</v>
      </c>
      <c r="K175" s="1461">
        <f>ROUND('geg ZO'!J222*VLOOKUP($F175,categoriePers,3,FALSE),0)</f>
        <v>0</v>
      </c>
      <c r="L175" s="1461">
        <f>ROUND('geg ZO'!K222*VLOOKUP($F175,categoriePers,3,FALSE),0)</f>
        <v>0</v>
      </c>
      <c r="M175" s="1461">
        <f>ROUND('geg ZO'!L222*VLOOKUP($F175,categoriePers,3,FALSE),0)</f>
        <v>0</v>
      </c>
      <c r="N175" s="1461">
        <f>ROUND('geg ZO'!M222*VLOOKUP($F175,categoriePers,3,FALSE),0)</f>
        <v>0</v>
      </c>
      <c r="O175" s="1461">
        <f>ROUND('geg ZO'!N222*VLOOKUP($F175,categoriePers,3,FALSE),0)</f>
        <v>0</v>
      </c>
      <c r="P175" s="1461">
        <f>ROUND('geg ZO'!O222*VLOOKUP($F175,categoriePers,3,FALSE),0)</f>
        <v>0</v>
      </c>
      <c r="Q175" s="1037"/>
      <c r="R175" s="539"/>
    </row>
    <row r="176" spans="2:18" ht="13.15" customHeight="1" x14ac:dyDescent="0.2">
      <c r="B176" s="26"/>
      <c r="C176" s="1037"/>
      <c r="D176" s="1000"/>
      <c r="E176" s="1037"/>
      <c r="F176" s="1037" t="str">
        <f>IF('geg ZO'!E223=1,"categorie 1",IF('geg ZO'!E223=2,"categorie 2","categorie 3"))</f>
        <v>categorie 1</v>
      </c>
      <c r="G176" s="1076" t="s">
        <v>125</v>
      </c>
      <c r="H176" s="1037"/>
      <c r="I176" s="1461">
        <v>0</v>
      </c>
      <c r="J176" s="1461">
        <f>ROUND('geg ZO'!I223*VLOOKUP($F176,categoriePers8jreo,3,FALSE),0)</f>
        <v>0</v>
      </c>
      <c r="K176" s="1461">
        <f>ROUND('geg ZO'!J223*VLOOKUP($F176,categoriePers8jreo,3,FALSE),0)</f>
        <v>0</v>
      </c>
      <c r="L176" s="1461">
        <f>ROUND('geg ZO'!K223*VLOOKUP($F176,categoriePers8jreo,3,FALSE),0)</f>
        <v>0</v>
      </c>
      <c r="M176" s="1461">
        <f>ROUND('geg ZO'!L223*VLOOKUP($F176,categoriePers8jreo,3,FALSE),0)</f>
        <v>0</v>
      </c>
      <c r="N176" s="1461">
        <f>ROUND('geg ZO'!M223*VLOOKUP($F176,categoriePers8jreo,3,FALSE),0)</f>
        <v>0</v>
      </c>
      <c r="O176" s="1461">
        <f>ROUND('geg ZO'!N223*VLOOKUP($F176,categoriePers8jreo,3,FALSE),0)</f>
        <v>0</v>
      </c>
      <c r="P176" s="1461">
        <f>ROUND('geg ZO'!O223*VLOOKUP($F176,categoriePers8jreo,3,FALSE),0)</f>
        <v>0</v>
      </c>
      <c r="Q176" s="1037"/>
      <c r="R176" s="539"/>
    </row>
    <row r="177" spans="2:18" ht="13.15" customHeight="1" x14ac:dyDescent="0.2">
      <c r="B177" s="26"/>
      <c r="C177" s="1037"/>
      <c r="D177" s="1000"/>
      <c r="E177" s="1037"/>
      <c r="F177" s="1037" t="str">
        <f>IF('geg ZO'!E224=1,"categorie 1",IF('geg ZO'!E224=2,"categorie 2","categorie 3"))</f>
        <v>categorie 2</v>
      </c>
      <c r="G177" s="1076" t="s">
        <v>125</v>
      </c>
      <c r="H177" s="1037"/>
      <c r="I177" s="1461">
        <v>0</v>
      </c>
      <c r="J177" s="1461">
        <f>ROUND('geg ZO'!I224*VLOOKUP($F177,categoriePers8jreo,3,FALSE),0)</f>
        <v>0</v>
      </c>
      <c r="K177" s="1461">
        <f>ROUND('geg ZO'!J224*VLOOKUP($F177,categoriePers8jreo,3,FALSE),0)</f>
        <v>0</v>
      </c>
      <c r="L177" s="1461">
        <f>ROUND('geg ZO'!K224*VLOOKUP($F177,categoriePers8jreo,3,FALSE),0)</f>
        <v>0</v>
      </c>
      <c r="M177" s="1461">
        <f>ROUND('geg ZO'!L224*VLOOKUP($F177,categoriePers8jreo,3,FALSE),0)</f>
        <v>0</v>
      </c>
      <c r="N177" s="1461">
        <f>ROUND('geg ZO'!M224*VLOOKUP($F177,categoriePers8jreo,3,FALSE),0)</f>
        <v>0</v>
      </c>
      <c r="O177" s="1461">
        <f>ROUND('geg ZO'!N224*VLOOKUP($F177,categoriePers8jreo,3,FALSE),0)</f>
        <v>0</v>
      </c>
      <c r="P177" s="1461">
        <f>ROUND('geg ZO'!O224*VLOOKUP($F177,categoriePers8jreo,3,FALSE),0)</f>
        <v>0</v>
      </c>
      <c r="Q177" s="1037"/>
      <c r="R177" s="539"/>
    </row>
    <row r="178" spans="2:18" ht="13.15" customHeight="1" x14ac:dyDescent="0.2">
      <c r="B178" s="26"/>
      <c r="C178" s="1037"/>
      <c r="D178" s="1000"/>
      <c r="E178" s="1037"/>
      <c r="F178" s="1037" t="str">
        <f>IF('geg ZO'!E225=1,"categorie 1",IF('geg ZO'!E225=2,"categorie 2","categorie 3"))</f>
        <v>categorie 3</v>
      </c>
      <c r="G178" s="1076" t="s">
        <v>125</v>
      </c>
      <c r="H178" s="1037"/>
      <c r="I178" s="1461">
        <v>0</v>
      </c>
      <c r="J178" s="1461">
        <f>ROUND('geg ZO'!I225*VLOOKUP($F178,categoriePers8jreo,3,FALSE),0)</f>
        <v>0</v>
      </c>
      <c r="K178" s="1461">
        <f>ROUND('geg ZO'!J225*VLOOKUP($F178,categoriePers8jreo,3,FALSE),0)</f>
        <v>0</v>
      </c>
      <c r="L178" s="1461">
        <f>ROUND('geg ZO'!K225*VLOOKUP($F178,categoriePers8jreo,3,FALSE),0)</f>
        <v>0</v>
      </c>
      <c r="M178" s="1461">
        <f>ROUND('geg ZO'!L225*VLOOKUP($F178,categoriePers8jreo,3,FALSE),0)</f>
        <v>0</v>
      </c>
      <c r="N178" s="1461">
        <f>ROUND('geg ZO'!M225*VLOOKUP($F178,categoriePers8jreo,3,FALSE),0)</f>
        <v>0</v>
      </c>
      <c r="O178" s="1461">
        <f>ROUND('geg ZO'!N225*VLOOKUP($F178,categoriePers8jreo,3,FALSE),0)</f>
        <v>0</v>
      </c>
      <c r="P178" s="1461">
        <f>ROUND('geg ZO'!O225*VLOOKUP($F178,categoriePers8jreo,3,FALSE),0)</f>
        <v>0</v>
      </c>
      <c r="Q178" s="1037"/>
      <c r="R178" s="539"/>
    </row>
    <row r="179" spans="2:18" ht="13.15" customHeight="1" x14ac:dyDescent="0.2">
      <c r="B179" s="26"/>
      <c r="C179" s="1037"/>
      <c r="D179" s="1447" t="str">
        <f>+'geg ZO'!D228</f>
        <v>Naam SO 22</v>
      </c>
      <c r="E179" s="1037"/>
      <c r="F179" s="1037" t="str">
        <f>IF('geg ZO'!E228=1,"categorie 1",IF('geg ZO'!E228=2,"categorie 2","categorie 3"))</f>
        <v>categorie 1</v>
      </c>
      <c r="G179" s="1076" t="s">
        <v>145</v>
      </c>
      <c r="H179" s="1037"/>
      <c r="I179" s="1461">
        <v>0</v>
      </c>
      <c r="J179" s="1461">
        <f>ROUND('geg ZO'!I228*VLOOKUP($F179,categoriePers,3,FALSE),0)</f>
        <v>0</v>
      </c>
      <c r="K179" s="1461">
        <f>ROUND('geg ZO'!J228*VLOOKUP($F179,categoriePers,3,FALSE),0)</f>
        <v>0</v>
      </c>
      <c r="L179" s="1461">
        <f>ROUND('geg ZO'!K228*VLOOKUP($F179,categoriePers,3,FALSE),0)</f>
        <v>0</v>
      </c>
      <c r="M179" s="1461">
        <f>ROUND('geg ZO'!L228*VLOOKUP($F179,categoriePers,3,FALSE),0)</f>
        <v>0</v>
      </c>
      <c r="N179" s="1461">
        <f>ROUND('geg ZO'!M228*VLOOKUP($F179,categoriePers,3,FALSE),0)</f>
        <v>0</v>
      </c>
      <c r="O179" s="1461">
        <f>ROUND('geg ZO'!N228*VLOOKUP($F179,categoriePers,3,FALSE),0)</f>
        <v>0</v>
      </c>
      <c r="P179" s="1461">
        <f>ROUND('geg ZO'!O228*VLOOKUP($F179,categoriePers,3,FALSE),0)</f>
        <v>0</v>
      </c>
      <c r="Q179" s="1037"/>
      <c r="R179" s="539"/>
    </row>
    <row r="180" spans="2:18" ht="13.15" customHeight="1" x14ac:dyDescent="0.2">
      <c r="B180" s="26"/>
      <c r="C180" s="1037"/>
      <c r="D180" s="1000"/>
      <c r="E180" s="1037"/>
      <c r="F180" s="1037" t="str">
        <f>IF('geg ZO'!E229=1,"categorie 1",IF('geg ZO'!E229=2,"categorie 2","categorie 3"))</f>
        <v>categorie 2</v>
      </c>
      <c r="G180" s="1076" t="s">
        <v>145</v>
      </c>
      <c r="H180" s="1037"/>
      <c r="I180" s="1461">
        <v>0</v>
      </c>
      <c r="J180" s="1461">
        <f>ROUND('geg ZO'!I229*VLOOKUP($F180,categoriePers,3,FALSE),0)</f>
        <v>0</v>
      </c>
      <c r="K180" s="1461">
        <f>ROUND('geg ZO'!J229*VLOOKUP($F180,categoriePers,3,FALSE),0)</f>
        <v>0</v>
      </c>
      <c r="L180" s="1461">
        <f>ROUND('geg ZO'!K229*VLOOKUP($F180,categoriePers,3,FALSE),0)</f>
        <v>0</v>
      </c>
      <c r="M180" s="1461">
        <f>ROUND('geg ZO'!L229*VLOOKUP($F180,categoriePers,3,FALSE),0)</f>
        <v>0</v>
      </c>
      <c r="N180" s="1461">
        <f>ROUND('geg ZO'!M229*VLOOKUP($F180,categoriePers,3,FALSE),0)</f>
        <v>0</v>
      </c>
      <c r="O180" s="1461">
        <f>ROUND('geg ZO'!N229*VLOOKUP($F180,categoriePers,3,FALSE),0)</f>
        <v>0</v>
      </c>
      <c r="P180" s="1461">
        <f>ROUND('geg ZO'!O229*VLOOKUP($F180,categoriePers,3,FALSE),0)</f>
        <v>0</v>
      </c>
      <c r="Q180" s="1037"/>
      <c r="R180" s="539"/>
    </row>
    <row r="181" spans="2:18" ht="13.15" customHeight="1" x14ac:dyDescent="0.2">
      <c r="B181" s="26"/>
      <c r="C181" s="1037"/>
      <c r="D181" s="1000"/>
      <c r="E181" s="1037"/>
      <c r="F181" s="1037" t="str">
        <f>IF('geg ZO'!E230=1,"categorie 1",IF('geg ZO'!E230=2,"categorie 2","categorie 3"))</f>
        <v>categorie 3</v>
      </c>
      <c r="G181" s="1076" t="s">
        <v>145</v>
      </c>
      <c r="H181" s="1037"/>
      <c r="I181" s="1461">
        <v>0</v>
      </c>
      <c r="J181" s="1461">
        <f>ROUND('geg ZO'!I230*VLOOKUP($F181,categoriePers,3,FALSE),0)</f>
        <v>0</v>
      </c>
      <c r="K181" s="1461">
        <f>ROUND('geg ZO'!J230*VLOOKUP($F181,categoriePers,3,FALSE),0)</f>
        <v>0</v>
      </c>
      <c r="L181" s="1461">
        <f>ROUND('geg ZO'!K230*VLOOKUP($F181,categoriePers,3,FALSE),0)</f>
        <v>0</v>
      </c>
      <c r="M181" s="1461">
        <f>ROUND('geg ZO'!L230*VLOOKUP($F181,categoriePers,3,FALSE),0)</f>
        <v>0</v>
      </c>
      <c r="N181" s="1461">
        <f>ROUND('geg ZO'!M230*VLOOKUP($F181,categoriePers,3,FALSE),0)</f>
        <v>0</v>
      </c>
      <c r="O181" s="1461">
        <f>ROUND('geg ZO'!N230*VLOOKUP($F181,categoriePers,3,FALSE),0)</f>
        <v>0</v>
      </c>
      <c r="P181" s="1461">
        <f>ROUND('geg ZO'!O230*VLOOKUP($F181,categoriePers,3,FALSE),0)</f>
        <v>0</v>
      </c>
      <c r="Q181" s="1037"/>
      <c r="R181" s="539"/>
    </row>
    <row r="182" spans="2:18" ht="13.15" customHeight="1" x14ac:dyDescent="0.2">
      <c r="B182" s="26"/>
      <c r="C182" s="1037"/>
      <c r="D182" s="1000"/>
      <c r="E182" s="1037"/>
      <c r="F182" s="1037" t="str">
        <f>IF('geg ZO'!E231=1,"categorie 1",IF('geg ZO'!E231=2,"categorie 2","categorie 3"))</f>
        <v>categorie 1</v>
      </c>
      <c r="G182" s="1076" t="s">
        <v>125</v>
      </c>
      <c r="H182" s="1037"/>
      <c r="I182" s="1461">
        <v>0</v>
      </c>
      <c r="J182" s="1461">
        <f>ROUND('geg ZO'!I231*VLOOKUP($F182,categoriePers8jreo,3,FALSE),0)</f>
        <v>0</v>
      </c>
      <c r="K182" s="1461">
        <f>ROUND('geg ZO'!J231*VLOOKUP($F182,categoriePers8jreo,3,FALSE),0)</f>
        <v>0</v>
      </c>
      <c r="L182" s="1461">
        <f>ROUND('geg ZO'!K231*VLOOKUP($F182,categoriePers8jreo,3,FALSE),0)</f>
        <v>0</v>
      </c>
      <c r="M182" s="1461">
        <f>ROUND('geg ZO'!L231*VLOOKUP($F182,categoriePers8jreo,3,FALSE),0)</f>
        <v>0</v>
      </c>
      <c r="N182" s="1461">
        <f>ROUND('geg ZO'!M231*VLOOKUP($F182,categoriePers8jreo,3,FALSE),0)</f>
        <v>0</v>
      </c>
      <c r="O182" s="1461">
        <f>ROUND('geg ZO'!N231*VLOOKUP($F182,categoriePers8jreo,3,FALSE),0)</f>
        <v>0</v>
      </c>
      <c r="P182" s="1461">
        <f>ROUND('geg ZO'!O231*VLOOKUP($F182,categoriePers8jreo,3,FALSE),0)</f>
        <v>0</v>
      </c>
      <c r="Q182" s="1037"/>
      <c r="R182" s="539"/>
    </row>
    <row r="183" spans="2:18" ht="13.15" customHeight="1" x14ac:dyDescent="0.2">
      <c r="B183" s="26"/>
      <c r="C183" s="1037"/>
      <c r="D183" s="1000"/>
      <c r="E183" s="1037"/>
      <c r="F183" s="1037" t="str">
        <f>IF('geg ZO'!E232=1,"categorie 1",IF('geg ZO'!E232=2,"categorie 2","categorie 3"))</f>
        <v>categorie 2</v>
      </c>
      <c r="G183" s="1076" t="s">
        <v>125</v>
      </c>
      <c r="H183" s="1037"/>
      <c r="I183" s="1461">
        <v>0</v>
      </c>
      <c r="J183" s="1461">
        <f>ROUND('geg ZO'!I232*VLOOKUP($F183,categoriePers8jreo,3,FALSE),0)</f>
        <v>0</v>
      </c>
      <c r="K183" s="1461">
        <f>ROUND('geg ZO'!J232*VLOOKUP($F183,categoriePers8jreo,3,FALSE),0)</f>
        <v>0</v>
      </c>
      <c r="L183" s="1461">
        <f>ROUND('geg ZO'!K232*VLOOKUP($F183,categoriePers8jreo,3,FALSE),0)</f>
        <v>0</v>
      </c>
      <c r="M183" s="1461">
        <f>ROUND('geg ZO'!L232*VLOOKUP($F183,categoriePers8jreo,3,FALSE),0)</f>
        <v>0</v>
      </c>
      <c r="N183" s="1461">
        <f>ROUND('geg ZO'!M232*VLOOKUP($F183,categoriePers8jreo,3,FALSE),0)</f>
        <v>0</v>
      </c>
      <c r="O183" s="1461">
        <f>ROUND('geg ZO'!N232*VLOOKUP($F183,categoriePers8jreo,3,FALSE),0)</f>
        <v>0</v>
      </c>
      <c r="P183" s="1461">
        <f>ROUND('geg ZO'!O232*VLOOKUP($F183,categoriePers8jreo,3,FALSE),0)</f>
        <v>0</v>
      </c>
      <c r="Q183" s="1037"/>
      <c r="R183" s="539"/>
    </row>
    <row r="184" spans="2:18" ht="13.15" customHeight="1" x14ac:dyDescent="0.2">
      <c r="B184" s="26"/>
      <c r="C184" s="1037"/>
      <c r="D184" s="1000"/>
      <c r="E184" s="1037"/>
      <c r="F184" s="1037" t="str">
        <f>IF('geg ZO'!E233=1,"categorie 1",IF('geg ZO'!E233=2,"categorie 2","categorie 3"))</f>
        <v>categorie 3</v>
      </c>
      <c r="G184" s="1076" t="s">
        <v>125</v>
      </c>
      <c r="H184" s="1037"/>
      <c r="I184" s="1461">
        <v>0</v>
      </c>
      <c r="J184" s="1461">
        <f>ROUND('geg ZO'!I233*VLOOKUP($F184,categoriePers8jreo,3,FALSE),0)</f>
        <v>0</v>
      </c>
      <c r="K184" s="1461">
        <f>ROUND('geg ZO'!J233*VLOOKUP($F184,categoriePers8jreo,3,FALSE),0)</f>
        <v>0</v>
      </c>
      <c r="L184" s="1461">
        <f>ROUND('geg ZO'!K233*VLOOKUP($F184,categoriePers8jreo,3,FALSE),0)</f>
        <v>0</v>
      </c>
      <c r="M184" s="1461">
        <f>ROUND('geg ZO'!L233*VLOOKUP($F184,categoriePers8jreo,3,FALSE),0)</f>
        <v>0</v>
      </c>
      <c r="N184" s="1461">
        <f>ROUND('geg ZO'!M233*VLOOKUP($F184,categoriePers8jreo,3,FALSE),0)</f>
        <v>0</v>
      </c>
      <c r="O184" s="1461">
        <f>ROUND('geg ZO'!N233*VLOOKUP($F184,categoriePers8jreo,3,FALSE),0)</f>
        <v>0</v>
      </c>
      <c r="P184" s="1461">
        <f>ROUND('geg ZO'!O233*VLOOKUP($F184,categoriePers8jreo,3,FALSE),0)</f>
        <v>0</v>
      </c>
      <c r="Q184" s="1037"/>
      <c r="R184" s="539"/>
    </row>
    <row r="185" spans="2:18" ht="13.15" customHeight="1" x14ac:dyDescent="0.2">
      <c r="B185" s="26"/>
      <c r="C185" s="1037"/>
      <c r="D185" s="1447" t="str">
        <f>+'geg ZO'!D236</f>
        <v>Naam SO 23</v>
      </c>
      <c r="E185" s="1037"/>
      <c r="F185" s="1037" t="str">
        <f>IF('geg ZO'!E236=1,"categorie 1",IF('geg ZO'!E236=2,"categorie 2","categorie 3"))</f>
        <v>categorie 1</v>
      </c>
      <c r="G185" s="1076" t="s">
        <v>145</v>
      </c>
      <c r="H185" s="1037"/>
      <c r="I185" s="1461">
        <v>0</v>
      </c>
      <c r="J185" s="1461">
        <f>ROUND('geg ZO'!I236*VLOOKUP($F185,categoriePers,3,FALSE),0)</f>
        <v>0</v>
      </c>
      <c r="K185" s="1461">
        <f>ROUND('geg ZO'!J236*VLOOKUP($F185,categoriePers,3,FALSE),0)</f>
        <v>0</v>
      </c>
      <c r="L185" s="1461">
        <f>ROUND('geg ZO'!K236*VLOOKUP($F185,categoriePers,3,FALSE),0)</f>
        <v>0</v>
      </c>
      <c r="M185" s="1461">
        <f>ROUND('geg ZO'!L236*VLOOKUP($F185,categoriePers,3,FALSE),0)</f>
        <v>0</v>
      </c>
      <c r="N185" s="1461">
        <f>ROUND('geg ZO'!M236*VLOOKUP($F185,categoriePers,3,FALSE),0)</f>
        <v>0</v>
      </c>
      <c r="O185" s="1461">
        <f>ROUND('geg ZO'!N236*VLOOKUP($F185,categoriePers,3,FALSE),0)</f>
        <v>0</v>
      </c>
      <c r="P185" s="1461">
        <f>ROUND('geg ZO'!O236*VLOOKUP($F185,categoriePers,3,FALSE),0)</f>
        <v>0</v>
      </c>
      <c r="Q185" s="1037"/>
      <c r="R185" s="539"/>
    </row>
    <row r="186" spans="2:18" ht="13.15" customHeight="1" x14ac:dyDescent="0.2">
      <c r="B186" s="26"/>
      <c r="C186" s="1037"/>
      <c r="D186" s="1000"/>
      <c r="E186" s="1037"/>
      <c r="F186" s="1037" t="str">
        <f>IF('geg ZO'!E237=1,"categorie 1",IF('geg ZO'!E237=2,"categorie 2","categorie 3"))</f>
        <v>categorie 2</v>
      </c>
      <c r="G186" s="1076" t="s">
        <v>145</v>
      </c>
      <c r="H186" s="1037"/>
      <c r="I186" s="1461">
        <v>0</v>
      </c>
      <c r="J186" s="1461">
        <f>ROUND('geg ZO'!I237*VLOOKUP($F186,categoriePers,3,FALSE),0)</f>
        <v>0</v>
      </c>
      <c r="K186" s="1461">
        <f>ROUND('geg ZO'!J237*VLOOKUP($F186,categoriePers,3,FALSE),0)</f>
        <v>0</v>
      </c>
      <c r="L186" s="1461">
        <f>ROUND('geg ZO'!K237*VLOOKUP($F186,categoriePers,3,FALSE),0)</f>
        <v>0</v>
      </c>
      <c r="M186" s="1461">
        <f>ROUND('geg ZO'!L237*VLOOKUP($F186,categoriePers,3,FALSE),0)</f>
        <v>0</v>
      </c>
      <c r="N186" s="1461">
        <f>ROUND('geg ZO'!M237*VLOOKUP($F186,categoriePers,3,FALSE),0)</f>
        <v>0</v>
      </c>
      <c r="O186" s="1461">
        <f>ROUND('geg ZO'!N237*VLOOKUP($F186,categoriePers,3,FALSE),0)</f>
        <v>0</v>
      </c>
      <c r="P186" s="1461">
        <f>ROUND('geg ZO'!O237*VLOOKUP($F186,categoriePers,3,FALSE),0)</f>
        <v>0</v>
      </c>
      <c r="Q186" s="1037"/>
      <c r="R186" s="539"/>
    </row>
    <row r="187" spans="2:18" ht="13.15" customHeight="1" x14ac:dyDescent="0.2">
      <c r="B187" s="26"/>
      <c r="C187" s="1037"/>
      <c r="D187" s="1000"/>
      <c r="E187" s="1037"/>
      <c r="F187" s="1037" t="str">
        <f>IF('geg ZO'!E238=1,"categorie 1",IF('geg ZO'!E238=2,"categorie 2","categorie 3"))</f>
        <v>categorie 3</v>
      </c>
      <c r="G187" s="1076" t="s">
        <v>145</v>
      </c>
      <c r="H187" s="1037"/>
      <c r="I187" s="1461">
        <v>0</v>
      </c>
      <c r="J187" s="1461">
        <f>ROUND('geg ZO'!I238*VLOOKUP($F187,categoriePers,3,FALSE),0)</f>
        <v>0</v>
      </c>
      <c r="K187" s="1461">
        <f>ROUND('geg ZO'!J238*VLOOKUP($F187,categoriePers,3,FALSE),0)</f>
        <v>0</v>
      </c>
      <c r="L187" s="1461">
        <f>ROUND('geg ZO'!K238*VLOOKUP($F187,categoriePers,3,FALSE),0)</f>
        <v>0</v>
      </c>
      <c r="M187" s="1461">
        <f>ROUND('geg ZO'!L238*VLOOKUP($F187,categoriePers,3,FALSE),0)</f>
        <v>0</v>
      </c>
      <c r="N187" s="1461">
        <f>ROUND('geg ZO'!M238*VLOOKUP($F187,categoriePers,3,FALSE),0)</f>
        <v>0</v>
      </c>
      <c r="O187" s="1461">
        <f>ROUND('geg ZO'!N238*VLOOKUP($F187,categoriePers,3,FALSE),0)</f>
        <v>0</v>
      </c>
      <c r="P187" s="1461">
        <f>ROUND('geg ZO'!O238*VLOOKUP($F187,categoriePers,3,FALSE),0)</f>
        <v>0</v>
      </c>
      <c r="Q187" s="1037"/>
      <c r="R187" s="539"/>
    </row>
    <row r="188" spans="2:18" ht="13.15" customHeight="1" x14ac:dyDescent="0.2">
      <c r="B188" s="26"/>
      <c r="C188" s="1037"/>
      <c r="D188" s="1000"/>
      <c r="E188" s="1037"/>
      <c r="F188" s="1037" t="str">
        <f>IF('geg ZO'!E239=1,"categorie 1",IF('geg ZO'!E239=2,"categorie 2","categorie 3"))</f>
        <v>categorie 1</v>
      </c>
      <c r="G188" s="1076" t="s">
        <v>125</v>
      </c>
      <c r="H188" s="1037"/>
      <c r="I188" s="1461">
        <v>0</v>
      </c>
      <c r="J188" s="1461">
        <f>ROUND('geg ZO'!I239*VLOOKUP($F188,categoriePers8jreo,3,FALSE),0)</f>
        <v>0</v>
      </c>
      <c r="K188" s="1461">
        <f>ROUND('geg ZO'!J239*VLOOKUP($F188,categoriePers8jreo,3,FALSE),0)</f>
        <v>0</v>
      </c>
      <c r="L188" s="1461">
        <f>ROUND('geg ZO'!K239*VLOOKUP($F188,categoriePers8jreo,3,FALSE),0)</f>
        <v>0</v>
      </c>
      <c r="M188" s="1461">
        <f>ROUND('geg ZO'!L239*VLOOKUP($F188,categoriePers8jreo,3,FALSE),0)</f>
        <v>0</v>
      </c>
      <c r="N188" s="1461">
        <f>ROUND('geg ZO'!M239*VLOOKUP($F188,categoriePers8jreo,3,FALSE),0)</f>
        <v>0</v>
      </c>
      <c r="O188" s="1461">
        <f>ROUND('geg ZO'!N239*VLOOKUP($F188,categoriePers8jreo,3,FALSE),0)</f>
        <v>0</v>
      </c>
      <c r="P188" s="1461">
        <f>ROUND('geg ZO'!O239*VLOOKUP($F188,categoriePers8jreo,3,FALSE),0)</f>
        <v>0</v>
      </c>
      <c r="Q188" s="1037"/>
      <c r="R188" s="539"/>
    </row>
    <row r="189" spans="2:18" ht="13.15" customHeight="1" x14ac:dyDescent="0.2">
      <c r="B189" s="26"/>
      <c r="C189" s="1037"/>
      <c r="D189" s="1000"/>
      <c r="E189" s="1037"/>
      <c r="F189" s="1037" t="str">
        <f>IF('geg ZO'!E240=1,"categorie 1",IF('geg ZO'!E240=2,"categorie 2","categorie 3"))</f>
        <v>categorie 2</v>
      </c>
      <c r="G189" s="1076" t="s">
        <v>125</v>
      </c>
      <c r="H189" s="1037"/>
      <c r="I189" s="1461">
        <v>0</v>
      </c>
      <c r="J189" s="1461">
        <f>ROUND('geg ZO'!I240*VLOOKUP($F189,categoriePers8jreo,3,FALSE),0)</f>
        <v>0</v>
      </c>
      <c r="K189" s="1461">
        <f>ROUND('geg ZO'!J240*VLOOKUP($F189,categoriePers8jreo,3,FALSE),0)</f>
        <v>0</v>
      </c>
      <c r="L189" s="1461">
        <f>ROUND('geg ZO'!K240*VLOOKUP($F189,categoriePers8jreo,3,FALSE),0)</f>
        <v>0</v>
      </c>
      <c r="M189" s="1461">
        <f>ROUND('geg ZO'!L240*VLOOKUP($F189,categoriePers8jreo,3,FALSE),0)</f>
        <v>0</v>
      </c>
      <c r="N189" s="1461">
        <f>ROUND('geg ZO'!M240*VLOOKUP($F189,categoriePers8jreo,3,FALSE),0)</f>
        <v>0</v>
      </c>
      <c r="O189" s="1461">
        <f>ROUND('geg ZO'!N240*VLOOKUP($F189,categoriePers8jreo,3,FALSE),0)</f>
        <v>0</v>
      </c>
      <c r="P189" s="1461">
        <f>ROUND('geg ZO'!O240*VLOOKUP($F189,categoriePers8jreo,3,FALSE),0)</f>
        <v>0</v>
      </c>
      <c r="Q189" s="1037"/>
      <c r="R189" s="539"/>
    </row>
    <row r="190" spans="2:18" ht="13.15" customHeight="1" x14ac:dyDescent="0.2">
      <c r="B190" s="26"/>
      <c r="C190" s="1037"/>
      <c r="D190" s="1000"/>
      <c r="E190" s="1037"/>
      <c r="F190" s="1037" t="str">
        <f>IF('geg ZO'!E241=1,"categorie 1",IF('geg ZO'!E241=2,"categorie 2","categorie 3"))</f>
        <v>categorie 3</v>
      </c>
      <c r="G190" s="1076" t="s">
        <v>125</v>
      </c>
      <c r="H190" s="1037"/>
      <c r="I190" s="1461">
        <v>0</v>
      </c>
      <c r="J190" s="1461">
        <f>ROUND('geg ZO'!I241*VLOOKUP($F190,categoriePers8jreo,3,FALSE),0)</f>
        <v>0</v>
      </c>
      <c r="K190" s="1461">
        <f>ROUND('geg ZO'!J241*VLOOKUP($F190,categoriePers8jreo,3,FALSE),0)</f>
        <v>0</v>
      </c>
      <c r="L190" s="1461">
        <f>ROUND('geg ZO'!K241*VLOOKUP($F190,categoriePers8jreo,3,FALSE),0)</f>
        <v>0</v>
      </c>
      <c r="M190" s="1461">
        <f>ROUND('geg ZO'!L241*VLOOKUP($F190,categoriePers8jreo,3,FALSE),0)</f>
        <v>0</v>
      </c>
      <c r="N190" s="1461">
        <f>ROUND('geg ZO'!M241*VLOOKUP($F190,categoriePers8jreo,3,FALSE),0)</f>
        <v>0</v>
      </c>
      <c r="O190" s="1461">
        <f>ROUND('geg ZO'!N241*VLOOKUP($F190,categoriePers8jreo,3,FALSE),0)</f>
        <v>0</v>
      </c>
      <c r="P190" s="1461">
        <f>ROUND('geg ZO'!O241*VLOOKUP($F190,categoriePers8jreo,3,FALSE),0)</f>
        <v>0</v>
      </c>
      <c r="Q190" s="1037"/>
      <c r="R190" s="539"/>
    </row>
    <row r="191" spans="2:18" ht="13.15" customHeight="1" x14ac:dyDescent="0.2">
      <c r="B191" s="26"/>
      <c r="C191" s="1037"/>
      <c r="D191" s="1447" t="str">
        <f>+'geg ZO'!D244</f>
        <v>Naam SO 24</v>
      </c>
      <c r="E191" s="1037"/>
      <c r="F191" s="1037" t="str">
        <f>IF('geg ZO'!E244=1,"categorie 1",IF('geg ZO'!E244=2,"categorie 2","categorie 3"))</f>
        <v>categorie 1</v>
      </c>
      <c r="G191" s="1076" t="s">
        <v>145</v>
      </c>
      <c r="H191" s="1037"/>
      <c r="I191" s="1461">
        <v>0</v>
      </c>
      <c r="J191" s="1461">
        <f>ROUND('geg ZO'!I244*VLOOKUP($F191,categoriePers,3,FALSE),0)</f>
        <v>0</v>
      </c>
      <c r="K191" s="1461">
        <f>ROUND('geg ZO'!J244*VLOOKUP($F191,categoriePers,3,FALSE),0)</f>
        <v>0</v>
      </c>
      <c r="L191" s="1461">
        <f>ROUND('geg ZO'!K244*VLOOKUP($F191,categoriePers,3,FALSE),0)</f>
        <v>0</v>
      </c>
      <c r="M191" s="1461">
        <f>ROUND('geg ZO'!L244*VLOOKUP($F191,categoriePers,3,FALSE),0)</f>
        <v>0</v>
      </c>
      <c r="N191" s="1461">
        <f>ROUND('geg ZO'!M244*VLOOKUP($F191,categoriePers,3,FALSE),0)</f>
        <v>0</v>
      </c>
      <c r="O191" s="1461">
        <f>ROUND('geg ZO'!N244*VLOOKUP($F191,categoriePers,3,FALSE),0)</f>
        <v>0</v>
      </c>
      <c r="P191" s="1461">
        <f>ROUND('geg ZO'!O244*VLOOKUP($F191,categoriePers,3,FALSE),0)</f>
        <v>0</v>
      </c>
      <c r="Q191" s="1037"/>
      <c r="R191" s="539"/>
    </row>
    <row r="192" spans="2:18" ht="13.15" customHeight="1" x14ac:dyDescent="0.2">
      <c r="B192" s="26"/>
      <c r="C192" s="1037"/>
      <c r="D192" s="1000"/>
      <c r="E192" s="1037"/>
      <c r="F192" s="1037" t="str">
        <f>IF('geg ZO'!E245=1,"categorie 1",IF('geg ZO'!E245=2,"categorie 2","categorie 3"))</f>
        <v>categorie 2</v>
      </c>
      <c r="G192" s="1076" t="s">
        <v>145</v>
      </c>
      <c r="H192" s="1037"/>
      <c r="I192" s="1461">
        <v>0</v>
      </c>
      <c r="J192" s="1461">
        <f>ROUND('geg ZO'!I245*VLOOKUP($F192,categoriePers,3,FALSE),0)</f>
        <v>0</v>
      </c>
      <c r="K192" s="1461">
        <f>ROUND('geg ZO'!J245*VLOOKUP($F192,categoriePers,3,FALSE),0)</f>
        <v>0</v>
      </c>
      <c r="L192" s="1461">
        <f>ROUND('geg ZO'!K245*VLOOKUP($F192,categoriePers,3,FALSE),0)</f>
        <v>0</v>
      </c>
      <c r="M192" s="1461">
        <f>ROUND('geg ZO'!L245*VLOOKUP($F192,categoriePers,3,FALSE),0)</f>
        <v>0</v>
      </c>
      <c r="N192" s="1461">
        <f>ROUND('geg ZO'!M245*VLOOKUP($F192,categoriePers,3,FALSE),0)</f>
        <v>0</v>
      </c>
      <c r="O192" s="1461">
        <f>ROUND('geg ZO'!N245*VLOOKUP($F192,categoriePers,3,FALSE),0)</f>
        <v>0</v>
      </c>
      <c r="P192" s="1461">
        <f>ROUND('geg ZO'!O245*VLOOKUP($F192,categoriePers,3,FALSE),0)</f>
        <v>0</v>
      </c>
      <c r="Q192" s="1037"/>
      <c r="R192" s="539"/>
    </row>
    <row r="193" spans="2:18" ht="13.15" customHeight="1" x14ac:dyDescent="0.2">
      <c r="B193" s="26"/>
      <c r="C193" s="1037"/>
      <c r="D193" s="1000"/>
      <c r="E193" s="1037"/>
      <c r="F193" s="1037" t="str">
        <f>IF('geg ZO'!E246=1,"categorie 1",IF('geg ZO'!E246=2,"categorie 2","categorie 3"))</f>
        <v>categorie 3</v>
      </c>
      <c r="G193" s="1076" t="s">
        <v>145</v>
      </c>
      <c r="H193" s="1037"/>
      <c r="I193" s="1461">
        <v>0</v>
      </c>
      <c r="J193" s="1461">
        <f>ROUND('geg ZO'!I246*VLOOKUP($F193,categoriePers,3,FALSE),0)</f>
        <v>0</v>
      </c>
      <c r="K193" s="1461">
        <f>ROUND('geg ZO'!J246*VLOOKUP($F193,categoriePers,3,FALSE),0)</f>
        <v>0</v>
      </c>
      <c r="L193" s="1461">
        <f>ROUND('geg ZO'!K246*VLOOKUP($F193,categoriePers,3,FALSE),0)</f>
        <v>0</v>
      </c>
      <c r="M193" s="1461">
        <f>ROUND('geg ZO'!L246*VLOOKUP($F193,categoriePers,3,FALSE),0)</f>
        <v>0</v>
      </c>
      <c r="N193" s="1461">
        <f>ROUND('geg ZO'!M246*VLOOKUP($F193,categoriePers,3,FALSE),0)</f>
        <v>0</v>
      </c>
      <c r="O193" s="1461">
        <f>ROUND('geg ZO'!N246*VLOOKUP($F193,categoriePers,3,FALSE),0)</f>
        <v>0</v>
      </c>
      <c r="P193" s="1461">
        <f>ROUND('geg ZO'!O246*VLOOKUP($F193,categoriePers,3,FALSE),0)</f>
        <v>0</v>
      </c>
      <c r="Q193" s="1037"/>
      <c r="R193" s="539"/>
    </row>
    <row r="194" spans="2:18" ht="13.15" customHeight="1" x14ac:dyDescent="0.2">
      <c r="B194" s="26"/>
      <c r="C194" s="1037"/>
      <c r="D194" s="1000"/>
      <c r="E194" s="1037"/>
      <c r="F194" s="1037" t="str">
        <f>IF('geg ZO'!E247=1,"categorie 1",IF('geg ZO'!E247=2,"categorie 2","categorie 3"))</f>
        <v>categorie 1</v>
      </c>
      <c r="G194" s="1076" t="s">
        <v>125</v>
      </c>
      <c r="H194" s="1037"/>
      <c r="I194" s="1461">
        <v>0</v>
      </c>
      <c r="J194" s="1461">
        <f>ROUND('geg ZO'!I247*VLOOKUP($F194,categoriePers8jreo,3,FALSE),0)</f>
        <v>0</v>
      </c>
      <c r="K194" s="1461">
        <f>ROUND('geg ZO'!J247*VLOOKUP($F194,categoriePers8jreo,3,FALSE),0)</f>
        <v>0</v>
      </c>
      <c r="L194" s="1461">
        <f>ROUND('geg ZO'!K247*VLOOKUP($F194,categoriePers8jreo,3,FALSE),0)</f>
        <v>0</v>
      </c>
      <c r="M194" s="1461">
        <f>ROUND('geg ZO'!L247*VLOOKUP($F194,categoriePers8jreo,3,FALSE),0)</f>
        <v>0</v>
      </c>
      <c r="N194" s="1461">
        <f>ROUND('geg ZO'!M247*VLOOKUP($F194,categoriePers8jreo,3,FALSE),0)</f>
        <v>0</v>
      </c>
      <c r="O194" s="1461">
        <f>ROUND('geg ZO'!N247*VLOOKUP($F194,categoriePers8jreo,3,FALSE),0)</f>
        <v>0</v>
      </c>
      <c r="P194" s="1461">
        <f>ROUND('geg ZO'!O247*VLOOKUP($F194,categoriePers8jreo,3,FALSE),0)</f>
        <v>0</v>
      </c>
      <c r="Q194" s="1037"/>
      <c r="R194" s="539"/>
    </row>
    <row r="195" spans="2:18" ht="13.15" customHeight="1" x14ac:dyDescent="0.2">
      <c r="B195" s="26"/>
      <c r="C195" s="1037"/>
      <c r="D195" s="1000"/>
      <c r="E195" s="1037"/>
      <c r="F195" s="1037" t="str">
        <f>IF('geg ZO'!E248=1,"categorie 1",IF('geg ZO'!E248=2,"categorie 2","categorie 3"))</f>
        <v>categorie 2</v>
      </c>
      <c r="G195" s="1076" t="s">
        <v>125</v>
      </c>
      <c r="H195" s="1037"/>
      <c r="I195" s="1461">
        <v>0</v>
      </c>
      <c r="J195" s="1461">
        <f>ROUND('geg ZO'!I248*VLOOKUP($F195,categoriePers8jreo,3,FALSE),0)</f>
        <v>0</v>
      </c>
      <c r="K195" s="1461">
        <f>ROUND('geg ZO'!J248*VLOOKUP($F195,categoriePers8jreo,3,FALSE),0)</f>
        <v>0</v>
      </c>
      <c r="L195" s="1461">
        <f>ROUND('geg ZO'!K248*VLOOKUP($F195,categoriePers8jreo,3,FALSE),0)</f>
        <v>0</v>
      </c>
      <c r="M195" s="1461">
        <f>ROUND('geg ZO'!L248*VLOOKUP($F195,categoriePers8jreo,3,FALSE),0)</f>
        <v>0</v>
      </c>
      <c r="N195" s="1461">
        <f>ROUND('geg ZO'!M248*VLOOKUP($F195,categoriePers8jreo,3,FALSE),0)</f>
        <v>0</v>
      </c>
      <c r="O195" s="1461">
        <f>ROUND('geg ZO'!N248*VLOOKUP($F195,categoriePers8jreo,3,FALSE),0)</f>
        <v>0</v>
      </c>
      <c r="P195" s="1461">
        <f>ROUND('geg ZO'!O248*VLOOKUP($F195,categoriePers8jreo,3,FALSE),0)</f>
        <v>0</v>
      </c>
      <c r="Q195" s="1037"/>
      <c r="R195" s="539"/>
    </row>
    <row r="196" spans="2:18" ht="13.15" customHeight="1" x14ac:dyDescent="0.2">
      <c r="B196" s="26"/>
      <c r="C196" s="1037"/>
      <c r="D196" s="1000"/>
      <c r="E196" s="1037"/>
      <c r="F196" s="1037" t="str">
        <f>IF('geg ZO'!E249=1,"categorie 1",IF('geg ZO'!E249=2,"categorie 2","categorie 3"))</f>
        <v>categorie 3</v>
      </c>
      <c r="G196" s="1076" t="s">
        <v>125</v>
      </c>
      <c r="H196" s="1037"/>
      <c r="I196" s="1461">
        <v>0</v>
      </c>
      <c r="J196" s="1461">
        <f>ROUND('geg ZO'!I249*VLOOKUP($F196,categoriePers8jreo,3,FALSE),0)</f>
        <v>0</v>
      </c>
      <c r="K196" s="1461">
        <f>ROUND('geg ZO'!J249*VLOOKUP($F196,categoriePers8jreo,3,FALSE),0)</f>
        <v>0</v>
      </c>
      <c r="L196" s="1461">
        <f>ROUND('geg ZO'!K249*VLOOKUP($F196,categoriePers8jreo,3,FALSE),0)</f>
        <v>0</v>
      </c>
      <c r="M196" s="1461">
        <f>ROUND('geg ZO'!L249*VLOOKUP($F196,categoriePers8jreo,3,FALSE),0)</f>
        <v>0</v>
      </c>
      <c r="N196" s="1461">
        <f>ROUND('geg ZO'!M249*VLOOKUP($F196,categoriePers8jreo,3,FALSE),0)</f>
        <v>0</v>
      </c>
      <c r="O196" s="1461">
        <f>ROUND('geg ZO'!N249*VLOOKUP($F196,categoriePers8jreo,3,FALSE),0)</f>
        <v>0</v>
      </c>
      <c r="P196" s="1461">
        <f>ROUND('geg ZO'!O249*VLOOKUP($F196,categoriePers8jreo,3,FALSE),0)</f>
        <v>0</v>
      </c>
      <c r="Q196" s="1037"/>
      <c r="R196" s="539"/>
    </row>
    <row r="197" spans="2:18" ht="13.15" customHeight="1" x14ac:dyDescent="0.2">
      <c r="B197" s="26"/>
      <c r="C197" s="1037"/>
      <c r="D197" s="1447" t="str">
        <f>+'geg ZO'!D252</f>
        <v>Naam SO 25</v>
      </c>
      <c r="E197" s="1037"/>
      <c r="F197" s="1037" t="str">
        <f>IF('geg ZO'!E252=1,"categorie 1",IF('geg ZO'!E252=2,"categorie 2","categorie 3"))</f>
        <v>categorie 1</v>
      </c>
      <c r="G197" s="1076" t="s">
        <v>145</v>
      </c>
      <c r="H197" s="1037"/>
      <c r="I197" s="1461">
        <v>0</v>
      </c>
      <c r="J197" s="1461">
        <f>ROUND('geg ZO'!I252*VLOOKUP($F197,categoriePers,3,FALSE),0)</f>
        <v>0</v>
      </c>
      <c r="K197" s="1461">
        <f>ROUND('geg ZO'!J252*VLOOKUP($F197,categoriePers,3,FALSE),0)</f>
        <v>0</v>
      </c>
      <c r="L197" s="1461">
        <f>ROUND('geg ZO'!K252*VLOOKUP($F197,categoriePers,3,FALSE),0)</f>
        <v>0</v>
      </c>
      <c r="M197" s="1461">
        <f>ROUND('geg ZO'!L252*VLOOKUP($F197,categoriePers,3,FALSE),0)</f>
        <v>0</v>
      </c>
      <c r="N197" s="1461">
        <f>ROUND('geg ZO'!M252*VLOOKUP($F197,categoriePers,3,FALSE),0)</f>
        <v>0</v>
      </c>
      <c r="O197" s="1461">
        <f>ROUND('geg ZO'!N252*VLOOKUP($F197,categoriePers,3,FALSE),0)</f>
        <v>0</v>
      </c>
      <c r="P197" s="1461">
        <f>ROUND('geg ZO'!O252*VLOOKUP($F197,categoriePers,3,FALSE),0)</f>
        <v>0</v>
      </c>
      <c r="Q197" s="1037"/>
      <c r="R197" s="539"/>
    </row>
    <row r="198" spans="2:18" ht="13.15" customHeight="1" x14ac:dyDescent="0.2">
      <c r="B198" s="26"/>
      <c r="C198" s="1037"/>
      <c r="D198" s="1000"/>
      <c r="E198" s="1037"/>
      <c r="F198" s="1037" t="str">
        <f>IF('geg ZO'!E253=1,"categorie 1",IF('geg ZO'!E253=2,"categorie 2","categorie 3"))</f>
        <v>categorie 2</v>
      </c>
      <c r="G198" s="1076" t="s">
        <v>145</v>
      </c>
      <c r="H198" s="1037"/>
      <c r="I198" s="1461">
        <v>0</v>
      </c>
      <c r="J198" s="1461">
        <f>ROUND('geg ZO'!I253*VLOOKUP($F198,categoriePers,3,FALSE),0)</f>
        <v>0</v>
      </c>
      <c r="K198" s="1461">
        <f>ROUND('geg ZO'!J253*VLOOKUP($F198,categoriePers,3,FALSE),0)</f>
        <v>0</v>
      </c>
      <c r="L198" s="1461">
        <f>ROUND('geg ZO'!K253*VLOOKUP($F198,categoriePers,3,FALSE),0)</f>
        <v>0</v>
      </c>
      <c r="M198" s="1461">
        <f>ROUND('geg ZO'!L253*VLOOKUP($F198,categoriePers,3,FALSE),0)</f>
        <v>0</v>
      </c>
      <c r="N198" s="1461">
        <f>ROUND('geg ZO'!M253*VLOOKUP($F198,categoriePers,3,FALSE),0)</f>
        <v>0</v>
      </c>
      <c r="O198" s="1461">
        <f>ROUND('geg ZO'!N253*VLOOKUP($F198,categoriePers,3,FALSE),0)</f>
        <v>0</v>
      </c>
      <c r="P198" s="1461">
        <f>ROUND('geg ZO'!O253*VLOOKUP($F198,categoriePers,3,FALSE),0)</f>
        <v>0</v>
      </c>
      <c r="Q198" s="1037"/>
      <c r="R198" s="539"/>
    </row>
    <row r="199" spans="2:18" ht="13.15" customHeight="1" x14ac:dyDescent="0.2">
      <c r="B199" s="26"/>
      <c r="C199" s="1037"/>
      <c r="D199" s="1000"/>
      <c r="E199" s="1037"/>
      <c r="F199" s="1037" t="str">
        <f>IF('geg ZO'!E254=1,"categorie 1",IF('geg ZO'!E254=2,"categorie 2","categorie 3"))</f>
        <v>categorie 3</v>
      </c>
      <c r="G199" s="1076" t="s">
        <v>145</v>
      </c>
      <c r="H199" s="1037"/>
      <c r="I199" s="1461">
        <v>0</v>
      </c>
      <c r="J199" s="1461">
        <f>ROUND('geg ZO'!I254*VLOOKUP($F199,categoriePers,3,FALSE),0)</f>
        <v>0</v>
      </c>
      <c r="K199" s="1461">
        <f>ROUND('geg ZO'!J254*VLOOKUP($F199,categoriePers,3,FALSE),0)</f>
        <v>0</v>
      </c>
      <c r="L199" s="1461">
        <f>ROUND('geg ZO'!K254*VLOOKUP($F199,categoriePers,3,FALSE),0)</f>
        <v>0</v>
      </c>
      <c r="M199" s="1461">
        <f>ROUND('geg ZO'!L254*VLOOKUP($F199,categoriePers,3,FALSE),0)</f>
        <v>0</v>
      </c>
      <c r="N199" s="1461">
        <f>ROUND('geg ZO'!M254*VLOOKUP($F199,categoriePers,3,FALSE),0)</f>
        <v>0</v>
      </c>
      <c r="O199" s="1461">
        <f>ROUND('geg ZO'!N254*VLOOKUP($F199,categoriePers,3,FALSE),0)</f>
        <v>0</v>
      </c>
      <c r="P199" s="1461">
        <f>ROUND('geg ZO'!O254*VLOOKUP($F199,categoriePers,3,FALSE),0)</f>
        <v>0</v>
      </c>
      <c r="Q199" s="1037"/>
      <c r="R199" s="539"/>
    </row>
    <row r="200" spans="2:18" ht="13.15" customHeight="1" x14ac:dyDescent="0.2">
      <c r="B200" s="26"/>
      <c r="C200" s="1037"/>
      <c r="D200" s="1000"/>
      <c r="E200" s="1037"/>
      <c r="F200" s="1037" t="str">
        <f>IF('geg ZO'!E255=1,"categorie 1",IF('geg ZO'!E255=2,"categorie 2","categorie 3"))</f>
        <v>categorie 1</v>
      </c>
      <c r="G200" s="1076" t="s">
        <v>125</v>
      </c>
      <c r="H200" s="1037"/>
      <c r="I200" s="1461">
        <v>0</v>
      </c>
      <c r="J200" s="1461">
        <f>ROUND('geg ZO'!I255*VLOOKUP($F200,categoriePers8jreo,3,FALSE),0)</f>
        <v>0</v>
      </c>
      <c r="K200" s="1461">
        <f>ROUND('geg ZO'!J255*VLOOKUP($F200,categoriePers8jreo,3,FALSE),0)</f>
        <v>0</v>
      </c>
      <c r="L200" s="1461">
        <f>ROUND('geg ZO'!K255*VLOOKUP($F200,categoriePers8jreo,3,FALSE),0)</f>
        <v>0</v>
      </c>
      <c r="M200" s="1461">
        <f>ROUND('geg ZO'!L255*VLOOKUP($F200,categoriePers8jreo,3,FALSE),0)</f>
        <v>0</v>
      </c>
      <c r="N200" s="1461">
        <f>ROUND('geg ZO'!M255*VLOOKUP($F200,categoriePers8jreo,3,FALSE),0)</f>
        <v>0</v>
      </c>
      <c r="O200" s="1461">
        <f>ROUND('geg ZO'!N255*VLOOKUP($F200,categoriePers8jreo,3,FALSE),0)</f>
        <v>0</v>
      </c>
      <c r="P200" s="1461">
        <f>ROUND('geg ZO'!O255*VLOOKUP($F200,categoriePers8jreo,3,FALSE),0)</f>
        <v>0</v>
      </c>
      <c r="Q200" s="1037"/>
      <c r="R200" s="539"/>
    </row>
    <row r="201" spans="2:18" ht="13.15" customHeight="1" x14ac:dyDescent="0.2">
      <c r="B201" s="26"/>
      <c r="C201" s="1037"/>
      <c r="D201" s="1000"/>
      <c r="E201" s="1037"/>
      <c r="F201" s="1037" t="str">
        <f>IF('geg ZO'!E256=1,"categorie 1",IF('geg ZO'!E256=2,"categorie 2","categorie 3"))</f>
        <v>categorie 2</v>
      </c>
      <c r="G201" s="1076" t="s">
        <v>125</v>
      </c>
      <c r="H201" s="1037"/>
      <c r="I201" s="1461">
        <v>0</v>
      </c>
      <c r="J201" s="1461">
        <f>ROUND('geg ZO'!I256*VLOOKUP($F201,categoriePers8jreo,3,FALSE),0)</f>
        <v>0</v>
      </c>
      <c r="K201" s="1461">
        <f>ROUND('geg ZO'!J256*VLOOKUP($F201,categoriePers8jreo,3,FALSE),0)</f>
        <v>0</v>
      </c>
      <c r="L201" s="1461">
        <f>ROUND('geg ZO'!K256*VLOOKUP($F201,categoriePers8jreo,3,FALSE),0)</f>
        <v>0</v>
      </c>
      <c r="M201" s="1461">
        <f>ROUND('geg ZO'!L256*VLOOKUP($F201,categoriePers8jreo,3,FALSE),0)</f>
        <v>0</v>
      </c>
      <c r="N201" s="1461">
        <f>ROUND('geg ZO'!M256*VLOOKUP($F201,categoriePers8jreo,3,FALSE),0)</f>
        <v>0</v>
      </c>
      <c r="O201" s="1461">
        <f>ROUND('geg ZO'!N256*VLOOKUP($F201,categoriePers8jreo,3,FALSE),0)</f>
        <v>0</v>
      </c>
      <c r="P201" s="1461">
        <f>ROUND('geg ZO'!O256*VLOOKUP($F201,categoriePers8jreo,3,FALSE),0)</f>
        <v>0</v>
      </c>
      <c r="Q201" s="1037"/>
      <c r="R201" s="539"/>
    </row>
    <row r="202" spans="2:18" ht="13.15" customHeight="1" x14ac:dyDescent="0.2">
      <c r="B202" s="26"/>
      <c r="C202" s="1037"/>
      <c r="D202" s="1000"/>
      <c r="E202" s="1037"/>
      <c r="F202" s="1037" t="str">
        <f>IF('geg ZO'!E257=1,"categorie 1",IF('geg ZO'!E257=2,"categorie 2","categorie 3"))</f>
        <v>categorie 3</v>
      </c>
      <c r="G202" s="1076" t="s">
        <v>125</v>
      </c>
      <c r="H202" s="1037"/>
      <c r="I202" s="1461">
        <v>0</v>
      </c>
      <c r="J202" s="1461">
        <f>ROUND('geg ZO'!I257*VLOOKUP($F202,categoriePers8jreo,3,FALSE),0)</f>
        <v>0</v>
      </c>
      <c r="K202" s="1461">
        <f>ROUND('geg ZO'!J257*VLOOKUP($F202,categoriePers8jreo,3,FALSE),0)</f>
        <v>0</v>
      </c>
      <c r="L202" s="1461">
        <f>ROUND('geg ZO'!K257*VLOOKUP($F202,categoriePers8jreo,3,FALSE),0)</f>
        <v>0</v>
      </c>
      <c r="M202" s="1461">
        <f>ROUND('geg ZO'!L257*VLOOKUP($F202,categoriePers8jreo,3,FALSE),0)</f>
        <v>0</v>
      </c>
      <c r="N202" s="1461">
        <f>ROUND('geg ZO'!M257*VLOOKUP($F202,categoriePers8jreo,3,FALSE),0)</f>
        <v>0</v>
      </c>
      <c r="O202" s="1461">
        <f>ROUND('geg ZO'!N257*VLOOKUP($F202,categoriePers8jreo,3,FALSE),0)</f>
        <v>0</v>
      </c>
      <c r="P202" s="1461">
        <f>ROUND('geg ZO'!O257*VLOOKUP($F202,categoriePers8jreo,3,FALSE),0)</f>
        <v>0</v>
      </c>
      <c r="Q202" s="1037"/>
      <c r="R202" s="539"/>
    </row>
    <row r="203" spans="2:18" ht="13.15" customHeight="1" x14ac:dyDescent="0.2">
      <c r="B203" s="26"/>
      <c r="C203" s="1037"/>
      <c r="D203" s="1447" t="str">
        <f>+'geg ZO'!D260</f>
        <v>Naam SO 26</v>
      </c>
      <c r="E203" s="1037"/>
      <c r="F203" s="1037" t="str">
        <f>IF('geg ZO'!E260=1,"categorie 1",IF('geg ZO'!E260=2,"categorie 2","categorie 3"))</f>
        <v>categorie 1</v>
      </c>
      <c r="G203" s="1076" t="s">
        <v>145</v>
      </c>
      <c r="H203" s="1037"/>
      <c r="I203" s="1461">
        <v>0</v>
      </c>
      <c r="J203" s="1461">
        <f>ROUND('geg ZO'!I260*VLOOKUP($F203,categoriePers,3,FALSE),0)</f>
        <v>0</v>
      </c>
      <c r="K203" s="1461">
        <f>ROUND('geg ZO'!J260*VLOOKUP($F203,categoriePers,3,FALSE),0)</f>
        <v>0</v>
      </c>
      <c r="L203" s="1461">
        <f>ROUND('geg ZO'!K260*VLOOKUP($F203,categoriePers,3,FALSE),0)</f>
        <v>0</v>
      </c>
      <c r="M203" s="1461">
        <f>ROUND('geg ZO'!L260*VLOOKUP($F203,categoriePers,3,FALSE),0)</f>
        <v>0</v>
      </c>
      <c r="N203" s="1461">
        <f>ROUND('geg ZO'!M260*VLOOKUP($F203,categoriePers,3,FALSE),0)</f>
        <v>0</v>
      </c>
      <c r="O203" s="1461">
        <f>ROUND('geg ZO'!N260*VLOOKUP($F203,categoriePers,3,FALSE),0)</f>
        <v>0</v>
      </c>
      <c r="P203" s="1461">
        <f>ROUND('geg ZO'!O260*VLOOKUP($F203,categoriePers,3,FALSE),0)</f>
        <v>0</v>
      </c>
      <c r="Q203" s="1037"/>
      <c r="R203" s="539"/>
    </row>
    <row r="204" spans="2:18" ht="13.15" customHeight="1" x14ac:dyDescent="0.2">
      <c r="B204" s="26"/>
      <c r="C204" s="1037"/>
      <c r="D204" s="1000"/>
      <c r="E204" s="1037"/>
      <c r="F204" s="1037" t="str">
        <f>IF('geg ZO'!E261=1,"categorie 1",IF('geg ZO'!E261=2,"categorie 2","categorie 3"))</f>
        <v>categorie 2</v>
      </c>
      <c r="G204" s="1076" t="s">
        <v>145</v>
      </c>
      <c r="H204" s="1037"/>
      <c r="I204" s="1461">
        <v>0</v>
      </c>
      <c r="J204" s="1461">
        <f>ROUND('geg ZO'!I261*VLOOKUP($F204,categoriePers,3,FALSE),0)</f>
        <v>0</v>
      </c>
      <c r="K204" s="1461">
        <f>ROUND('geg ZO'!J261*VLOOKUP($F204,categoriePers,3,FALSE),0)</f>
        <v>0</v>
      </c>
      <c r="L204" s="1461">
        <f>ROUND('geg ZO'!K261*VLOOKUP($F204,categoriePers,3,FALSE),0)</f>
        <v>0</v>
      </c>
      <c r="M204" s="1461">
        <f>ROUND('geg ZO'!L261*VLOOKUP($F204,categoriePers,3,FALSE),0)</f>
        <v>0</v>
      </c>
      <c r="N204" s="1461">
        <f>ROUND('geg ZO'!M261*VLOOKUP($F204,categoriePers,3,FALSE),0)</f>
        <v>0</v>
      </c>
      <c r="O204" s="1461">
        <f>ROUND('geg ZO'!N261*VLOOKUP($F204,categoriePers,3,FALSE),0)</f>
        <v>0</v>
      </c>
      <c r="P204" s="1461">
        <f>ROUND('geg ZO'!O261*VLOOKUP($F204,categoriePers,3,FALSE),0)</f>
        <v>0</v>
      </c>
      <c r="Q204" s="1037"/>
      <c r="R204" s="539"/>
    </row>
    <row r="205" spans="2:18" ht="13.15" customHeight="1" x14ac:dyDescent="0.2">
      <c r="B205" s="26"/>
      <c r="C205" s="1037"/>
      <c r="D205" s="1000"/>
      <c r="E205" s="1037"/>
      <c r="F205" s="1037" t="str">
        <f>IF('geg ZO'!E262=1,"categorie 1",IF('geg ZO'!E262=2,"categorie 2","categorie 3"))</f>
        <v>categorie 3</v>
      </c>
      <c r="G205" s="1076" t="s">
        <v>145</v>
      </c>
      <c r="H205" s="1037"/>
      <c r="I205" s="1461">
        <v>0</v>
      </c>
      <c r="J205" s="1461">
        <f>ROUND('geg ZO'!I262*VLOOKUP($F205,categoriePers,3,FALSE),0)</f>
        <v>0</v>
      </c>
      <c r="K205" s="1461">
        <f>ROUND('geg ZO'!J262*VLOOKUP($F205,categoriePers,3,FALSE),0)</f>
        <v>0</v>
      </c>
      <c r="L205" s="1461">
        <f>ROUND('geg ZO'!K262*VLOOKUP($F205,categoriePers,3,FALSE),0)</f>
        <v>0</v>
      </c>
      <c r="M205" s="1461">
        <f>ROUND('geg ZO'!L262*VLOOKUP($F205,categoriePers,3,FALSE),0)</f>
        <v>0</v>
      </c>
      <c r="N205" s="1461">
        <f>ROUND('geg ZO'!M262*VLOOKUP($F205,categoriePers,3,FALSE),0)</f>
        <v>0</v>
      </c>
      <c r="O205" s="1461">
        <f>ROUND('geg ZO'!N262*VLOOKUP($F205,categoriePers,3,FALSE),0)</f>
        <v>0</v>
      </c>
      <c r="P205" s="1461">
        <f>ROUND('geg ZO'!O262*VLOOKUP($F205,categoriePers,3,FALSE),0)</f>
        <v>0</v>
      </c>
      <c r="Q205" s="1037"/>
      <c r="R205" s="539"/>
    </row>
    <row r="206" spans="2:18" ht="13.15" customHeight="1" x14ac:dyDescent="0.2">
      <c r="B206" s="26"/>
      <c r="C206" s="1037"/>
      <c r="D206" s="1000"/>
      <c r="E206" s="1037"/>
      <c r="F206" s="1037" t="str">
        <f>IF('geg ZO'!E263=1,"categorie 1",IF('geg ZO'!E263=2,"categorie 2","categorie 3"))</f>
        <v>categorie 1</v>
      </c>
      <c r="G206" s="1076" t="s">
        <v>125</v>
      </c>
      <c r="H206" s="1037"/>
      <c r="I206" s="1461">
        <v>0</v>
      </c>
      <c r="J206" s="1461">
        <f>ROUND('geg ZO'!I263*VLOOKUP($F206,categoriePers8jreo,3,FALSE),0)</f>
        <v>0</v>
      </c>
      <c r="K206" s="1461">
        <f>ROUND('geg ZO'!J263*VLOOKUP($F206,categoriePers8jreo,3,FALSE),0)</f>
        <v>0</v>
      </c>
      <c r="L206" s="1461">
        <f>ROUND('geg ZO'!K263*VLOOKUP($F206,categoriePers8jreo,3,FALSE),0)</f>
        <v>0</v>
      </c>
      <c r="M206" s="1461">
        <f>ROUND('geg ZO'!L263*VLOOKUP($F206,categoriePers8jreo,3,FALSE),0)</f>
        <v>0</v>
      </c>
      <c r="N206" s="1461">
        <f>ROUND('geg ZO'!M263*VLOOKUP($F206,categoriePers8jreo,3,FALSE),0)</f>
        <v>0</v>
      </c>
      <c r="O206" s="1461">
        <f>ROUND('geg ZO'!N263*VLOOKUP($F206,categoriePers8jreo,3,FALSE),0)</f>
        <v>0</v>
      </c>
      <c r="P206" s="1461">
        <f>ROUND('geg ZO'!O263*VLOOKUP($F206,categoriePers8jreo,3,FALSE),0)</f>
        <v>0</v>
      </c>
      <c r="Q206" s="1037"/>
      <c r="R206" s="539"/>
    </row>
    <row r="207" spans="2:18" ht="13.15" customHeight="1" x14ac:dyDescent="0.2">
      <c r="B207" s="26"/>
      <c r="C207" s="1037"/>
      <c r="D207" s="1000"/>
      <c r="E207" s="1037"/>
      <c r="F207" s="1037" t="str">
        <f>IF('geg ZO'!E264=1,"categorie 1",IF('geg ZO'!E264=2,"categorie 2","categorie 3"))</f>
        <v>categorie 2</v>
      </c>
      <c r="G207" s="1076" t="s">
        <v>125</v>
      </c>
      <c r="H207" s="1037"/>
      <c r="I207" s="1461">
        <v>0</v>
      </c>
      <c r="J207" s="1461">
        <f>ROUND('geg ZO'!I264*VLOOKUP($F207,categoriePers8jreo,3,FALSE),0)</f>
        <v>0</v>
      </c>
      <c r="K207" s="1461">
        <f>ROUND('geg ZO'!J264*VLOOKUP($F207,categoriePers8jreo,3,FALSE),0)</f>
        <v>0</v>
      </c>
      <c r="L207" s="1461">
        <f>ROUND('geg ZO'!K264*VLOOKUP($F207,categoriePers8jreo,3,FALSE),0)</f>
        <v>0</v>
      </c>
      <c r="M207" s="1461">
        <f>ROUND('geg ZO'!L264*VLOOKUP($F207,categoriePers8jreo,3,FALSE),0)</f>
        <v>0</v>
      </c>
      <c r="N207" s="1461">
        <f>ROUND('geg ZO'!M264*VLOOKUP($F207,categoriePers8jreo,3,FALSE),0)</f>
        <v>0</v>
      </c>
      <c r="O207" s="1461">
        <f>ROUND('geg ZO'!N264*VLOOKUP($F207,categoriePers8jreo,3,FALSE),0)</f>
        <v>0</v>
      </c>
      <c r="P207" s="1461">
        <f>ROUND('geg ZO'!O264*VLOOKUP($F207,categoriePers8jreo,3,FALSE),0)</f>
        <v>0</v>
      </c>
      <c r="Q207" s="1037"/>
      <c r="R207" s="539"/>
    </row>
    <row r="208" spans="2:18" ht="13.15" customHeight="1" x14ac:dyDescent="0.2">
      <c r="B208" s="26"/>
      <c r="C208" s="1037"/>
      <c r="D208" s="1000"/>
      <c r="E208" s="1037"/>
      <c r="F208" s="1037" t="str">
        <f>IF('geg ZO'!E265=1,"categorie 1",IF('geg ZO'!E265=2,"categorie 2","categorie 3"))</f>
        <v>categorie 3</v>
      </c>
      <c r="G208" s="1076" t="s">
        <v>125</v>
      </c>
      <c r="H208" s="1037"/>
      <c r="I208" s="1461">
        <v>0</v>
      </c>
      <c r="J208" s="1461">
        <f>ROUND('geg ZO'!I265*VLOOKUP($F208,categoriePers8jreo,3,FALSE),0)</f>
        <v>0</v>
      </c>
      <c r="K208" s="1461">
        <f>ROUND('geg ZO'!J265*VLOOKUP($F208,categoriePers8jreo,3,FALSE),0)</f>
        <v>0</v>
      </c>
      <c r="L208" s="1461">
        <f>ROUND('geg ZO'!K265*VLOOKUP($F208,categoriePers8jreo,3,FALSE),0)</f>
        <v>0</v>
      </c>
      <c r="M208" s="1461">
        <f>ROUND('geg ZO'!L265*VLOOKUP($F208,categoriePers8jreo,3,FALSE),0)</f>
        <v>0</v>
      </c>
      <c r="N208" s="1461">
        <f>ROUND('geg ZO'!M265*VLOOKUP($F208,categoriePers8jreo,3,FALSE),0)</f>
        <v>0</v>
      </c>
      <c r="O208" s="1461">
        <f>ROUND('geg ZO'!N265*VLOOKUP($F208,categoriePers8jreo,3,FALSE),0)</f>
        <v>0</v>
      </c>
      <c r="P208" s="1461">
        <f>ROUND('geg ZO'!O265*VLOOKUP($F208,categoriePers8jreo,3,FALSE),0)</f>
        <v>0</v>
      </c>
      <c r="Q208" s="1037"/>
      <c r="R208" s="539"/>
    </row>
    <row r="209" spans="2:18" ht="13.15" customHeight="1" x14ac:dyDescent="0.2">
      <c r="B209" s="26"/>
      <c r="C209" s="1037"/>
      <c r="D209" s="1447" t="str">
        <f>+'geg ZO'!D268</f>
        <v>Naam SO 27</v>
      </c>
      <c r="E209" s="1037"/>
      <c r="F209" s="1037" t="str">
        <f>IF('geg ZO'!E268=1,"categorie 1",IF('geg ZO'!E268=2,"categorie 2","categorie 3"))</f>
        <v>categorie 1</v>
      </c>
      <c r="G209" s="1076" t="s">
        <v>145</v>
      </c>
      <c r="H209" s="1037"/>
      <c r="I209" s="1461">
        <v>0</v>
      </c>
      <c r="J209" s="1461">
        <f>ROUND('geg ZO'!I268*VLOOKUP($F209,categoriePers,3,FALSE),0)</f>
        <v>0</v>
      </c>
      <c r="K209" s="1461">
        <f>ROUND('geg ZO'!J268*VLOOKUP($F209,categoriePers,3,FALSE),0)</f>
        <v>0</v>
      </c>
      <c r="L209" s="1461">
        <f>ROUND('geg ZO'!K268*VLOOKUP($F209,categoriePers,3,FALSE),0)</f>
        <v>0</v>
      </c>
      <c r="M209" s="1461">
        <f>ROUND('geg ZO'!L268*VLOOKUP($F209,categoriePers,3,FALSE),0)</f>
        <v>0</v>
      </c>
      <c r="N209" s="1461">
        <f>ROUND('geg ZO'!M268*VLOOKUP($F209,categoriePers,3,FALSE),0)</f>
        <v>0</v>
      </c>
      <c r="O209" s="1461">
        <f>ROUND('geg ZO'!N268*VLOOKUP($F209,categoriePers,3,FALSE),0)</f>
        <v>0</v>
      </c>
      <c r="P209" s="1461">
        <f>ROUND('geg ZO'!O268*VLOOKUP($F209,categoriePers,3,FALSE),0)</f>
        <v>0</v>
      </c>
      <c r="Q209" s="1037"/>
      <c r="R209" s="539"/>
    </row>
    <row r="210" spans="2:18" ht="13.15" customHeight="1" x14ac:dyDescent="0.2">
      <c r="B210" s="26"/>
      <c r="C210" s="1037"/>
      <c r="D210" s="1000"/>
      <c r="E210" s="1037"/>
      <c r="F210" s="1037" t="str">
        <f>IF('geg ZO'!E269=1,"categorie 1",IF('geg ZO'!E269=2,"categorie 2","categorie 3"))</f>
        <v>categorie 2</v>
      </c>
      <c r="G210" s="1076" t="s">
        <v>145</v>
      </c>
      <c r="H210" s="1037"/>
      <c r="I210" s="1461">
        <v>0</v>
      </c>
      <c r="J210" s="1461">
        <f>ROUND('geg ZO'!I269*VLOOKUP($F210,categoriePers,3,FALSE),0)</f>
        <v>0</v>
      </c>
      <c r="K210" s="1461">
        <f>ROUND('geg ZO'!J269*VLOOKUP($F210,categoriePers,3,FALSE),0)</f>
        <v>0</v>
      </c>
      <c r="L210" s="1461">
        <f>ROUND('geg ZO'!K269*VLOOKUP($F210,categoriePers,3,FALSE),0)</f>
        <v>0</v>
      </c>
      <c r="M210" s="1461">
        <f>ROUND('geg ZO'!L269*VLOOKUP($F210,categoriePers,3,FALSE),0)</f>
        <v>0</v>
      </c>
      <c r="N210" s="1461">
        <f>ROUND('geg ZO'!M269*VLOOKUP($F210,categoriePers,3,FALSE),0)</f>
        <v>0</v>
      </c>
      <c r="O210" s="1461">
        <f>ROUND('geg ZO'!N269*VLOOKUP($F210,categoriePers,3,FALSE),0)</f>
        <v>0</v>
      </c>
      <c r="P210" s="1461">
        <f>ROUND('geg ZO'!O269*VLOOKUP($F210,categoriePers,3,FALSE),0)</f>
        <v>0</v>
      </c>
      <c r="Q210" s="1037"/>
      <c r="R210" s="539"/>
    </row>
    <row r="211" spans="2:18" ht="13.15" customHeight="1" x14ac:dyDescent="0.2">
      <c r="B211" s="26"/>
      <c r="C211" s="1037"/>
      <c r="D211" s="1000"/>
      <c r="E211" s="1037"/>
      <c r="F211" s="1037" t="str">
        <f>IF('geg ZO'!E270=1,"categorie 1",IF('geg ZO'!E270=2,"categorie 2","categorie 3"))</f>
        <v>categorie 3</v>
      </c>
      <c r="G211" s="1076" t="s">
        <v>145</v>
      </c>
      <c r="H211" s="1037"/>
      <c r="I211" s="1461">
        <v>0</v>
      </c>
      <c r="J211" s="1461">
        <f>ROUND('geg ZO'!I270*VLOOKUP($F211,categoriePers,3,FALSE),0)</f>
        <v>0</v>
      </c>
      <c r="K211" s="1461">
        <f>ROUND('geg ZO'!J270*VLOOKUP($F211,categoriePers,3,FALSE),0)</f>
        <v>0</v>
      </c>
      <c r="L211" s="1461">
        <f>ROUND('geg ZO'!K270*VLOOKUP($F211,categoriePers,3,FALSE),0)</f>
        <v>0</v>
      </c>
      <c r="M211" s="1461">
        <f>ROUND('geg ZO'!L270*VLOOKUP($F211,categoriePers,3,FALSE),0)</f>
        <v>0</v>
      </c>
      <c r="N211" s="1461">
        <f>ROUND('geg ZO'!M270*VLOOKUP($F211,categoriePers,3,FALSE),0)</f>
        <v>0</v>
      </c>
      <c r="O211" s="1461">
        <f>ROUND('geg ZO'!N270*VLOOKUP($F211,categoriePers,3,FALSE),0)</f>
        <v>0</v>
      </c>
      <c r="P211" s="1461">
        <f>ROUND('geg ZO'!O270*VLOOKUP($F211,categoriePers,3,FALSE),0)</f>
        <v>0</v>
      </c>
      <c r="Q211" s="1037"/>
      <c r="R211" s="539"/>
    </row>
    <row r="212" spans="2:18" ht="13.15" customHeight="1" x14ac:dyDescent="0.2">
      <c r="B212" s="26"/>
      <c r="C212" s="1037"/>
      <c r="D212" s="1000"/>
      <c r="E212" s="1037"/>
      <c r="F212" s="1037" t="str">
        <f>IF('geg ZO'!E271=1,"categorie 1",IF('geg ZO'!E271=2,"categorie 2","categorie 3"))</f>
        <v>categorie 1</v>
      </c>
      <c r="G212" s="1076" t="s">
        <v>125</v>
      </c>
      <c r="H212" s="1037"/>
      <c r="I212" s="1461">
        <v>0</v>
      </c>
      <c r="J212" s="1461">
        <f>ROUND('geg ZO'!I271*VLOOKUP($F212,categoriePers8jreo,3,FALSE),0)</f>
        <v>0</v>
      </c>
      <c r="K212" s="1461">
        <f>ROUND('geg ZO'!J271*VLOOKUP($F212,categoriePers8jreo,3,FALSE),0)</f>
        <v>0</v>
      </c>
      <c r="L212" s="1461">
        <f>ROUND('geg ZO'!K271*VLOOKUP($F212,categoriePers8jreo,3,FALSE),0)</f>
        <v>0</v>
      </c>
      <c r="M212" s="1461">
        <f>ROUND('geg ZO'!L271*VLOOKUP($F212,categoriePers8jreo,3,FALSE),0)</f>
        <v>0</v>
      </c>
      <c r="N212" s="1461">
        <f>ROUND('geg ZO'!M271*VLOOKUP($F212,categoriePers8jreo,3,FALSE),0)</f>
        <v>0</v>
      </c>
      <c r="O212" s="1461">
        <f>ROUND('geg ZO'!N271*VLOOKUP($F212,categoriePers8jreo,3,FALSE),0)</f>
        <v>0</v>
      </c>
      <c r="P212" s="1461">
        <f>ROUND('geg ZO'!O271*VLOOKUP($F212,categoriePers8jreo,3,FALSE),0)</f>
        <v>0</v>
      </c>
      <c r="Q212" s="1037"/>
      <c r="R212" s="539"/>
    </row>
    <row r="213" spans="2:18" ht="13.15" customHeight="1" x14ac:dyDescent="0.2">
      <c r="B213" s="26"/>
      <c r="C213" s="1037"/>
      <c r="D213" s="1000"/>
      <c r="E213" s="1037"/>
      <c r="F213" s="1037" t="str">
        <f>IF('geg ZO'!E272=1,"categorie 1",IF('geg ZO'!E272=2,"categorie 2","categorie 3"))</f>
        <v>categorie 2</v>
      </c>
      <c r="G213" s="1076" t="s">
        <v>125</v>
      </c>
      <c r="H213" s="1037"/>
      <c r="I213" s="1461">
        <v>0</v>
      </c>
      <c r="J213" s="1461">
        <f>ROUND('geg ZO'!I272*VLOOKUP($F213,categoriePers8jreo,3,FALSE),0)</f>
        <v>0</v>
      </c>
      <c r="K213" s="1461">
        <f>ROUND('geg ZO'!J272*VLOOKUP($F213,categoriePers8jreo,3,FALSE),0)</f>
        <v>0</v>
      </c>
      <c r="L213" s="1461">
        <f>ROUND('geg ZO'!K272*VLOOKUP($F213,categoriePers8jreo,3,FALSE),0)</f>
        <v>0</v>
      </c>
      <c r="M213" s="1461">
        <f>ROUND('geg ZO'!L272*VLOOKUP($F213,categoriePers8jreo,3,FALSE),0)</f>
        <v>0</v>
      </c>
      <c r="N213" s="1461">
        <f>ROUND('geg ZO'!M272*VLOOKUP($F213,categoriePers8jreo,3,FALSE),0)</f>
        <v>0</v>
      </c>
      <c r="O213" s="1461">
        <f>ROUND('geg ZO'!N272*VLOOKUP($F213,categoriePers8jreo,3,FALSE),0)</f>
        <v>0</v>
      </c>
      <c r="P213" s="1461">
        <f>ROUND('geg ZO'!O272*VLOOKUP($F213,categoriePers8jreo,3,FALSE),0)</f>
        <v>0</v>
      </c>
      <c r="Q213" s="1037"/>
      <c r="R213" s="539"/>
    </row>
    <row r="214" spans="2:18" ht="13.15" customHeight="1" x14ac:dyDescent="0.2">
      <c r="B214" s="26"/>
      <c r="C214" s="1037"/>
      <c r="D214" s="1000"/>
      <c r="E214" s="1037"/>
      <c r="F214" s="1037" t="str">
        <f>IF('geg ZO'!E273=1,"categorie 1",IF('geg ZO'!E273=2,"categorie 2","categorie 3"))</f>
        <v>categorie 3</v>
      </c>
      <c r="G214" s="1076" t="s">
        <v>125</v>
      </c>
      <c r="H214" s="1037"/>
      <c r="I214" s="1461">
        <v>0</v>
      </c>
      <c r="J214" s="1461">
        <f>ROUND('geg ZO'!I273*VLOOKUP($F214,categoriePers8jreo,3,FALSE),0)</f>
        <v>0</v>
      </c>
      <c r="K214" s="1461">
        <f>ROUND('geg ZO'!J273*VLOOKUP($F214,categoriePers8jreo,3,FALSE),0)</f>
        <v>0</v>
      </c>
      <c r="L214" s="1461">
        <f>ROUND('geg ZO'!K273*VLOOKUP($F214,categoriePers8jreo,3,FALSE),0)</f>
        <v>0</v>
      </c>
      <c r="M214" s="1461">
        <f>ROUND('geg ZO'!L273*VLOOKUP($F214,categoriePers8jreo,3,FALSE),0)</f>
        <v>0</v>
      </c>
      <c r="N214" s="1461">
        <f>ROUND('geg ZO'!M273*VLOOKUP($F214,categoriePers8jreo,3,FALSE),0)</f>
        <v>0</v>
      </c>
      <c r="O214" s="1461">
        <f>ROUND('geg ZO'!N273*VLOOKUP($F214,categoriePers8jreo,3,FALSE),0)</f>
        <v>0</v>
      </c>
      <c r="P214" s="1461">
        <f>ROUND('geg ZO'!O273*VLOOKUP($F214,categoriePers8jreo,3,FALSE),0)</f>
        <v>0</v>
      </c>
      <c r="Q214" s="1037"/>
      <c r="R214" s="539"/>
    </row>
    <row r="215" spans="2:18" ht="13.15" customHeight="1" x14ac:dyDescent="0.2">
      <c r="B215" s="26"/>
      <c r="C215" s="1037"/>
      <c r="D215" s="1447" t="str">
        <f>+'geg ZO'!D276</f>
        <v>Naam SO 28</v>
      </c>
      <c r="E215" s="1037"/>
      <c r="F215" s="1037" t="str">
        <f>IF('geg ZO'!E276=1,"categorie 1",IF('geg ZO'!E276=2,"categorie 2","categorie 3"))</f>
        <v>categorie 1</v>
      </c>
      <c r="G215" s="1076" t="s">
        <v>145</v>
      </c>
      <c r="H215" s="1037"/>
      <c r="I215" s="1461">
        <v>0</v>
      </c>
      <c r="J215" s="1461">
        <f>ROUND('geg ZO'!I276*VLOOKUP($F215,categoriePers,3,FALSE),0)</f>
        <v>0</v>
      </c>
      <c r="K215" s="1461">
        <f>ROUND('geg ZO'!J276*VLOOKUP($F215,categoriePers,3,FALSE),0)</f>
        <v>0</v>
      </c>
      <c r="L215" s="1461">
        <f>ROUND('geg ZO'!K276*VLOOKUP($F215,categoriePers,3,FALSE),0)</f>
        <v>0</v>
      </c>
      <c r="M215" s="1461">
        <f>ROUND('geg ZO'!L276*VLOOKUP($F215,categoriePers,3,FALSE),0)</f>
        <v>0</v>
      </c>
      <c r="N215" s="1461">
        <f>ROUND('geg ZO'!M276*VLOOKUP($F215,categoriePers,3,FALSE),0)</f>
        <v>0</v>
      </c>
      <c r="O215" s="1461">
        <f>ROUND('geg ZO'!N276*VLOOKUP($F215,categoriePers,3,FALSE),0)</f>
        <v>0</v>
      </c>
      <c r="P215" s="1461">
        <f>ROUND('geg ZO'!O276*VLOOKUP($F215,categoriePers,3,FALSE),0)</f>
        <v>0</v>
      </c>
      <c r="Q215" s="1037"/>
      <c r="R215" s="539"/>
    </row>
    <row r="216" spans="2:18" ht="13.15" customHeight="1" x14ac:dyDescent="0.2">
      <c r="B216" s="26"/>
      <c r="C216" s="1037"/>
      <c r="D216" s="1000"/>
      <c r="E216" s="1037"/>
      <c r="F216" s="1037" t="str">
        <f>IF('geg ZO'!E277=1,"categorie 1",IF('geg ZO'!E277=2,"categorie 2","categorie 3"))</f>
        <v>categorie 2</v>
      </c>
      <c r="G216" s="1076" t="s">
        <v>145</v>
      </c>
      <c r="H216" s="1037"/>
      <c r="I216" s="1461">
        <v>0</v>
      </c>
      <c r="J216" s="1461">
        <f>ROUND('geg ZO'!I277*VLOOKUP($F216,categoriePers,3,FALSE),0)</f>
        <v>0</v>
      </c>
      <c r="K216" s="1461">
        <f>ROUND('geg ZO'!J277*VLOOKUP($F216,categoriePers,3,FALSE),0)</f>
        <v>0</v>
      </c>
      <c r="L216" s="1461">
        <f>ROUND('geg ZO'!K277*VLOOKUP($F216,categoriePers,3,FALSE),0)</f>
        <v>0</v>
      </c>
      <c r="M216" s="1461">
        <f>ROUND('geg ZO'!L277*VLOOKUP($F216,categoriePers,3,FALSE),0)</f>
        <v>0</v>
      </c>
      <c r="N216" s="1461">
        <f>ROUND('geg ZO'!M277*VLOOKUP($F216,categoriePers,3,FALSE),0)</f>
        <v>0</v>
      </c>
      <c r="O216" s="1461">
        <f>ROUND('geg ZO'!N277*VLOOKUP($F216,categoriePers,3,FALSE),0)</f>
        <v>0</v>
      </c>
      <c r="P216" s="1461">
        <f>ROUND('geg ZO'!O277*VLOOKUP($F216,categoriePers,3,FALSE),0)</f>
        <v>0</v>
      </c>
      <c r="Q216" s="1037"/>
      <c r="R216" s="539"/>
    </row>
    <row r="217" spans="2:18" ht="13.15" customHeight="1" x14ac:dyDescent="0.2">
      <c r="B217" s="26"/>
      <c r="C217" s="1037"/>
      <c r="D217" s="1000"/>
      <c r="E217" s="1037"/>
      <c r="F217" s="1037" t="str">
        <f>IF('geg ZO'!E278=1,"categorie 1",IF('geg ZO'!E278=2,"categorie 2","categorie 3"))</f>
        <v>categorie 3</v>
      </c>
      <c r="G217" s="1076" t="s">
        <v>145</v>
      </c>
      <c r="H217" s="1037"/>
      <c r="I217" s="1461">
        <v>0</v>
      </c>
      <c r="J217" s="1461">
        <f>ROUND('geg ZO'!I278*VLOOKUP($F217,categoriePers,3,FALSE),0)</f>
        <v>0</v>
      </c>
      <c r="K217" s="1461">
        <f>ROUND('geg ZO'!J278*VLOOKUP($F217,categoriePers,3,FALSE),0)</f>
        <v>0</v>
      </c>
      <c r="L217" s="1461">
        <f>ROUND('geg ZO'!K278*VLOOKUP($F217,categoriePers,3,FALSE),0)</f>
        <v>0</v>
      </c>
      <c r="M217" s="1461">
        <f>ROUND('geg ZO'!L278*VLOOKUP($F217,categoriePers,3,FALSE),0)</f>
        <v>0</v>
      </c>
      <c r="N217" s="1461">
        <f>ROUND('geg ZO'!M278*VLOOKUP($F217,categoriePers,3,FALSE),0)</f>
        <v>0</v>
      </c>
      <c r="O217" s="1461">
        <f>ROUND('geg ZO'!N278*VLOOKUP($F217,categoriePers,3,FALSE),0)</f>
        <v>0</v>
      </c>
      <c r="P217" s="1461">
        <f>ROUND('geg ZO'!O278*VLOOKUP($F217,categoriePers,3,FALSE),0)</f>
        <v>0</v>
      </c>
      <c r="Q217" s="1037"/>
      <c r="R217" s="539"/>
    </row>
    <row r="218" spans="2:18" ht="13.15" customHeight="1" x14ac:dyDescent="0.2">
      <c r="B218" s="26"/>
      <c r="C218" s="1037"/>
      <c r="D218" s="1000"/>
      <c r="E218" s="1037"/>
      <c r="F218" s="1037" t="str">
        <f>IF('geg ZO'!E279=1,"categorie 1",IF('geg ZO'!E279=2,"categorie 2","categorie 3"))</f>
        <v>categorie 1</v>
      </c>
      <c r="G218" s="1076" t="s">
        <v>125</v>
      </c>
      <c r="H218" s="1037"/>
      <c r="I218" s="1461">
        <v>0</v>
      </c>
      <c r="J218" s="1461">
        <f>ROUND('geg ZO'!I279*VLOOKUP($F218,categoriePers8jreo,3,FALSE),0)</f>
        <v>0</v>
      </c>
      <c r="K218" s="1461">
        <f>ROUND('geg ZO'!J279*VLOOKUP($F218,categoriePers8jreo,3,FALSE),0)</f>
        <v>0</v>
      </c>
      <c r="L218" s="1461">
        <f>ROUND('geg ZO'!K279*VLOOKUP($F218,categoriePers8jreo,3,FALSE),0)</f>
        <v>0</v>
      </c>
      <c r="M218" s="1461">
        <f>ROUND('geg ZO'!L279*VLOOKUP($F218,categoriePers8jreo,3,FALSE),0)</f>
        <v>0</v>
      </c>
      <c r="N218" s="1461">
        <f>ROUND('geg ZO'!M279*VLOOKUP($F218,categoriePers8jreo,3,FALSE),0)</f>
        <v>0</v>
      </c>
      <c r="O218" s="1461">
        <f>ROUND('geg ZO'!N279*VLOOKUP($F218,categoriePers8jreo,3,FALSE),0)</f>
        <v>0</v>
      </c>
      <c r="P218" s="1461">
        <f>ROUND('geg ZO'!O279*VLOOKUP($F218,categoriePers8jreo,3,FALSE),0)</f>
        <v>0</v>
      </c>
      <c r="Q218" s="1037"/>
      <c r="R218" s="539"/>
    </row>
    <row r="219" spans="2:18" ht="13.15" customHeight="1" x14ac:dyDescent="0.2">
      <c r="B219" s="26"/>
      <c r="C219" s="1037"/>
      <c r="D219" s="1000"/>
      <c r="E219" s="1037"/>
      <c r="F219" s="1037" t="str">
        <f>IF('geg ZO'!E280=1,"categorie 1",IF('geg ZO'!E280=2,"categorie 2","categorie 3"))</f>
        <v>categorie 2</v>
      </c>
      <c r="G219" s="1076" t="s">
        <v>125</v>
      </c>
      <c r="H219" s="1037"/>
      <c r="I219" s="1461">
        <v>0</v>
      </c>
      <c r="J219" s="1461">
        <f>ROUND('geg ZO'!I280*VLOOKUP($F219,categoriePers8jreo,3,FALSE),0)</f>
        <v>0</v>
      </c>
      <c r="K219" s="1461">
        <f>ROUND('geg ZO'!J280*VLOOKUP($F219,categoriePers8jreo,3,FALSE),0)</f>
        <v>0</v>
      </c>
      <c r="L219" s="1461">
        <f>ROUND('geg ZO'!K280*VLOOKUP($F219,categoriePers8jreo,3,FALSE),0)</f>
        <v>0</v>
      </c>
      <c r="M219" s="1461">
        <f>ROUND('geg ZO'!L280*VLOOKUP($F219,categoriePers8jreo,3,FALSE),0)</f>
        <v>0</v>
      </c>
      <c r="N219" s="1461">
        <f>ROUND('geg ZO'!M280*VLOOKUP($F219,categoriePers8jreo,3,FALSE),0)</f>
        <v>0</v>
      </c>
      <c r="O219" s="1461">
        <f>ROUND('geg ZO'!N280*VLOOKUP($F219,categoriePers8jreo,3,FALSE),0)</f>
        <v>0</v>
      </c>
      <c r="P219" s="1461">
        <f>ROUND('geg ZO'!O280*VLOOKUP($F219,categoriePers8jreo,3,FALSE),0)</f>
        <v>0</v>
      </c>
      <c r="Q219" s="1037"/>
      <c r="R219" s="539"/>
    </row>
    <row r="220" spans="2:18" ht="13.15" customHeight="1" x14ac:dyDescent="0.2">
      <c r="B220" s="26"/>
      <c r="C220" s="1037"/>
      <c r="D220" s="1000"/>
      <c r="E220" s="1037"/>
      <c r="F220" s="1037" t="str">
        <f>IF('geg ZO'!E281=1,"categorie 1",IF('geg ZO'!E281=2,"categorie 2","categorie 3"))</f>
        <v>categorie 3</v>
      </c>
      <c r="G220" s="1076" t="s">
        <v>125</v>
      </c>
      <c r="H220" s="1037"/>
      <c r="I220" s="1461">
        <v>0</v>
      </c>
      <c r="J220" s="1461">
        <f>ROUND('geg ZO'!I281*VLOOKUP($F220,categoriePers8jreo,3,FALSE),0)</f>
        <v>0</v>
      </c>
      <c r="K220" s="1461">
        <f>ROUND('geg ZO'!J281*VLOOKUP($F220,categoriePers8jreo,3,FALSE),0)</f>
        <v>0</v>
      </c>
      <c r="L220" s="1461">
        <f>ROUND('geg ZO'!K281*VLOOKUP($F220,categoriePers8jreo,3,FALSE),0)</f>
        <v>0</v>
      </c>
      <c r="M220" s="1461">
        <f>ROUND('geg ZO'!L281*VLOOKUP($F220,categoriePers8jreo,3,FALSE),0)</f>
        <v>0</v>
      </c>
      <c r="N220" s="1461">
        <f>ROUND('geg ZO'!M281*VLOOKUP($F220,categoriePers8jreo,3,FALSE),0)</f>
        <v>0</v>
      </c>
      <c r="O220" s="1461">
        <f>ROUND('geg ZO'!N281*VLOOKUP($F220,categoriePers8jreo,3,FALSE),0)</f>
        <v>0</v>
      </c>
      <c r="P220" s="1461">
        <f>ROUND('geg ZO'!O281*VLOOKUP($F220,categoriePers8jreo,3,FALSE),0)</f>
        <v>0</v>
      </c>
      <c r="Q220" s="1037"/>
      <c r="R220" s="539"/>
    </row>
    <row r="221" spans="2:18" ht="13.15" customHeight="1" x14ac:dyDescent="0.2">
      <c r="B221" s="26"/>
      <c r="C221" s="1037"/>
      <c r="D221" s="1447" t="str">
        <f>+'geg ZO'!D284</f>
        <v>Naam SO 29</v>
      </c>
      <c r="E221" s="1037"/>
      <c r="F221" s="1037" t="str">
        <f>IF('geg ZO'!E284=1,"categorie 1",IF('geg ZO'!E284=2,"categorie 2","categorie 3"))</f>
        <v>categorie 1</v>
      </c>
      <c r="G221" s="1076" t="s">
        <v>145</v>
      </c>
      <c r="H221" s="1037"/>
      <c r="I221" s="1461">
        <v>0</v>
      </c>
      <c r="J221" s="1461">
        <f>ROUND('geg ZO'!I284*VLOOKUP($F221,categoriePers,3,FALSE),0)</f>
        <v>0</v>
      </c>
      <c r="K221" s="1461">
        <f>ROUND('geg ZO'!J284*VLOOKUP($F221,categoriePers,3,FALSE),0)</f>
        <v>0</v>
      </c>
      <c r="L221" s="1461">
        <f>ROUND('geg ZO'!K284*VLOOKUP($F221,categoriePers,3,FALSE),0)</f>
        <v>0</v>
      </c>
      <c r="M221" s="1461">
        <f>ROUND('geg ZO'!L284*VLOOKUP($F221,categoriePers,3,FALSE),0)</f>
        <v>0</v>
      </c>
      <c r="N221" s="1461">
        <f>ROUND('geg ZO'!M284*VLOOKUP($F221,categoriePers,3,FALSE),0)</f>
        <v>0</v>
      </c>
      <c r="O221" s="1461">
        <f>ROUND('geg ZO'!N284*VLOOKUP($F221,categoriePers,3,FALSE),0)</f>
        <v>0</v>
      </c>
      <c r="P221" s="1461">
        <f>ROUND('geg ZO'!O284*VLOOKUP($F221,categoriePers,3,FALSE),0)</f>
        <v>0</v>
      </c>
      <c r="Q221" s="1037"/>
      <c r="R221" s="539"/>
    </row>
    <row r="222" spans="2:18" ht="13.15" customHeight="1" x14ac:dyDescent="0.2">
      <c r="B222" s="26"/>
      <c r="C222" s="1037"/>
      <c r="D222" s="1000"/>
      <c r="E222" s="1037"/>
      <c r="F222" s="1037" t="str">
        <f>IF('geg ZO'!E285=1,"categorie 1",IF('geg ZO'!E285=2,"categorie 2","categorie 3"))</f>
        <v>categorie 2</v>
      </c>
      <c r="G222" s="1076" t="s">
        <v>145</v>
      </c>
      <c r="H222" s="1037"/>
      <c r="I222" s="1461">
        <v>0</v>
      </c>
      <c r="J222" s="1461">
        <f>ROUND('geg ZO'!I285*VLOOKUP($F222,categoriePers,3,FALSE),0)</f>
        <v>0</v>
      </c>
      <c r="K222" s="1461">
        <f>ROUND('geg ZO'!J285*VLOOKUP($F222,categoriePers,3,FALSE),0)</f>
        <v>0</v>
      </c>
      <c r="L222" s="1461">
        <f>ROUND('geg ZO'!K285*VLOOKUP($F222,categoriePers,3,FALSE),0)</f>
        <v>0</v>
      </c>
      <c r="M222" s="1461">
        <f>ROUND('geg ZO'!L285*VLOOKUP($F222,categoriePers,3,FALSE),0)</f>
        <v>0</v>
      </c>
      <c r="N222" s="1461">
        <f>ROUND('geg ZO'!M285*VLOOKUP($F222,categoriePers,3,FALSE),0)</f>
        <v>0</v>
      </c>
      <c r="O222" s="1461">
        <f>ROUND('geg ZO'!N285*VLOOKUP($F222,categoriePers,3,FALSE),0)</f>
        <v>0</v>
      </c>
      <c r="P222" s="1461">
        <f>ROUND('geg ZO'!O285*VLOOKUP($F222,categoriePers,3,FALSE),0)</f>
        <v>0</v>
      </c>
      <c r="Q222" s="1037"/>
      <c r="R222" s="539"/>
    </row>
    <row r="223" spans="2:18" ht="13.15" customHeight="1" x14ac:dyDescent="0.2">
      <c r="B223" s="26"/>
      <c r="C223" s="1037"/>
      <c r="D223" s="1000"/>
      <c r="E223" s="1037"/>
      <c r="F223" s="1037" t="str">
        <f>IF('geg ZO'!E286=1,"categorie 1",IF('geg ZO'!E286=2,"categorie 2","categorie 3"))</f>
        <v>categorie 3</v>
      </c>
      <c r="G223" s="1076" t="s">
        <v>145</v>
      </c>
      <c r="H223" s="1037"/>
      <c r="I223" s="1461">
        <v>0</v>
      </c>
      <c r="J223" s="1461">
        <f>ROUND('geg ZO'!I286*VLOOKUP($F223,categoriePers,3,FALSE),0)</f>
        <v>0</v>
      </c>
      <c r="K223" s="1461">
        <f>ROUND('geg ZO'!J286*VLOOKUP($F223,categoriePers,3,FALSE),0)</f>
        <v>0</v>
      </c>
      <c r="L223" s="1461">
        <f>ROUND('geg ZO'!K286*VLOOKUP($F223,categoriePers,3,FALSE),0)</f>
        <v>0</v>
      </c>
      <c r="M223" s="1461">
        <f>ROUND('geg ZO'!L286*VLOOKUP($F223,categoriePers,3,FALSE),0)</f>
        <v>0</v>
      </c>
      <c r="N223" s="1461">
        <f>ROUND('geg ZO'!M286*VLOOKUP($F223,categoriePers,3,FALSE),0)</f>
        <v>0</v>
      </c>
      <c r="O223" s="1461">
        <f>ROUND('geg ZO'!N286*VLOOKUP($F223,categoriePers,3,FALSE),0)</f>
        <v>0</v>
      </c>
      <c r="P223" s="1461">
        <f>ROUND('geg ZO'!O286*VLOOKUP($F223,categoriePers,3,FALSE),0)</f>
        <v>0</v>
      </c>
      <c r="Q223" s="1037"/>
      <c r="R223" s="539"/>
    </row>
    <row r="224" spans="2:18" ht="13.15" customHeight="1" x14ac:dyDescent="0.2">
      <c r="B224" s="26"/>
      <c r="C224" s="1037"/>
      <c r="D224" s="1000"/>
      <c r="E224" s="1037"/>
      <c r="F224" s="1037" t="str">
        <f>IF('geg ZO'!E287=1,"categorie 1",IF('geg ZO'!E287=2,"categorie 2","categorie 3"))</f>
        <v>categorie 1</v>
      </c>
      <c r="G224" s="1076" t="s">
        <v>125</v>
      </c>
      <c r="H224" s="1037"/>
      <c r="I224" s="1461">
        <v>0</v>
      </c>
      <c r="J224" s="1461">
        <f>ROUND('geg ZO'!I287*VLOOKUP($F224,categoriePers8jreo,3,FALSE),0)</f>
        <v>0</v>
      </c>
      <c r="K224" s="1461">
        <f>ROUND('geg ZO'!J287*VLOOKUP($F224,categoriePers8jreo,3,FALSE),0)</f>
        <v>0</v>
      </c>
      <c r="L224" s="1461">
        <f>ROUND('geg ZO'!K287*VLOOKUP($F224,categoriePers8jreo,3,FALSE),0)</f>
        <v>0</v>
      </c>
      <c r="M224" s="1461">
        <f>ROUND('geg ZO'!L287*VLOOKUP($F224,categoriePers8jreo,3,FALSE),0)</f>
        <v>0</v>
      </c>
      <c r="N224" s="1461">
        <f>ROUND('geg ZO'!M287*VLOOKUP($F224,categoriePers8jreo,3,FALSE),0)</f>
        <v>0</v>
      </c>
      <c r="O224" s="1461">
        <f>ROUND('geg ZO'!N287*VLOOKUP($F224,categoriePers8jreo,3,FALSE),0)</f>
        <v>0</v>
      </c>
      <c r="P224" s="1461">
        <f>ROUND('geg ZO'!O287*VLOOKUP($F224,categoriePers8jreo,3,FALSE),0)</f>
        <v>0</v>
      </c>
      <c r="Q224" s="1037"/>
      <c r="R224" s="539"/>
    </row>
    <row r="225" spans="2:18" ht="13.15" customHeight="1" x14ac:dyDescent="0.2">
      <c r="B225" s="26"/>
      <c r="C225" s="1037"/>
      <c r="D225" s="1000"/>
      <c r="E225" s="1037"/>
      <c r="F225" s="1037" t="str">
        <f>IF('geg ZO'!E288=1,"categorie 1",IF('geg ZO'!E288=2,"categorie 2","categorie 3"))</f>
        <v>categorie 2</v>
      </c>
      <c r="G225" s="1076" t="s">
        <v>125</v>
      </c>
      <c r="H225" s="1037"/>
      <c r="I225" s="1461">
        <v>0</v>
      </c>
      <c r="J225" s="1461">
        <f>ROUND('geg ZO'!I288*VLOOKUP($F225,categoriePers8jreo,3,FALSE),0)</f>
        <v>0</v>
      </c>
      <c r="K225" s="1461">
        <f>ROUND('geg ZO'!J288*VLOOKUP($F225,categoriePers8jreo,3,FALSE),0)</f>
        <v>0</v>
      </c>
      <c r="L225" s="1461">
        <f>ROUND('geg ZO'!K288*VLOOKUP($F225,categoriePers8jreo,3,FALSE),0)</f>
        <v>0</v>
      </c>
      <c r="M225" s="1461">
        <f>ROUND('geg ZO'!L288*VLOOKUP($F225,categoriePers8jreo,3,FALSE),0)</f>
        <v>0</v>
      </c>
      <c r="N225" s="1461">
        <f>ROUND('geg ZO'!M288*VLOOKUP($F225,categoriePers8jreo,3,FALSE),0)</f>
        <v>0</v>
      </c>
      <c r="O225" s="1461">
        <f>ROUND('geg ZO'!N288*VLOOKUP($F225,categoriePers8jreo,3,FALSE),0)</f>
        <v>0</v>
      </c>
      <c r="P225" s="1461">
        <f>ROUND('geg ZO'!O288*VLOOKUP($F225,categoriePers8jreo,3,FALSE),0)</f>
        <v>0</v>
      </c>
      <c r="Q225" s="1037"/>
      <c r="R225" s="539"/>
    </row>
    <row r="226" spans="2:18" ht="13.15" customHeight="1" x14ac:dyDescent="0.2">
      <c r="B226" s="26"/>
      <c r="C226" s="1037"/>
      <c r="D226" s="1000"/>
      <c r="E226" s="1037"/>
      <c r="F226" s="1037" t="str">
        <f>IF('geg ZO'!E289=1,"categorie 1",IF('geg ZO'!E289=2,"categorie 2","categorie 3"))</f>
        <v>categorie 3</v>
      </c>
      <c r="G226" s="1076" t="s">
        <v>125</v>
      </c>
      <c r="H226" s="1037"/>
      <c r="I226" s="1461">
        <v>0</v>
      </c>
      <c r="J226" s="1461">
        <f>ROUND('geg ZO'!I289*VLOOKUP($F226,categoriePers8jreo,3,FALSE),0)</f>
        <v>0</v>
      </c>
      <c r="K226" s="1461">
        <f>ROUND('geg ZO'!J289*VLOOKUP($F226,categoriePers8jreo,3,FALSE),0)</f>
        <v>0</v>
      </c>
      <c r="L226" s="1461">
        <f>ROUND('geg ZO'!K289*VLOOKUP($F226,categoriePers8jreo,3,FALSE),0)</f>
        <v>0</v>
      </c>
      <c r="M226" s="1461">
        <f>ROUND('geg ZO'!L289*VLOOKUP($F226,categoriePers8jreo,3,FALSE),0)</f>
        <v>0</v>
      </c>
      <c r="N226" s="1461">
        <f>ROUND('geg ZO'!M289*VLOOKUP($F226,categoriePers8jreo,3,FALSE),0)</f>
        <v>0</v>
      </c>
      <c r="O226" s="1461">
        <f>ROUND('geg ZO'!N289*VLOOKUP($F226,categoriePers8jreo,3,FALSE),0)</f>
        <v>0</v>
      </c>
      <c r="P226" s="1461">
        <f>ROUND('geg ZO'!O289*VLOOKUP($F226,categoriePers8jreo,3,FALSE),0)</f>
        <v>0</v>
      </c>
      <c r="Q226" s="1037"/>
      <c r="R226" s="539"/>
    </row>
    <row r="227" spans="2:18" ht="13.15" customHeight="1" x14ac:dyDescent="0.2">
      <c r="B227" s="26"/>
      <c r="C227" s="1037"/>
      <c r="D227" s="1447" t="str">
        <f>+'geg ZO'!D292</f>
        <v>Naam SO 30</v>
      </c>
      <c r="E227" s="1037"/>
      <c r="F227" s="1037" t="str">
        <f>IF('geg ZO'!E292=1,"categorie 1",IF('geg ZO'!E292=2,"categorie 2","categorie 3"))</f>
        <v>categorie 1</v>
      </c>
      <c r="G227" s="1076" t="s">
        <v>145</v>
      </c>
      <c r="H227" s="1037"/>
      <c r="I227" s="1461">
        <v>0</v>
      </c>
      <c r="J227" s="1461">
        <f>ROUND('geg ZO'!I292*VLOOKUP($F227,categoriePers,3,FALSE),0)</f>
        <v>0</v>
      </c>
      <c r="K227" s="1461">
        <f>ROUND('geg ZO'!J292*VLOOKUP($F227,categoriePers,3,FALSE),0)</f>
        <v>0</v>
      </c>
      <c r="L227" s="1461">
        <f>ROUND('geg ZO'!K292*VLOOKUP($F227,categoriePers,3,FALSE),0)</f>
        <v>0</v>
      </c>
      <c r="M227" s="1461">
        <f>ROUND('geg ZO'!L292*VLOOKUP($F227,categoriePers,3,FALSE),0)</f>
        <v>0</v>
      </c>
      <c r="N227" s="1461">
        <f>ROUND('geg ZO'!M292*VLOOKUP($F227,categoriePers,3,FALSE),0)</f>
        <v>0</v>
      </c>
      <c r="O227" s="1461">
        <f>ROUND('geg ZO'!N292*VLOOKUP($F227,categoriePers,3,FALSE),0)</f>
        <v>0</v>
      </c>
      <c r="P227" s="1461">
        <f>ROUND('geg ZO'!O292*VLOOKUP($F227,categoriePers,3,FALSE),0)</f>
        <v>0</v>
      </c>
      <c r="Q227" s="1037"/>
      <c r="R227" s="539"/>
    </row>
    <row r="228" spans="2:18" ht="13.15" customHeight="1" x14ac:dyDescent="0.2">
      <c r="B228" s="26"/>
      <c r="C228" s="1037"/>
      <c r="D228" s="1000"/>
      <c r="E228" s="1037"/>
      <c r="F228" s="1037" t="str">
        <f>IF('geg ZO'!E293=1,"categorie 1",IF('geg ZO'!E293=2,"categorie 2","categorie 3"))</f>
        <v>categorie 2</v>
      </c>
      <c r="G228" s="1076" t="s">
        <v>145</v>
      </c>
      <c r="H228" s="1037"/>
      <c r="I228" s="1461">
        <v>0</v>
      </c>
      <c r="J228" s="1461">
        <f>ROUND('geg ZO'!I293*VLOOKUP($F228,categoriePers,3,FALSE),0)</f>
        <v>0</v>
      </c>
      <c r="K228" s="1461">
        <f>ROUND('geg ZO'!J293*VLOOKUP($F228,categoriePers,3,FALSE),0)</f>
        <v>0</v>
      </c>
      <c r="L228" s="1461">
        <f>ROUND('geg ZO'!K293*VLOOKUP($F228,categoriePers,3,FALSE),0)</f>
        <v>0</v>
      </c>
      <c r="M228" s="1461">
        <f>ROUND('geg ZO'!L293*VLOOKUP($F228,categoriePers,3,FALSE),0)</f>
        <v>0</v>
      </c>
      <c r="N228" s="1461">
        <f>ROUND('geg ZO'!M293*VLOOKUP($F228,categoriePers,3,FALSE),0)</f>
        <v>0</v>
      </c>
      <c r="O228" s="1461">
        <f>ROUND('geg ZO'!N293*VLOOKUP($F228,categoriePers,3,FALSE),0)</f>
        <v>0</v>
      </c>
      <c r="P228" s="1461">
        <f>ROUND('geg ZO'!O293*VLOOKUP($F228,categoriePers,3,FALSE),0)</f>
        <v>0</v>
      </c>
      <c r="Q228" s="1037"/>
      <c r="R228" s="539"/>
    </row>
    <row r="229" spans="2:18" ht="13.15" customHeight="1" x14ac:dyDescent="0.2">
      <c r="B229" s="26"/>
      <c r="C229" s="1037"/>
      <c r="D229" s="1000"/>
      <c r="E229" s="1037"/>
      <c r="F229" s="1037" t="str">
        <f>IF('geg ZO'!E294=1,"categorie 1",IF('geg ZO'!E294=2,"categorie 2","categorie 3"))</f>
        <v>categorie 3</v>
      </c>
      <c r="G229" s="1076" t="s">
        <v>145</v>
      </c>
      <c r="H229" s="1037"/>
      <c r="I229" s="1461">
        <v>0</v>
      </c>
      <c r="J229" s="1461">
        <f>ROUND('geg ZO'!I294*VLOOKUP($F229,categoriePers,3,FALSE),0)</f>
        <v>0</v>
      </c>
      <c r="K229" s="1461">
        <f>ROUND('geg ZO'!J294*VLOOKUP($F229,categoriePers,3,FALSE),0)</f>
        <v>0</v>
      </c>
      <c r="L229" s="1461">
        <f>ROUND('geg ZO'!K294*VLOOKUP($F229,categoriePers,3,FALSE),0)</f>
        <v>0</v>
      </c>
      <c r="M229" s="1461">
        <f>ROUND('geg ZO'!L294*VLOOKUP($F229,categoriePers,3,FALSE),0)</f>
        <v>0</v>
      </c>
      <c r="N229" s="1461">
        <f>ROUND('geg ZO'!M294*VLOOKUP($F229,categoriePers,3,FALSE),0)</f>
        <v>0</v>
      </c>
      <c r="O229" s="1461">
        <f>ROUND('geg ZO'!N294*VLOOKUP($F229,categoriePers,3,FALSE),0)</f>
        <v>0</v>
      </c>
      <c r="P229" s="1461">
        <f>ROUND('geg ZO'!O294*VLOOKUP($F229,categoriePers,3,FALSE),0)</f>
        <v>0</v>
      </c>
      <c r="Q229" s="1037"/>
      <c r="R229" s="539"/>
    </row>
    <row r="230" spans="2:18" ht="13.15" customHeight="1" x14ac:dyDescent="0.2">
      <c r="B230" s="26"/>
      <c r="C230" s="1037"/>
      <c r="D230" s="1000"/>
      <c r="E230" s="1037"/>
      <c r="F230" s="1037" t="str">
        <f>IF('geg ZO'!E295=1,"categorie 1",IF('geg ZO'!E295=2,"categorie 2","categorie 3"))</f>
        <v>categorie 1</v>
      </c>
      <c r="G230" s="1076" t="s">
        <v>125</v>
      </c>
      <c r="H230" s="1037"/>
      <c r="I230" s="1461">
        <v>0</v>
      </c>
      <c r="J230" s="1461">
        <f>ROUND('geg ZO'!I295*VLOOKUP($F230,categoriePers8jreo,3,FALSE),0)</f>
        <v>0</v>
      </c>
      <c r="K230" s="1461">
        <f>ROUND('geg ZO'!J295*VLOOKUP($F230,categoriePers8jreo,3,FALSE),0)</f>
        <v>0</v>
      </c>
      <c r="L230" s="1461">
        <f>ROUND('geg ZO'!K295*VLOOKUP($F230,categoriePers8jreo,3,FALSE),0)</f>
        <v>0</v>
      </c>
      <c r="M230" s="1461">
        <f>ROUND('geg ZO'!L295*VLOOKUP($F230,categoriePers8jreo,3,FALSE),0)</f>
        <v>0</v>
      </c>
      <c r="N230" s="1461">
        <f>ROUND('geg ZO'!M295*VLOOKUP($F230,categoriePers8jreo,3,FALSE),0)</f>
        <v>0</v>
      </c>
      <c r="O230" s="1461">
        <f>ROUND('geg ZO'!N295*VLOOKUP($F230,categoriePers8jreo,3,FALSE),0)</f>
        <v>0</v>
      </c>
      <c r="P230" s="1461">
        <f>ROUND('geg ZO'!O295*VLOOKUP($F230,categoriePers8jreo,3,FALSE),0)</f>
        <v>0</v>
      </c>
      <c r="Q230" s="1037"/>
      <c r="R230" s="539"/>
    </row>
    <row r="231" spans="2:18" ht="13.15" customHeight="1" x14ac:dyDescent="0.2">
      <c r="B231" s="26"/>
      <c r="C231" s="1037"/>
      <c r="D231" s="1000"/>
      <c r="E231" s="1037"/>
      <c r="F231" s="1037" t="str">
        <f>IF('geg ZO'!E296=1,"categorie 1",IF('geg ZO'!E296=2,"categorie 2","categorie 3"))</f>
        <v>categorie 2</v>
      </c>
      <c r="G231" s="1076" t="s">
        <v>125</v>
      </c>
      <c r="H231" s="1037"/>
      <c r="I231" s="1461">
        <v>0</v>
      </c>
      <c r="J231" s="1461">
        <f>ROUND('geg ZO'!I296*VLOOKUP($F231,categoriePers8jreo,3,FALSE),0)</f>
        <v>0</v>
      </c>
      <c r="K231" s="1461">
        <f>ROUND('geg ZO'!J296*VLOOKUP($F231,categoriePers8jreo,3,FALSE),0)</f>
        <v>0</v>
      </c>
      <c r="L231" s="1461">
        <f>ROUND('geg ZO'!K296*VLOOKUP($F231,categoriePers8jreo,3,FALSE),0)</f>
        <v>0</v>
      </c>
      <c r="M231" s="1461">
        <f>ROUND('geg ZO'!L296*VLOOKUP($F231,categoriePers8jreo,3,FALSE),0)</f>
        <v>0</v>
      </c>
      <c r="N231" s="1461">
        <f>ROUND('geg ZO'!M296*VLOOKUP($F231,categoriePers8jreo,3,FALSE),0)</f>
        <v>0</v>
      </c>
      <c r="O231" s="1461">
        <f>ROUND('geg ZO'!N296*VLOOKUP($F231,categoriePers8jreo,3,FALSE),0)</f>
        <v>0</v>
      </c>
      <c r="P231" s="1461">
        <f>ROUND('geg ZO'!O296*VLOOKUP($F231,categoriePers8jreo,3,FALSE),0)</f>
        <v>0</v>
      </c>
      <c r="Q231" s="1037"/>
      <c r="R231" s="539"/>
    </row>
    <row r="232" spans="2:18" ht="13.15" customHeight="1" x14ac:dyDescent="0.2">
      <c r="B232" s="26"/>
      <c r="C232" s="1037"/>
      <c r="D232" s="1000"/>
      <c r="E232" s="1037"/>
      <c r="F232" s="1037" t="str">
        <f>IF('geg ZO'!E297=1,"categorie 1",IF('geg ZO'!E297=2,"categorie 2","categorie 3"))</f>
        <v>categorie 3</v>
      </c>
      <c r="G232" s="1076" t="s">
        <v>125</v>
      </c>
      <c r="H232" s="1037"/>
      <c r="I232" s="1461">
        <v>0</v>
      </c>
      <c r="J232" s="1461">
        <f>ROUND('geg ZO'!I297*VLOOKUP($F232,categoriePers8jreo,3,FALSE),0)</f>
        <v>0</v>
      </c>
      <c r="K232" s="1461">
        <f>ROUND('geg ZO'!J297*VLOOKUP($F232,categoriePers8jreo,3,FALSE),0)</f>
        <v>0</v>
      </c>
      <c r="L232" s="1461">
        <f>ROUND('geg ZO'!K297*VLOOKUP($F232,categoriePers8jreo,3,FALSE),0)</f>
        <v>0</v>
      </c>
      <c r="M232" s="1461">
        <f>ROUND('geg ZO'!L297*VLOOKUP($F232,categoriePers8jreo,3,FALSE),0)</f>
        <v>0</v>
      </c>
      <c r="N232" s="1461">
        <f>ROUND('geg ZO'!M297*VLOOKUP($F232,categoriePers8jreo,3,FALSE),0)</f>
        <v>0</v>
      </c>
      <c r="O232" s="1461">
        <f>ROUND('geg ZO'!N297*VLOOKUP($F232,categoriePers8jreo,3,FALSE),0)</f>
        <v>0</v>
      </c>
      <c r="P232" s="1461">
        <f>ROUND('geg ZO'!O297*VLOOKUP($F232,categoriePers8jreo,3,FALSE),0)</f>
        <v>0</v>
      </c>
      <c r="Q232" s="1037"/>
      <c r="R232" s="539"/>
    </row>
    <row r="233" spans="2:18" ht="13.15" customHeight="1" x14ac:dyDescent="0.2">
      <c r="B233" s="26"/>
      <c r="C233" s="1037"/>
      <c r="D233" s="1000"/>
      <c r="E233" s="1183"/>
      <c r="F233" s="1183"/>
      <c r="G233" s="1183"/>
      <c r="H233" s="1183"/>
      <c r="I233" s="1183"/>
      <c r="J233" s="1183"/>
      <c r="K233" s="1183"/>
      <c r="L233" s="1183"/>
      <c r="M233" s="1183"/>
      <c r="N233" s="1183"/>
      <c r="O233" s="1183"/>
      <c r="P233" s="1183"/>
      <c r="Q233" s="1183"/>
      <c r="R233" s="539"/>
    </row>
    <row r="234" spans="2:18" ht="13.15" customHeight="1" x14ac:dyDescent="0.2">
      <c r="B234" s="26"/>
      <c r="C234" s="1037"/>
      <c r="D234" s="1075" t="s">
        <v>20</v>
      </c>
      <c r="E234" s="1037"/>
      <c r="F234" s="1038"/>
      <c r="G234" s="1038"/>
      <c r="H234" s="1037"/>
      <c r="I234" s="1448">
        <f t="shared" ref="I234:O234" si="16">SUM(I44:I133)+SUM(I143:I232)</f>
        <v>0</v>
      </c>
      <c r="J234" s="1448">
        <f t="shared" si="16"/>
        <v>0</v>
      </c>
      <c r="K234" s="1448">
        <f t="shared" si="16"/>
        <v>0</v>
      </c>
      <c r="L234" s="1448">
        <f t="shared" si="16"/>
        <v>0</v>
      </c>
      <c r="M234" s="1448">
        <f t="shared" si="16"/>
        <v>0</v>
      </c>
      <c r="N234" s="1448">
        <f t="shared" si="16"/>
        <v>0</v>
      </c>
      <c r="O234" s="1448">
        <f t="shared" si="16"/>
        <v>0</v>
      </c>
      <c r="P234" s="1448">
        <f t="shared" ref="P234" si="17">SUM(P44:P133)+SUM(P143:P232)</f>
        <v>0</v>
      </c>
      <c r="Q234" s="1037"/>
      <c r="R234" s="539"/>
    </row>
    <row r="235" spans="2:18" ht="13.15" customHeight="1" x14ac:dyDescent="0.2">
      <c r="B235" s="26"/>
      <c r="C235" s="1037"/>
      <c r="D235" s="1075"/>
      <c r="E235" s="1037"/>
      <c r="F235" s="1038"/>
      <c r="G235" s="1038"/>
      <c r="H235" s="1037"/>
      <c r="I235" s="1169"/>
      <c r="J235" s="1169"/>
      <c r="K235" s="1120"/>
      <c r="L235" s="1169"/>
      <c r="M235" s="1169"/>
      <c r="N235" s="1169"/>
      <c r="O235" s="1169"/>
      <c r="P235" s="1169"/>
      <c r="Q235" s="1037"/>
      <c r="R235" s="539"/>
    </row>
    <row r="236" spans="2:18" ht="13.15" customHeight="1" x14ac:dyDescent="0.2">
      <c r="B236" s="26"/>
      <c r="C236" s="27"/>
      <c r="D236" s="87"/>
      <c r="E236" s="27"/>
      <c r="F236" s="27"/>
      <c r="G236" s="27"/>
      <c r="H236" s="27"/>
      <c r="I236" s="191"/>
      <c r="J236" s="191"/>
      <c r="K236" s="191"/>
      <c r="L236" s="191"/>
      <c r="M236" s="191"/>
      <c r="N236" s="191"/>
      <c r="O236" s="191"/>
      <c r="P236" s="191"/>
      <c r="Q236" s="27"/>
      <c r="R236" s="30"/>
    </row>
    <row r="237" spans="2:18" ht="13.15" customHeight="1" x14ac:dyDescent="0.25">
      <c r="B237" s="428"/>
      <c r="C237" s="194"/>
      <c r="D237" s="93"/>
      <c r="E237" s="194"/>
      <c r="F237" s="194"/>
      <c r="G237" s="194"/>
      <c r="H237" s="194"/>
      <c r="I237" s="195"/>
      <c r="J237" s="195"/>
      <c r="K237" s="195"/>
      <c r="L237" s="195"/>
      <c r="M237" s="195"/>
      <c r="N237" s="195"/>
      <c r="O237" s="195"/>
      <c r="P237" s="195"/>
      <c r="Q237" s="194"/>
      <c r="R237" s="213"/>
    </row>
    <row r="238" spans="2:18" ht="13.15" customHeight="1" x14ac:dyDescent="0.2">
      <c r="B238" s="23"/>
      <c r="C238" s="24"/>
      <c r="D238" s="83"/>
      <c r="E238" s="24"/>
      <c r="F238" s="24"/>
      <c r="G238" s="24"/>
      <c r="H238" s="24"/>
      <c r="I238" s="193"/>
      <c r="J238" s="193"/>
      <c r="K238" s="193"/>
      <c r="L238" s="193"/>
      <c r="M238" s="193"/>
      <c r="N238" s="193"/>
      <c r="O238" s="193"/>
      <c r="P238" s="193"/>
      <c r="Q238" s="24"/>
      <c r="R238" s="25"/>
    </row>
    <row r="239" spans="2:18" ht="13.15" customHeight="1" x14ac:dyDescent="0.2">
      <c r="B239" s="26"/>
      <c r="C239" s="27"/>
      <c r="D239" s="87"/>
      <c r="E239" s="27"/>
      <c r="F239" s="27"/>
      <c r="G239" s="27"/>
      <c r="H239" s="27"/>
      <c r="I239" s="191"/>
      <c r="J239" s="191"/>
      <c r="K239" s="191"/>
      <c r="L239" s="191"/>
      <c r="M239" s="191"/>
      <c r="N239" s="191"/>
      <c r="O239" s="191"/>
      <c r="P239" s="191"/>
      <c r="Q239" s="27"/>
      <c r="R239" s="539"/>
    </row>
    <row r="240" spans="2:18" ht="13.15" customHeight="1" x14ac:dyDescent="0.2">
      <c r="B240" s="26"/>
      <c r="C240" s="27"/>
      <c r="D240" s="87"/>
      <c r="E240" s="27"/>
      <c r="F240" s="27"/>
      <c r="G240" s="27"/>
      <c r="H240" s="27"/>
      <c r="I240" s="191"/>
      <c r="J240" s="191"/>
      <c r="K240" s="191"/>
      <c r="L240" s="191"/>
      <c r="M240" s="191"/>
      <c r="N240" s="191"/>
      <c r="O240" s="191"/>
      <c r="P240" s="191"/>
      <c r="Q240" s="27"/>
      <c r="R240" s="30"/>
    </row>
    <row r="241" spans="2:18" ht="13.15" customHeight="1" x14ac:dyDescent="0.2">
      <c r="B241" s="26"/>
      <c r="C241" s="27"/>
      <c r="D241" s="698"/>
      <c r="E241" s="699" t="s">
        <v>273</v>
      </c>
      <c r="F241" s="658"/>
      <c r="G241" s="658"/>
      <c r="H241" s="699" t="s">
        <v>273</v>
      </c>
      <c r="I241" s="700" t="e">
        <f>tab!#REF!</f>
        <v>#REF!</v>
      </c>
      <c r="J241" s="700">
        <f>tab!C4</f>
        <v>2015</v>
      </c>
      <c r="K241" s="700">
        <f>tab!D4</f>
        <v>2016</v>
      </c>
      <c r="L241" s="700">
        <f>tab!E4</f>
        <v>2017</v>
      </c>
      <c r="M241" s="700">
        <f>tab!F4</f>
        <v>2018</v>
      </c>
      <c r="N241" s="700">
        <f>tab!G4</f>
        <v>2019</v>
      </c>
      <c r="O241" s="700">
        <f>tab!H4</f>
        <v>2020</v>
      </c>
      <c r="P241" s="700">
        <f>tab!I4</f>
        <v>2021</v>
      </c>
      <c r="Q241" s="27"/>
      <c r="R241" s="30"/>
    </row>
    <row r="242" spans="2:18" ht="13.15" customHeight="1" x14ac:dyDescent="0.2">
      <c r="B242" s="26"/>
      <c r="C242" s="27"/>
      <c r="D242" s="87"/>
      <c r="E242" s="27"/>
      <c r="F242" s="27"/>
      <c r="G242" s="27"/>
      <c r="H242" s="27"/>
      <c r="I242" s="191"/>
      <c r="J242" s="191"/>
      <c r="K242" s="191"/>
      <c r="L242" s="191"/>
      <c r="M242" s="191"/>
      <c r="N242" s="191"/>
      <c r="O242" s="191"/>
      <c r="P242" s="191"/>
      <c r="Q242" s="27"/>
      <c r="R242" s="30"/>
    </row>
    <row r="243" spans="2:18" ht="13.15" customHeight="1" x14ac:dyDescent="0.2">
      <c r="B243" s="26"/>
      <c r="C243" s="1037"/>
      <c r="D243" s="1000"/>
      <c r="E243" s="1037"/>
      <c r="F243" s="1037"/>
      <c r="G243" s="1037"/>
      <c r="H243" s="1037"/>
      <c r="I243" s="1184"/>
      <c r="J243" s="1184"/>
      <c r="K243" s="1184"/>
      <c r="L243" s="1184"/>
      <c r="M243" s="1184"/>
      <c r="N243" s="1184"/>
      <c r="O243" s="1184"/>
      <c r="P243" s="1184"/>
      <c r="Q243" s="1037"/>
      <c r="R243" s="539"/>
    </row>
    <row r="244" spans="2:18" ht="13.15" customHeight="1" x14ac:dyDescent="0.2">
      <c r="B244" s="26"/>
      <c r="C244" s="1037"/>
      <c r="D244" s="1049" t="s">
        <v>51</v>
      </c>
      <c r="E244" s="1037"/>
      <c r="F244" s="1148"/>
      <c r="G244" s="1148"/>
      <c r="H244" s="1037"/>
      <c r="I244" s="1184"/>
      <c r="J244" s="1184"/>
      <c r="K244" s="1184"/>
      <c r="L244" s="1184"/>
      <c r="M244" s="1184"/>
      <c r="N244" s="1184"/>
      <c r="O244" s="1184"/>
      <c r="P244" s="1184"/>
      <c r="Q244" s="1037"/>
      <c r="R244" s="539"/>
    </row>
    <row r="245" spans="2:18" ht="13.15" customHeight="1" x14ac:dyDescent="0.2">
      <c r="B245" s="26"/>
      <c r="C245" s="1037"/>
      <c r="D245" s="1148"/>
      <c r="E245" s="1037"/>
      <c r="F245" s="1148"/>
      <c r="G245" s="1148"/>
      <c r="H245" s="1037"/>
      <c r="I245" s="1184"/>
      <c r="J245" s="1184"/>
      <c r="K245" s="1184"/>
      <c r="L245" s="1184"/>
      <c r="M245" s="1184"/>
      <c r="N245" s="1184"/>
      <c r="O245" s="1184"/>
      <c r="P245" s="1184"/>
      <c r="Q245" s="1037"/>
      <c r="R245" s="539"/>
    </row>
    <row r="246" spans="2:18" ht="13.15" customHeight="1" x14ac:dyDescent="0.2">
      <c r="B246" s="26"/>
      <c r="C246" s="1037"/>
      <c r="D246" s="1447" t="str">
        <f>+D44</f>
        <v>Naam SO 1</v>
      </c>
      <c r="E246" s="1037"/>
      <c r="F246" s="1000" t="str">
        <f t="shared" ref="F246:G265" si="18">+F44</f>
        <v>categorie 1</v>
      </c>
      <c r="G246" s="1076" t="str">
        <f t="shared" si="18"/>
        <v>&lt; 8 jr</v>
      </c>
      <c r="H246" s="1037"/>
      <c r="I246" s="1461">
        <v>0</v>
      </c>
      <c r="J246" s="1461">
        <f>ROUND('geg ZO'!I51*VLOOKUP($F246,categorieMat,3,FALSE),0)</f>
        <v>0</v>
      </c>
      <c r="K246" s="1461">
        <f>ROUND('geg ZO'!J51*VLOOKUP($F246,categorieMat,3,FALSE),0)</f>
        <v>0</v>
      </c>
      <c r="L246" s="1461">
        <f>ROUND('geg ZO'!K51*VLOOKUP($F246,categorieMat,3,FALSE),0)</f>
        <v>0</v>
      </c>
      <c r="M246" s="1461">
        <f>ROUND('geg ZO'!L51*VLOOKUP($F246,categorieMat,3,FALSE),0)</f>
        <v>0</v>
      </c>
      <c r="N246" s="1461">
        <f>ROUND('geg ZO'!M51*VLOOKUP($F246,categorieMat,3,FALSE),0)</f>
        <v>0</v>
      </c>
      <c r="O246" s="1461">
        <f>ROUND('geg ZO'!N51*VLOOKUP($F246,categorieMat,3,FALSE),0)</f>
        <v>0</v>
      </c>
      <c r="P246" s="1461">
        <f>ROUND('geg ZO'!O51*VLOOKUP($F246,categorieMat,3,FALSE),0)</f>
        <v>0</v>
      </c>
      <c r="Q246" s="1037"/>
      <c r="R246" s="539"/>
    </row>
    <row r="247" spans="2:18" ht="13.15" customHeight="1" x14ac:dyDescent="0.2">
      <c r="B247" s="26"/>
      <c r="C247" s="1038"/>
      <c r="D247" s="1000" t="s">
        <v>40</v>
      </c>
      <c r="E247" s="1037"/>
      <c r="F247" s="1000" t="str">
        <f t="shared" si="18"/>
        <v>categorie 2</v>
      </c>
      <c r="G247" s="1076" t="str">
        <f t="shared" si="18"/>
        <v>&lt; 8 jr</v>
      </c>
      <c r="H247" s="1037"/>
      <c r="I247" s="1461">
        <v>0</v>
      </c>
      <c r="J247" s="1461">
        <f>ROUND('geg ZO'!I52*VLOOKUP($F247,categorieMat,3,FALSE),0)</f>
        <v>0</v>
      </c>
      <c r="K247" s="1461">
        <f>ROUND('geg ZO'!J52*VLOOKUP($F247,categorieMat,3,FALSE),0)</f>
        <v>0</v>
      </c>
      <c r="L247" s="1461">
        <f>ROUND('geg ZO'!K52*VLOOKUP($F247,categorieMat,3,FALSE),0)</f>
        <v>0</v>
      </c>
      <c r="M247" s="1461">
        <f>ROUND('geg ZO'!L52*VLOOKUP($F247,categorieMat,3,FALSE),0)</f>
        <v>0</v>
      </c>
      <c r="N247" s="1461">
        <f>ROUND('geg ZO'!M52*VLOOKUP($F247,categorieMat,3,FALSE),0)</f>
        <v>0</v>
      </c>
      <c r="O247" s="1461">
        <f>ROUND('geg ZO'!N52*VLOOKUP($F247,categorieMat,3,FALSE),0)</f>
        <v>0</v>
      </c>
      <c r="P247" s="1461">
        <f>ROUND('geg ZO'!O52*VLOOKUP($F247,categorieMat,3,FALSE),0)</f>
        <v>0</v>
      </c>
      <c r="Q247" s="1038"/>
      <c r="R247" s="539"/>
    </row>
    <row r="248" spans="2:18" ht="13.15" customHeight="1" x14ac:dyDescent="0.2">
      <c r="B248" s="26"/>
      <c r="C248" s="1037"/>
      <c r="D248" s="1000"/>
      <c r="E248" s="1037"/>
      <c r="F248" s="1000" t="str">
        <f t="shared" si="18"/>
        <v>categorie 3</v>
      </c>
      <c r="G248" s="1076" t="str">
        <f t="shared" si="18"/>
        <v>&lt; 8 jr</v>
      </c>
      <c r="H248" s="1037"/>
      <c r="I248" s="1461">
        <v>0</v>
      </c>
      <c r="J248" s="1461">
        <f>ROUND('geg ZO'!I53*VLOOKUP($F248,categorieMat,3,FALSE),0)</f>
        <v>0</v>
      </c>
      <c r="K248" s="1461">
        <f>ROUND('geg ZO'!J53*VLOOKUP($F248,categorieMat,3,FALSE),0)</f>
        <v>0</v>
      </c>
      <c r="L248" s="1461">
        <f>ROUND('geg ZO'!K53*VLOOKUP($F248,categorieMat,3,FALSE),0)</f>
        <v>0</v>
      </c>
      <c r="M248" s="1461">
        <f>ROUND('geg ZO'!L53*VLOOKUP($F248,categorieMat,3,FALSE),0)</f>
        <v>0</v>
      </c>
      <c r="N248" s="1461">
        <f>ROUND('geg ZO'!M53*VLOOKUP($F248,categorieMat,3,FALSE),0)</f>
        <v>0</v>
      </c>
      <c r="O248" s="1461">
        <f>ROUND('geg ZO'!N53*VLOOKUP($F248,categorieMat,3,FALSE),0)</f>
        <v>0</v>
      </c>
      <c r="P248" s="1461">
        <f>ROUND('geg ZO'!O53*VLOOKUP($F248,categorieMat,3,FALSE),0)</f>
        <v>0</v>
      </c>
      <c r="Q248" s="1037"/>
      <c r="R248" s="539"/>
    </row>
    <row r="249" spans="2:18" ht="13.15" customHeight="1" x14ac:dyDescent="0.2">
      <c r="B249" s="26"/>
      <c r="C249" s="1037"/>
      <c r="D249" s="1000"/>
      <c r="E249" s="1037"/>
      <c r="F249" s="1000" t="str">
        <f t="shared" si="18"/>
        <v>categorie 1</v>
      </c>
      <c r="G249" s="1076" t="str">
        <f t="shared" si="18"/>
        <v>8jr eo</v>
      </c>
      <c r="H249" s="1037"/>
      <c r="I249" s="1461">
        <v>0</v>
      </c>
      <c r="J249" s="1461">
        <f>ROUND('geg ZO'!I54*VLOOKUP($F249,categorieMat8jreo,3,FALSE),0)</f>
        <v>0</v>
      </c>
      <c r="K249" s="1461">
        <f>ROUND('geg ZO'!J54*VLOOKUP($F249,categorieMat8jreo,3,FALSE),0)</f>
        <v>0</v>
      </c>
      <c r="L249" s="1461">
        <f>ROUND('geg ZO'!K54*VLOOKUP($F249,categorieMat8jreo,3,FALSE),0)</f>
        <v>0</v>
      </c>
      <c r="M249" s="1461">
        <f>ROUND('geg ZO'!L54*VLOOKUP($F249,categorieMat8jreo,3,FALSE),0)</f>
        <v>0</v>
      </c>
      <c r="N249" s="1461">
        <f>ROUND('geg ZO'!M54*VLOOKUP($F249,categorieMat8jreo,3,FALSE),0)</f>
        <v>0</v>
      </c>
      <c r="O249" s="1461">
        <f>ROUND('geg ZO'!N54*VLOOKUP($F249,categorieMat8jreo,3,FALSE),0)</f>
        <v>0</v>
      </c>
      <c r="P249" s="1461">
        <f>ROUND('geg ZO'!O54*VLOOKUP($F249,categorieMat8jreo,3,FALSE),0)</f>
        <v>0</v>
      </c>
      <c r="Q249" s="1037"/>
      <c r="R249" s="539"/>
    </row>
    <row r="250" spans="2:18" ht="13.15" customHeight="1" x14ac:dyDescent="0.2">
      <c r="B250" s="26"/>
      <c r="C250" s="1037"/>
      <c r="D250" s="1000"/>
      <c r="E250" s="1037"/>
      <c r="F250" s="1000" t="str">
        <f t="shared" si="18"/>
        <v>categorie 2</v>
      </c>
      <c r="G250" s="1076" t="str">
        <f t="shared" si="18"/>
        <v>8jr eo</v>
      </c>
      <c r="H250" s="1037"/>
      <c r="I250" s="1461">
        <v>0</v>
      </c>
      <c r="J250" s="1461">
        <f>ROUND('geg ZO'!I55*VLOOKUP($F250,categorieMat8jreo,3,FALSE),0)</f>
        <v>0</v>
      </c>
      <c r="K250" s="1461">
        <f>ROUND('geg ZO'!J55*VLOOKUP($F250,categorieMat8jreo,3,FALSE),0)</f>
        <v>0</v>
      </c>
      <c r="L250" s="1461">
        <f>ROUND('geg ZO'!K55*VLOOKUP($F250,categorieMat8jreo,3,FALSE),0)</f>
        <v>0</v>
      </c>
      <c r="M250" s="1461">
        <f>ROUND('geg ZO'!L55*VLOOKUP($F250,categorieMat8jreo,3,FALSE),0)</f>
        <v>0</v>
      </c>
      <c r="N250" s="1461">
        <f>ROUND('geg ZO'!M55*VLOOKUP($F250,categorieMat8jreo,3,FALSE),0)</f>
        <v>0</v>
      </c>
      <c r="O250" s="1461">
        <f>ROUND('geg ZO'!N55*VLOOKUP($F250,categorieMat8jreo,3,FALSE),0)</f>
        <v>0</v>
      </c>
      <c r="P250" s="1461">
        <f>ROUND('geg ZO'!O55*VLOOKUP($F250,categorieMat8jreo,3,FALSE),0)</f>
        <v>0</v>
      </c>
      <c r="Q250" s="1037"/>
      <c r="R250" s="539"/>
    </row>
    <row r="251" spans="2:18" ht="13.15" customHeight="1" x14ac:dyDescent="0.2">
      <c r="B251" s="26"/>
      <c r="C251" s="1037"/>
      <c r="D251" s="1000"/>
      <c r="E251" s="1037"/>
      <c r="F251" s="1000" t="str">
        <f t="shared" si="18"/>
        <v>categorie 3</v>
      </c>
      <c r="G251" s="1076" t="str">
        <f t="shared" si="18"/>
        <v>8jr eo</v>
      </c>
      <c r="H251" s="1037"/>
      <c r="I251" s="1461">
        <v>0</v>
      </c>
      <c r="J251" s="1461">
        <f>ROUND('geg ZO'!I56*VLOOKUP($F251,categorieMat8jreo,3,FALSE),0)</f>
        <v>0</v>
      </c>
      <c r="K251" s="1461">
        <f>ROUND('geg ZO'!J56*VLOOKUP($F251,categorieMat8jreo,3,FALSE),0)</f>
        <v>0</v>
      </c>
      <c r="L251" s="1461">
        <f>ROUND('geg ZO'!K56*VLOOKUP($F251,categorieMat8jreo,3,FALSE),0)</f>
        <v>0</v>
      </c>
      <c r="M251" s="1461">
        <f>ROUND('geg ZO'!L56*VLOOKUP($F251,categorieMat8jreo,3,FALSE),0)</f>
        <v>0</v>
      </c>
      <c r="N251" s="1461">
        <f>ROUND('geg ZO'!M56*VLOOKUP($F251,categorieMat8jreo,3,FALSE),0)</f>
        <v>0</v>
      </c>
      <c r="O251" s="1461">
        <f>ROUND('geg ZO'!N56*VLOOKUP($F251,categorieMat8jreo,3,FALSE),0)</f>
        <v>0</v>
      </c>
      <c r="P251" s="1461">
        <f>ROUND('geg ZO'!O56*VLOOKUP($F251,categorieMat8jreo,3,FALSE),0)</f>
        <v>0</v>
      </c>
      <c r="Q251" s="1037"/>
      <c r="R251" s="539"/>
    </row>
    <row r="252" spans="2:18" ht="13.15" customHeight="1" x14ac:dyDescent="0.2">
      <c r="B252" s="26"/>
      <c r="C252" s="1037"/>
      <c r="D252" s="1447" t="str">
        <f>+D50</f>
        <v>Naam SO 2</v>
      </c>
      <c r="E252" s="1037"/>
      <c r="F252" s="1000" t="str">
        <f t="shared" si="18"/>
        <v>categorie 1</v>
      </c>
      <c r="G252" s="1076" t="str">
        <f t="shared" si="18"/>
        <v>&lt; 8 jr</v>
      </c>
      <c r="H252" s="1037"/>
      <c r="I252" s="1461">
        <v>0</v>
      </c>
      <c r="J252" s="1461">
        <f>ROUND('geg ZO'!I59*VLOOKUP($F252,categorieMat,3,FALSE),0)</f>
        <v>0</v>
      </c>
      <c r="K252" s="1461">
        <f>ROUND('geg ZO'!J59*VLOOKUP($F252,categorieMat,3,FALSE),0)</f>
        <v>0</v>
      </c>
      <c r="L252" s="1461">
        <f>ROUND('geg ZO'!K59*VLOOKUP($F252,categorieMat,3,FALSE),0)</f>
        <v>0</v>
      </c>
      <c r="M252" s="1461">
        <f>ROUND('geg ZO'!L59*VLOOKUP($F252,categorieMat,3,FALSE),0)</f>
        <v>0</v>
      </c>
      <c r="N252" s="1461">
        <f>ROUND('geg ZO'!M59*VLOOKUP($F252,categorieMat,3,FALSE),0)</f>
        <v>0</v>
      </c>
      <c r="O252" s="1461">
        <f>ROUND('geg ZO'!N59*VLOOKUP($F252,categorieMat,3,FALSE),0)</f>
        <v>0</v>
      </c>
      <c r="P252" s="1461">
        <f>ROUND('geg ZO'!O59*VLOOKUP($F252,categorieMat,3,FALSE),0)</f>
        <v>0</v>
      </c>
      <c r="Q252" s="1037"/>
      <c r="R252" s="539"/>
    </row>
    <row r="253" spans="2:18" ht="13.15" customHeight="1" x14ac:dyDescent="0.2">
      <c r="B253" s="26"/>
      <c r="C253" s="1037"/>
      <c r="D253" s="1000" t="s">
        <v>40</v>
      </c>
      <c r="E253" s="1037"/>
      <c r="F253" s="1000" t="str">
        <f t="shared" si="18"/>
        <v>categorie 2</v>
      </c>
      <c r="G253" s="1076" t="str">
        <f t="shared" si="18"/>
        <v>&lt; 8 jr</v>
      </c>
      <c r="H253" s="1037"/>
      <c r="I253" s="1461">
        <v>0</v>
      </c>
      <c r="J253" s="1461">
        <f>ROUND('geg ZO'!I60*VLOOKUP($F253,categorieMat,3,FALSE),0)</f>
        <v>0</v>
      </c>
      <c r="K253" s="1461">
        <f>ROUND('geg ZO'!J60*VLOOKUP($F253,categorieMat,3,FALSE),0)</f>
        <v>0</v>
      </c>
      <c r="L253" s="1461">
        <f>ROUND('geg ZO'!K60*VLOOKUP($F253,categorieMat,3,FALSE),0)</f>
        <v>0</v>
      </c>
      <c r="M253" s="1461">
        <f>ROUND('geg ZO'!L60*VLOOKUP($F253,categorieMat,3,FALSE),0)</f>
        <v>0</v>
      </c>
      <c r="N253" s="1461">
        <f>ROUND('geg ZO'!M60*VLOOKUP($F253,categorieMat,3,FALSE),0)</f>
        <v>0</v>
      </c>
      <c r="O253" s="1461">
        <f>ROUND('geg ZO'!N60*VLOOKUP($F253,categorieMat,3,FALSE),0)</f>
        <v>0</v>
      </c>
      <c r="P253" s="1461">
        <f>ROUND('geg ZO'!O60*VLOOKUP($F253,categorieMat,3,FALSE),0)</f>
        <v>0</v>
      </c>
      <c r="Q253" s="1037"/>
      <c r="R253" s="539"/>
    </row>
    <row r="254" spans="2:18" ht="13.15" customHeight="1" x14ac:dyDescent="0.2">
      <c r="B254" s="26"/>
      <c r="C254" s="1037"/>
      <c r="D254" s="1000"/>
      <c r="E254" s="1037"/>
      <c r="F254" s="1000" t="str">
        <f t="shared" si="18"/>
        <v>categorie 3</v>
      </c>
      <c r="G254" s="1076" t="str">
        <f t="shared" si="18"/>
        <v>&lt; 8 jr</v>
      </c>
      <c r="H254" s="1037"/>
      <c r="I254" s="1461">
        <v>0</v>
      </c>
      <c r="J254" s="1461">
        <f>ROUND('geg ZO'!I61*VLOOKUP($F254,categorieMat,3,FALSE),0)</f>
        <v>0</v>
      </c>
      <c r="K254" s="1461">
        <f>ROUND('geg ZO'!J61*VLOOKUP($F254,categorieMat,3,FALSE),0)</f>
        <v>0</v>
      </c>
      <c r="L254" s="1461">
        <f>ROUND('geg ZO'!K61*VLOOKUP($F254,categorieMat,3,FALSE),0)</f>
        <v>0</v>
      </c>
      <c r="M254" s="1461">
        <f>ROUND('geg ZO'!L61*VLOOKUP($F254,categorieMat,3,FALSE),0)</f>
        <v>0</v>
      </c>
      <c r="N254" s="1461">
        <f>ROUND('geg ZO'!M61*VLOOKUP($F254,categorieMat,3,FALSE),0)</f>
        <v>0</v>
      </c>
      <c r="O254" s="1461">
        <f>ROUND('geg ZO'!N61*VLOOKUP($F254,categorieMat,3,FALSE),0)</f>
        <v>0</v>
      </c>
      <c r="P254" s="1461">
        <f>ROUND('geg ZO'!O61*VLOOKUP($F254,categorieMat,3,FALSE),0)</f>
        <v>0</v>
      </c>
      <c r="Q254" s="1037"/>
      <c r="R254" s="539"/>
    </row>
    <row r="255" spans="2:18" ht="13.15" customHeight="1" x14ac:dyDescent="0.2">
      <c r="B255" s="26"/>
      <c r="C255" s="1037"/>
      <c r="D255" s="1000"/>
      <c r="E255" s="1037"/>
      <c r="F255" s="1000" t="str">
        <f t="shared" si="18"/>
        <v>categorie 1</v>
      </c>
      <c r="G255" s="1076" t="str">
        <f t="shared" si="18"/>
        <v>8jr eo</v>
      </c>
      <c r="H255" s="1037"/>
      <c r="I255" s="1461">
        <v>0</v>
      </c>
      <c r="J255" s="1461">
        <f>ROUND('geg ZO'!I62*VLOOKUP($F255,categorieMat8jreo,3,FALSE),0)</f>
        <v>0</v>
      </c>
      <c r="K255" s="1461">
        <f>ROUND('geg ZO'!J62*VLOOKUP($F255,categorieMat8jreo,3,FALSE),0)</f>
        <v>0</v>
      </c>
      <c r="L255" s="1461">
        <f>ROUND('geg ZO'!K62*VLOOKUP($F255,categorieMat8jreo,3,FALSE),0)</f>
        <v>0</v>
      </c>
      <c r="M255" s="1461">
        <f>ROUND('geg ZO'!L62*VLOOKUP($F255,categorieMat8jreo,3,FALSE),0)</f>
        <v>0</v>
      </c>
      <c r="N255" s="1461">
        <f>ROUND('geg ZO'!M62*VLOOKUP($F255,categorieMat8jreo,3,FALSE),0)</f>
        <v>0</v>
      </c>
      <c r="O255" s="1461">
        <f>ROUND('geg ZO'!N62*VLOOKUP($F255,categorieMat8jreo,3,FALSE),0)</f>
        <v>0</v>
      </c>
      <c r="P255" s="1461">
        <f>ROUND('geg ZO'!O62*VLOOKUP($F255,categorieMat8jreo,3,FALSE),0)</f>
        <v>0</v>
      </c>
      <c r="Q255" s="1037"/>
      <c r="R255" s="539"/>
    </row>
    <row r="256" spans="2:18" ht="13.15" customHeight="1" x14ac:dyDescent="0.2">
      <c r="B256" s="26"/>
      <c r="C256" s="1037"/>
      <c r="D256" s="1000"/>
      <c r="E256" s="1037"/>
      <c r="F256" s="1000" t="str">
        <f t="shared" si="18"/>
        <v>categorie 2</v>
      </c>
      <c r="G256" s="1076" t="str">
        <f t="shared" si="18"/>
        <v>8jr eo</v>
      </c>
      <c r="H256" s="1037"/>
      <c r="I256" s="1461">
        <v>0</v>
      </c>
      <c r="J256" s="1461">
        <f>ROUND('geg ZO'!I63*VLOOKUP($F256,categorieMat8jreo,3,FALSE),0)</f>
        <v>0</v>
      </c>
      <c r="K256" s="1461">
        <f>ROUND('geg ZO'!J63*VLOOKUP($F256,categorieMat8jreo,3,FALSE),0)</f>
        <v>0</v>
      </c>
      <c r="L256" s="1461">
        <f>ROUND('geg ZO'!K63*VLOOKUP($F256,categorieMat8jreo,3,FALSE),0)</f>
        <v>0</v>
      </c>
      <c r="M256" s="1461">
        <f>ROUND('geg ZO'!L63*VLOOKUP($F256,categorieMat8jreo,3,FALSE),0)</f>
        <v>0</v>
      </c>
      <c r="N256" s="1461">
        <f>ROUND('geg ZO'!M63*VLOOKUP($F256,categorieMat8jreo,3,FALSE),0)</f>
        <v>0</v>
      </c>
      <c r="O256" s="1461">
        <f>ROUND('geg ZO'!N63*VLOOKUP($F256,categorieMat8jreo,3,FALSE),0)</f>
        <v>0</v>
      </c>
      <c r="P256" s="1461">
        <f>ROUND('geg ZO'!O63*VLOOKUP($F256,categorieMat8jreo,3,FALSE),0)</f>
        <v>0</v>
      </c>
      <c r="Q256" s="1037"/>
      <c r="R256" s="539"/>
    </row>
    <row r="257" spans="2:18" ht="13.15" customHeight="1" x14ac:dyDescent="0.2">
      <c r="B257" s="26"/>
      <c r="C257" s="1037"/>
      <c r="D257" s="1000"/>
      <c r="E257" s="1037"/>
      <c r="F257" s="1000" t="str">
        <f t="shared" si="18"/>
        <v>categorie 3</v>
      </c>
      <c r="G257" s="1076" t="str">
        <f t="shared" si="18"/>
        <v>8jr eo</v>
      </c>
      <c r="H257" s="1037"/>
      <c r="I257" s="1461">
        <v>0</v>
      </c>
      <c r="J257" s="1461">
        <f>ROUND('geg ZO'!I64*VLOOKUP($F257,categorieMat8jreo,3,FALSE),0)</f>
        <v>0</v>
      </c>
      <c r="K257" s="1461">
        <f>ROUND('geg ZO'!J64*VLOOKUP($F257,categorieMat8jreo,3,FALSE),0)</f>
        <v>0</v>
      </c>
      <c r="L257" s="1461">
        <f>ROUND('geg ZO'!K64*VLOOKUP($F257,categorieMat8jreo,3,FALSE),0)</f>
        <v>0</v>
      </c>
      <c r="M257" s="1461">
        <f>ROUND('geg ZO'!L64*VLOOKUP($F257,categorieMat8jreo,3,FALSE),0)</f>
        <v>0</v>
      </c>
      <c r="N257" s="1461">
        <f>ROUND('geg ZO'!M64*VLOOKUP($F257,categorieMat8jreo,3,FALSE),0)</f>
        <v>0</v>
      </c>
      <c r="O257" s="1461">
        <f>ROUND('geg ZO'!N64*VLOOKUP($F257,categorieMat8jreo,3,FALSE),0)</f>
        <v>0</v>
      </c>
      <c r="P257" s="1461">
        <f>ROUND('geg ZO'!O64*VLOOKUP($F257,categorieMat8jreo,3,FALSE),0)</f>
        <v>0</v>
      </c>
      <c r="Q257" s="1037"/>
      <c r="R257" s="539"/>
    </row>
    <row r="258" spans="2:18" ht="13.15" customHeight="1" x14ac:dyDescent="0.2">
      <c r="B258" s="26"/>
      <c r="C258" s="1038"/>
      <c r="D258" s="1447" t="str">
        <f>+D56</f>
        <v>Naam SO 3</v>
      </c>
      <c r="E258" s="1037"/>
      <c r="F258" s="1000" t="str">
        <f t="shared" si="18"/>
        <v>categorie 1</v>
      </c>
      <c r="G258" s="1076" t="str">
        <f t="shared" si="18"/>
        <v>&lt; 8 jr</v>
      </c>
      <c r="H258" s="1037"/>
      <c r="I258" s="1461">
        <v>0</v>
      </c>
      <c r="J258" s="1461">
        <f>ROUND('geg ZO'!I67*VLOOKUP($F258,categorieMat,3,FALSE),0)</f>
        <v>0</v>
      </c>
      <c r="K258" s="1461">
        <f>ROUND('geg ZO'!J67*VLOOKUP($F258,categorieMat,3,FALSE),0)</f>
        <v>0</v>
      </c>
      <c r="L258" s="1461">
        <f>ROUND('geg ZO'!K67*VLOOKUP($F258,categorieMat,3,FALSE),0)</f>
        <v>0</v>
      </c>
      <c r="M258" s="1461">
        <f>ROUND('geg ZO'!L67*VLOOKUP($F258,categorieMat,3,FALSE),0)</f>
        <v>0</v>
      </c>
      <c r="N258" s="1461">
        <f>ROUND('geg ZO'!M67*VLOOKUP($F258,categorieMat,3,FALSE),0)</f>
        <v>0</v>
      </c>
      <c r="O258" s="1461">
        <f>ROUND('geg ZO'!N67*VLOOKUP($F258,categorieMat,3,FALSE),0)</f>
        <v>0</v>
      </c>
      <c r="P258" s="1461">
        <f>ROUND('geg ZO'!O67*VLOOKUP($F258,categorieMat,3,FALSE),0)</f>
        <v>0</v>
      </c>
      <c r="Q258" s="1038"/>
      <c r="R258" s="539"/>
    </row>
    <row r="259" spans="2:18" ht="13.15" customHeight="1" x14ac:dyDescent="0.2">
      <c r="B259" s="26"/>
      <c r="C259" s="1037"/>
      <c r="D259" s="1000" t="s">
        <v>40</v>
      </c>
      <c r="E259" s="1037"/>
      <c r="F259" s="1000" t="str">
        <f t="shared" si="18"/>
        <v>categorie 2</v>
      </c>
      <c r="G259" s="1076" t="str">
        <f t="shared" si="18"/>
        <v>&lt; 8 jr</v>
      </c>
      <c r="H259" s="1037"/>
      <c r="I259" s="1461">
        <v>0</v>
      </c>
      <c r="J259" s="1461">
        <f>ROUND('geg ZO'!I68*VLOOKUP($F259,categorieMat,3,FALSE),0)</f>
        <v>0</v>
      </c>
      <c r="K259" s="1461">
        <f>ROUND('geg ZO'!J68*VLOOKUP($F259,categorieMat,3,FALSE),0)</f>
        <v>0</v>
      </c>
      <c r="L259" s="1461">
        <f>ROUND('geg ZO'!K68*VLOOKUP($F259,categorieMat,3,FALSE),0)</f>
        <v>0</v>
      </c>
      <c r="M259" s="1461">
        <f>ROUND('geg ZO'!L68*VLOOKUP($F259,categorieMat,3,FALSE),0)</f>
        <v>0</v>
      </c>
      <c r="N259" s="1461">
        <f>ROUND('geg ZO'!M68*VLOOKUP($F259,categorieMat,3,FALSE),0)</f>
        <v>0</v>
      </c>
      <c r="O259" s="1461">
        <f>ROUND('geg ZO'!N68*VLOOKUP($F259,categorieMat,3,FALSE),0)</f>
        <v>0</v>
      </c>
      <c r="P259" s="1461">
        <f>ROUND('geg ZO'!O68*VLOOKUP($F259,categorieMat,3,FALSE),0)</f>
        <v>0</v>
      </c>
      <c r="Q259" s="1037"/>
      <c r="R259" s="539"/>
    </row>
    <row r="260" spans="2:18" ht="13.15" customHeight="1" x14ac:dyDescent="0.2">
      <c r="B260" s="26"/>
      <c r="C260" s="1037"/>
      <c r="D260" s="1000"/>
      <c r="E260" s="1037"/>
      <c r="F260" s="1000" t="str">
        <f t="shared" si="18"/>
        <v>categorie 3</v>
      </c>
      <c r="G260" s="1076" t="str">
        <f t="shared" si="18"/>
        <v>&lt; 8 jr</v>
      </c>
      <c r="H260" s="1037"/>
      <c r="I260" s="1461">
        <v>0</v>
      </c>
      <c r="J260" s="1461">
        <f>ROUND('geg ZO'!I69*VLOOKUP($F260,categorieMat,3,FALSE),0)</f>
        <v>0</v>
      </c>
      <c r="K260" s="1461">
        <f>ROUND('geg ZO'!J69*VLOOKUP($F260,categorieMat,3,FALSE),0)</f>
        <v>0</v>
      </c>
      <c r="L260" s="1461">
        <f>ROUND('geg ZO'!K69*VLOOKUP($F260,categorieMat,3,FALSE),0)</f>
        <v>0</v>
      </c>
      <c r="M260" s="1461">
        <f>ROUND('geg ZO'!L69*VLOOKUP($F260,categorieMat,3,FALSE),0)</f>
        <v>0</v>
      </c>
      <c r="N260" s="1461">
        <f>ROUND('geg ZO'!M69*VLOOKUP($F260,categorieMat,3,FALSE),0)</f>
        <v>0</v>
      </c>
      <c r="O260" s="1461">
        <f>ROUND('geg ZO'!N69*VLOOKUP($F260,categorieMat,3,FALSE),0)</f>
        <v>0</v>
      </c>
      <c r="P260" s="1461">
        <f>ROUND('geg ZO'!O69*VLOOKUP($F260,categorieMat,3,FALSE),0)</f>
        <v>0</v>
      </c>
      <c r="Q260" s="1037"/>
      <c r="R260" s="539"/>
    </row>
    <row r="261" spans="2:18" ht="13.15" customHeight="1" x14ac:dyDescent="0.2">
      <c r="B261" s="26"/>
      <c r="C261" s="1037"/>
      <c r="D261" s="1000"/>
      <c r="E261" s="1037"/>
      <c r="F261" s="1000" t="str">
        <f t="shared" si="18"/>
        <v>categorie 1</v>
      </c>
      <c r="G261" s="1076" t="str">
        <f t="shared" si="18"/>
        <v>8jr eo</v>
      </c>
      <c r="H261" s="1037"/>
      <c r="I261" s="1461">
        <v>0</v>
      </c>
      <c r="J261" s="1461">
        <f>ROUND('geg ZO'!I70*VLOOKUP($F261,categorieMat8jreo,3,FALSE),0)</f>
        <v>0</v>
      </c>
      <c r="K261" s="1461">
        <f>ROUND('geg ZO'!J70*VLOOKUP($F261,categorieMat8jreo,3,FALSE),0)</f>
        <v>0</v>
      </c>
      <c r="L261" s="1461">
        <f>ROUND('geg ZO'!K70*VLOOKUP($F261,categorieMat8jreo,3,FALSE),0)</f>
        <v>0</v>
      </c>
      <c r="M261" s="1461">
        <f>ROUND('geg ZO'!L70*VLOOKUP($F261,categorieMat8jreo,3,FALSE),0)</f>
        <v>0</v>
      </c>
      <c r="N261" s="1461">
        <f>ROUND('geg ZO'!M70*VLOOKUP($F261,categorieMat8jreo,3,FALSE),0)</f>
        <v>0</v>
      </c>
      <c r="O261" s="1461">
        <f>ROUND('geg ZO'!N70*VLOOKUP($F261,categorieMat8jreo,3,FALSE),0)</f>
        <v>0</v>
      </c>
      <c r="P261" s="1461">
        <f>ROUND('geg ZO'!O70*VLOOKUP($F261,categorieMat8jreo,3,FALSE),0)</f>
        <v>0</v>
      </c>
      <c r="Q261" s="1037"/>
      <c r="R261" s="539"/>
    </row>
    <row r="262" spans="2:18" ht="13.15" customHeight="1" x14ac:dyDescent="0.2">
      <c r="B262" s="26"/>
      <c r="C262" s="1037"/>
      <c r="D262" s="1000"/>
      <c r="E262" s="1037"/>
      <c r="F262" s="1000" t="str">
        <f t="shared" si="18"/>
        <v>categorie 2</v>
      </c>
      <c r="G262" s="1076" t="str">
        <f t="shared" si="18"/>
        <v>8jr eo</v>
      </c>
      <c r="H262" s="1037"/>
      <c r="I262" s="1461">
        <v>0</v>
      </c>
      <c r="J262" s="1461">
        <f>ROUND('geg ZO'!I71*VLOOKUP($F262,categorieMat8jreo,3,FALSE),0)</f>
        <v>0</v>
      </c>
      <c r="K262" s="1461">
        <f>ROUND('geg ZO'!J71*VLOOKUP($F262,categorieMat8jreo,3,FALSE),0)</f>
        <v>0</v>
      </c>
      <c r="L262" s="1461">
        <f>ROUND('geg ZO'!K71*VLOOKUP($F262,categorieMat8jreo,3,FALSE),0)</f>
        <v>0</v>
      </c>
      <c r="M262" s="1461">
        <f>ROUND('geg ZO'!L71*VLOOKUP($F262,categorieMat8jreo,3,FALSE),0)</f>
        <v>0</v>
      </c>
      <c r="N262" s="1461">
        <f>ROUND('geg ZO'!M71*VLOOKUP($F262,categorieMat8jreo,3,FALSE),0)</f>
        <v>0</v>
      </c>
      <c r="O262" s="1461">
        <f>ROUND('geg ZO'!N71*VLOOKUP($F262,categorieMat8jreo,3,FALSE),0)</f>
        <v>0</v>
      </c>
      <c r="P262" s="1461">
        <f>ROUND('geg ZO'!O71*VLOOKUP($F262,categorieMat8jreo,3,FALSE),0)</f>
        <v>0</v>
      </c>
      <c r="Q262" s="1037"/>
      <c r="R262" s="539"/>
    </row>
    <row r="263" spans="2:18" ht="13.15" customHeight="1" x14ac:dyDescent="0.2">
      <c r="B263" s="26"/>
      <c r="C263" s="1037"/>
      <c r="D263" s="1000"/>
      <c r="E263" s="1037"/>
      <c r="F263" s="1000" t="str">
        <f t="shared" si="18"/>
        <v>categorie 3</v>
      </c>
      <c r="G263" s="1076" t="str">
        <f t="shared" si="18"/>
        <v>8jr eo</v>
      </c>
      <c r="H263" s="1037"/>
      <c r="I263" s="1461">
        <v>0</v>
      </c>
      <c r="J263" s="1461">
        <f>ROUND('geg ZO'!I72*VLOOKUP($F263,categorieMat8jreo,3,FALSE),0)</f>
        <v>0</v>
      </c>
      <c r="K263" s="1461">
        <f>ROUND('geg ZO'!J72*VLOOKUP($F263,categorieMat8jreo,3,FALSE),0)</f>
        <v>0</v>
      </c>
      <c r="L263" s="1461">
        <f>ROUND('geg ZO'!K72*VLOOKUP($F263,categorieMat8jreo,3,FALSE),0)</f>
        <v>0</v>
      </c>
      <c r="M263" s="1461">
        <f>ROUND('geg ZO'!L72*VLOOKUP($F263,categorieMat8jreo,3,FALSE),0)</f>
        <v>0</v>
      </c>
      <c r="N263" s="1461">
        <f>ROUND('geg ZO'!M72*VLOOKUP($F263,categorieMat8jreo,3,FALSE),0)</f>
        <v>0</v>
      </c>
      <c r="O263" s="1461">
        <f>ROUND('geg ZO'!N72*VLOOKUP($F263,categorieMat8jreo,3,FALSE),0)</f>
        <v>0</v>
      </c>
      <c r="P263" s="1461">
        <f>ROUND('geg ZO'!O72*VLOOKUP($F263,categorieMat8jreo,3,FALSE),0)</f>
        <v>0</v>
      </c>
      <c r="Q263" s="1037"/>
      <c r="R263" s="539"/>
    </row>
    <row r="264" spans="2:18" ht="13.15" customHeight="1" x14ac:dyDescent="0.2">
      <c r="B264" s="26"/>
      <c r="C264" s="1037"/>
      <c r="D264" s="1447" t="str">
        <f>+D62</f>
        <v>Naam SO 4</v>
      </c>
      <c r="E264" s="1037"/>
      <c r="F264" s="1000" t="str">
        <f t="shared" si="18"/>
        <v>categorie 1</v>
      </c>
      <c r="G264" s="1076" t="str">
        <f t="shared" si="18"/>
        <v>&lt; 8 jr</v>
      </c>
      <c r="H264" s="1037"/>
      <c r="I264" s="1461">
        <v>0</v>
      </c>
      <c r="J264" s="1461">
        <f>ROUND('geg ZO'!I75*VLOOKUP($F264,categorieMat,3,FALSE),0)</f>
        <v>0</v>
      </c>
      <c r="K264" s="1461">
        <f>ROUND('geg ZO'!J75*VLOOKUP($F264,categorieMat,3,FALSE),0)</f>
        <v>0</v>
      </c>
      <c r="L264" s="1461">
        <f>ROUND('geg ZO'!K75*VLOOKUP($F264,categorieMat,3,FALSE),0)</f>
        <v>0</v>
      </c>
      <c r="M264" s="1461">
        <f>ROUND('geg ZO'!L75*VLOOKUP($F264,categorieMat,3,FALSE),0)</f>
        <v>0</v>
      </c>
      <c r="N264" s="1461">
        <f>ROUND('geg ZO'!M75*VLOOKUP($F264,categorieMat,3,FALSE),0)</f>
        <v>0</v>
      </c>
      <c r="O264" s="1461">
        <f>ROUND('geg ZO'!N75*VLOOKUP($F264,categorieMat,3,FALSE),0)</f>
        <v>0</v>
      </c>
      <c r="P264" s="1461">
        <f>ROUND('geg ZO'!O75*VLOOKUP($F264,categorieMat,3,FALSE),0)</f>
        <v>0</v>
      </c>
      <c r="Q264" s="1037"/>
      <c r="R264" s="539"/>
    </row>
    <row r="265" spans="2:18" ht="13.15" customHeight="1" x14ac:dyDescent="0.2">
      <c r="B265" s="26"/>
      <c r="C265" s="1037"/>
      <c r="D265" s="1000" t="s">
        <v>40</v>
      </c>
      <c r="E265" s="1037"/>
      <c r="F265" s="1000" t="str">
        <f t="shared" si="18"/>
        <v>categorie 2</v>
      </c>
      <c r="G265" s="1076" t="str">
        <f t="shared" si="18"/>
        <v>&lt; 8 jr</v>
      </c>
      <c r="H265" s="1037"/>
      <c r="I265" s="1461">
        <v>0</v>
      </c>
      <c r="J265" s="1461">
        <f>ROUND('geg ZO'!I76*VLOOKUP($F265,categorieMat,3,FALSE),0)</f>
        <v>0</v>
      </c>
      <c r="K265" s="1461">
        <f>ROUND('geg ZO'!J76*VLOOKUP($F265,categorieMat,3,FALSE),0)</f>
        <v>0</v>
      </c>
      <c r="L265" s="1461">
        <f>ROUND('geg ZO'!K76*VLOOKUP($F265,categorieMat,3,FALSE),0)</f>
        <v>0</v>
      </c>
      <c r="M265" s="1461">
        <f>ROUND('geg ZO'!L76*VLOOKUP($F265,categorieMat,3,FALSE),0)</f>
        <v>0</v>
      </c>
      <c r="N265" s="1461">
        <f>ROUND('geg ZO'!M76*VLOOKUP($F265,categorieMat,3,FALSE),0)</f>
        <v>0</v>
      </c>
      <c r="O265" s="1461">
        <f>ROUND('geg ZO'!N76*VLOOKUP($F265,categorieMat,3,FALSE),0)</f>
        <v>0</v>
      </c>
      <c r="P265" s="1461">
        <f>ROUND('geg ZO'!O76*VLOOKUP($F265,categorieMat,3,FALSE),0)</f>
        <v>0</v>
      </c>
      <c r="Q265" s="1037"/>
      <c r="R265" s="539"/>
    </row>
    <row r="266" spans="2:18" ht="13.15" customHeight="1" x14ac:dyDescent="0.2">
      <c r="B266" s="26"/>
      <c r="C266" s="1037"/>
      <c r="D266" s="1000"/>
      <c r="E266" s="1037"/>
      <c r="F266" s="1000" t="str">
        <f t="shared" ref="F266:G285" si="19">+F64</f>
        <v>categorie 3</v>
      </c>
      <c r="G266" s="1076" t="str">
        <f t="shared" si="19"/>
        <v>&lt; 8 jr</v>
      </c>
      <c r="H266" s="1037"/>
      <c r="I266" s="1461">
        <v>0</v>
      </c>
      <c r="J266" s="1461">
        <f>ROUND('geg ZO'!I77*VLOOKUP($F266,categorieMat,3,FALSE),0)</f>
        <v>0</v>
      </c>
      <c r="K266" s="1461">
        <f>ROUND('geg ZO'!J77*VLOOKUP($F266,categorieMat,3,FALSE),0)</f>
        <v>0</v>
      </c>
      <c r="L266" s="1461">
        <f>ROUND('geg ZO'!K77*VLOOKUP($F266,categorieMat,3,FALSE),0)</f>
        <v>0</v>
      </c>
      <c r="M266" s="1461">
        <f>ROUND('geg ZO'!L77*VLOOKUP($F266,categorieMat,3,FALSE),0)</f>
        <v>0</v>
      </c>
      <c r="N266" s="1461">
        <f>ROUND('geg ZO'!M77*VLOOKUP($F266,categorieMat,3,FALSE),0)</f>
        <v>0</v>
      </c>
      <c r="O266" s="1461">
        <f>ROUND('geg ZO'!N77*VLOOKUP($F266,categorieMat,3,FALSE),0)</f>
        <v>0</v>
      </c>
      <c r="P266" s="1461">
        <f>ROUND('geg ZO'!O77*VLOOKUP($F266,categorieMat,3,FALSE),0)</f>
        <v>0</v>
      </c>
      <c r="Q266" s="1037"/>
      <c r="R266" s="539"/>
    </row>
    <row r="267" spans="2:18" ht="13.15" customHeight="1" x14ac:dyDescent="0.2">
      <c r="B267" s="26"/>
      <c r="C267" s="1037"/>
      <c r="D267" s="1000"/>
      <c r="E267" s="1037"/>
      <c r="F267" s="1000" t="str">
        <f t="shared" si="19"/>
        <v>categorie 1</v>
      </c>
      <c r="G267" s="1076" t="str">
        <f t="shared" si="19"/>
        <v>8jr eo</v>
      </c>
      <c r="H267" s="1037"/>
      <c r="I267" s="1461">
        <v>0</v>
      </c>
      <c r="J267" s="1461">
        <f>ROUND('geg ZO'!I78*VLOOKUP($F267,categorieMat8jreo,3,FALSE),0)</f>
        <v>0</v>
      </c>
      <c r="K267" s="1461">
        <f>ROUND('geg ZO'!J78*VLOOKUP($F267,categorieMat8jreo,3,FALSE),0)</f>
        <v>0</v>
      </c>
      <c r="L267" s="1461">
        <f>ROUND('geg ZO'!K78*VLOOKUP($F267,categorieMat8jreo,3,FALSE),0)</f>
        <v>0</v>
      </c>
      <c r="M267" s="1461">
        <f>ROUND('geg ZO'!L78*VLOOKUP($F267,categorieMat8jreo,3,FALSE),0)</f>
        <v>0</v>
      </c>
      <c r="N267" s="1461">
        <f>ROUND('geg ZO'!M78*VLOOKUP($F267,categorieMat8jreo,3,FALSE),0)</f>
        <v>0</v>
      </c>
      <c r="O267" s="1461">
        <f>ROUND('geg ZO'!N78*VLOOKUP($F267,categorieMat8jreo,3,FALSE),0)</f>
        <v>0</v>
      </c>
      <c r="P267" s="1461">
        <f>ROUND('geg ZO'!O78*VLOOKUP($F267,categorieMat8jreo,3,FALSE),0)</f>
        <v>0</v>
      </c>
      <c r="Q267" s="1037"/>
      <c r="R267" s="539"/>
    </row>
    <row r="268" spans="2:18" ht="13.15" customHeight="1" x14ac:dyDescent="0.2">
      <c r="B268" s="26"/>
      <c r="C268" s="1037"/>
      <c r="D268" s="1000"/>
      <c r="E268" s="1037"/>
      <c r="F268" s="1000" t="str">
        <f t="shared" si="19"/>
        <v>categorie 2</v>
      </c>
      <c r="G268" s="1076" t="str">
        <f t="shared" si="19"/>
        <v>8jr eo</v>
      </c>
      <c r="H268" s="1037"/>
      <c r="I268" s="1461">
        <v>0</v>
      </c>
      <c r="J268" s="1461">
        <f>ROUND('geg ZO'!I79*VLOOKUP($F268,categorieMat8jreo,3,FALSE),0)</f>
        <v>0</v>
      </c>
      <c r="K268" s="1461">
        <f>ROUND('geg ZO'!J79*VLOOKUP($F268,categorieMat8jreo,3,FALSE),0)</f>
        <v>0</v>
      </c>
      <c r="L268" s="1461">
        <f>ROUND('geg ZO'!K79*VLOOKUP($F268,categorieMat8jreo,3,FALSE),0)</f>
        <v>0</v>
      </c>
      <c r="M268" s="1461">
        <f>ROUND('geg ZO'!L79*VLOOKUP($F268,categorieMat8jreo,3,FALSE),0)</f>
        <v>0</v>
      </c>
      <c r="N268" s="1461">
        <f>ROUND('geg ZO'!M79*VLOOKUP($F268,categorieMat8jreo,3,FALSE),0)</f>
        <v>0</v>
      </c>
      <c r="O268" s="1461">
        <f>ROUND('geg ZO'!N79*VLOOKUP($F268,categorieMat8jreo,3,FALSE),0)</f>
        <v>0</v>
      </c>
      <c r="P268" s="1461">
        <f>ROUND('geg ZO'!O79*VLOOKUP($F268,categorieMat8jreo,3,FALSE),0)</f>
        <v>0</v>
      </c>
      <c r="Q268" s="1037"/>
      <c r="R268" s="539"/>
    </row>
    <row r="269" spans="2:18" ht="13.15" customHeight="1" x14ac:dyDescent="0.2">
      <c r="B269" s="26"/>
      <c r="C269" s="1037"/>
      <c r="D269" s="1000"/>
      <c r="E269" s="1037"/>
      <c r="F269" s="1000" t="str">
        <f t="shared" si="19"/>
        <v>categorie 3</v>
      </c>
      <c r="G269" s="1076" t="str">
        <f t="shared" si="19"/>
        <v>8jr eo</v>
      </c>
      <c r="H269" s="1037"/>
      <c r="I269" s="1461">
        <v>0</v>
      </c>
      <c r="J269" s="1461">
        <f>ROUND('geg ZO'!I80*VLOOKUP($F269,categorieMat8jreo,3,FALSE),0)</f>
        <v>0</v>
      </c>
      <c r="K269" s="1461">
        <f>ROUND('geg ZO'!J80*VLOOKUP($F269,categorieMat8jreo,3,FALSE),0)</f>
        <v>0</v>
      </c>
      <c r="L269" s="1461">
        <f>ROUND('geg ZO'!K80*VLOOKUP($F269,categorieMat8jreo,3,FALSE),0)</f>
        <v>0</v>
      </c>
      <c r="M269" s="1461">
        <f>ROUND('geg ZO'!L80*VLOOKUP($F269,categorieMat8jreo,3,FALSE),0)</f>
        <v>0</v>
      </c>
      <c r="N269" s="1461">
        <f>ROUND('geg ZO'!M80*VLOOKUP($F269,categorieMat8jreo,3,FALSE),0)</f>
        <v>0</v>
      </c>
      <c r="O269" s="1461">
        <f>ROUND('geg ZO'!N80*VLOOKUP($F269,categorieMat8jreo,3,FALSE),0)</f>
        <v>0</v>
      </c>
      <c r="P269" s="1461">
        <f>ROUND('geg ZO'!O80*VLOOKUP($F269,categorieMat8jreo,3,FALSE),0)</f>
        <v>0</v>
      </c>
      <c r="Q269" s="1037"/>
      <c r="R269" s="539"/>
    </row>
    <row r="270" spans="2:18" ht="13.15" customHeight="1" x14ac:dyDescent="0.2">
      <c r="B270" s="26"/>
      <c r="C270" s="1037"/>
      <c r="D270" s="1447" t="str">
        <f>+D68</f>
        <v>Naam SO 5</v>
      </c>
      <c r="E270" s="1037"/>
      <c r="F270" s="1000" t="str">
        <f t="shared" si="19"/>
        <v>categorie 1</v>
      </c>
      <c r="G270" s="1076" t="str">
        <f t="shared" si="19"/>
        <v>&lt; 8 jr</v>
      </c>
      <c r="H270" s="1037"/>
      <c r="I270" s="1461">
        <v>0</v>
      </c>
      <c r="J270" s="1461">
        <f>ROUND('geg ZO'!I83*VLOOKUP($F270,categorieMat,3,FALSE),0)</f>
        <v>0</v>
      </c>
      <c r="K270" s="1461">
        <f>ROUND('geg ZO'!J83*VLOOKUP($F270,categorieMat,3,FALSE),0)</f>
        <v>0</v>
      </c>
      <c r="L270" s="1461">
        <f>ROUND('geg ZO'!K83*VLOOKUP($F270,categorieMat,3,FALSE),0)</f>
        <v>0</v>
      </c>
      <c r="M270" s="1461">
        <f>ROUND('geg ZO'!L83*VLOOKUP($F270,categorieMat,3,FALSE),0)</f>
        <v>0</v>
      </c>
      <c r="N270" s="1461">
        <f>ROUND('geg ZO'!M83*VLOOKUP($F270,categorieMat,3,FALSE),0)</f>
        <v>0</v>
      </c>
      <c r="O270" s="1461">
        <f>ROUND('geg ZO'!N83*VLOOKUP($F270,categorieMat,3,FALSE),0)</f>
        <v>0</v>
      </c>
      <c r="P270" s="1461">
        <f>ROUND('geg ZO'!O83*VLOOKUP($F270,categorieMat,3,FALSE),0)</f>
        <v>0</v>
      </c>
      <c r="Q270" s="1037"/>
      <c r="R270" s="539"/>
    </row>
    <row r="271" spans="2:18" ht="13.15" customHeight="1" x14ac:dyDescent="0.2">
      <c r="B271" s="26"/>
      <c r="C271" s="1037"/>
      <c r="D271" s="1000" t="s">
        <v>40</v>
      </c>
      <c r="E271" s="1037"/>
      <c r="F271" s="1000" t="str">
        <f t="shared" si="19"/>
        <v>categorie 2</v>
      </c>
      <c r="G271" s="1076" t="str">
        <f t="shared" si="19"/>
        <v>&lt; 8 jr</v>
      </c>
      <c r="H271" s="1037"/>
      <c r="I271" s="1461">
        <v>0</v>
      </c>
      <c r="J271" s="1461">
        <f>ROUND('geg ZO'!I84*VLOOKUP($F271,categorieMat,3,FALSE),0)</f>
        <v>0</v>
      </c>
      <c r="K271" s="1461">
        <f>ROUND('geg ZO'!J84*VLOOKUP($F271,categorieMat,3,FALSE),0)</f>
        <v>0</v>
      </c>
      <c r="L271" s="1461">
        <f>ROUND('geg ZO'!K84*VLOOKUP($F271,categorieMat,3,FALSE),0)</f>
        <v>0</v>
      </c>
      <c r="M271" s="1461">
        <f>ROUND('geg ZO'!L84*VLOOKUP($F271,categorieMat,3,FALSE),0)</f>
        <v>0</v>
      </c>
      <c r="N271" s="1461">
        <f>ROUND('geg ZO'!M84*VLOOKUP($F271,categorieMat,3,FALSE),0)</f>
        <v>0</v>
      </c>
      <c r="O271" s="1461">
        <f>ROUND('geg ZO'!N84*VLOOKUP($F271,categorieMat,3,FALSE),0)</f>
        <v>0</v>
      </c>
      <c r="P271" s="1461">
        <f>ROUND('geg ZO'!O84*VLOOKUP($F271,categorieMat,3,FALSE),0)</f>
        <v>0</v>
      </c>
      <c r="Q271" s="1037"/>
      <c r="R271" s="539"/>
    </row>
    <row r="272" spans="2:18" ht="13.15" customHeight="1" x14ac:dyDescent="0.2">
      <c r="B272" s="26"/>
      <c r="C272" s="1037"/>
      <c r="D272" s="1000"/>
      <c r="E272" s="1037"/>
      <c r="F272" s="1000" t="str">
        <f t="shared" si="19"/>
        <v>categorie 3</v>
      </c>
      <c r="G272" s="1076" t="str">
        <f t="shared" si="19"/>
        <v>&lt; 8 jr</v>
      </c>
      <c r="H272" s="1037"/>
      <c r="I272" s="1461">
        <v>0</v>
      </c>
      <c r="J272" s="1461">
        <f>ROUND('geg ZO'!I85*VLOOKUP($F272,categorieMat,3,FALSE),0)</f>
        <v>0</v>
      </c>
      <c r="K272" s="1461">
        <f>ROUND('geg ZO'!J85*VLOOKUP($F272,categorieMat,3,FALSE),0)</f>
        <v>0</v>
      </c>
      <c r="L272" s="1461">
        <f>ROUND('geg ZO'!K85*VLOOKUP($F272,categorieMat,3,FALSE),0)</f>
        <v>0</v>
      </c>
      <c r="M272" s="1461">
        <f>ROUND('geg ZO'!L85*VLOOKUP($F272,categorieMat,3,FALSE),0)</f>
        <v>0</v>
      </c>
      <c r="N272" s="1461">
        <f>ROUND('geg ZO'!M85*VLOOKUP($F272,categorieMat,3,FALSE),0)</f>
        <v>0</v>
      </c>
      <c r="O272" s="1461">
        <f>ROUND('geg ZO'!N85*VLOOKUP($F272,categorieMat,3,FALSE),0)</f>
        <v>0</v>
      </c>
      <c r="P272" s="1461">
        <f>ROUND('geg ZO'!O85*VLOOKUP($F272,categorieMat,3,FALSE),0)</f>
        <v>0</v>
      </c>
      <c r="Q272" s="1037"/>
      <c r="R272" s="539"/>
    </row>
    <row r="273" spans="2:18" ht="13.15" customHeight="1" x14ac:dyDescent="0.2">
      <c r="B273" s="26"/>
      <c r="C273" s="1037"/>
      <c r="D273" s="1000"/>
      <c r="E273" s="1037"/>
      <c r="F273" s="1000" t="str">
        <f t="shared" si="19"/>
        <v>categorie 1</v>
      </c>
      <c r="G273" s="1076" t="str">
        <f t="shared" si="19"/>
        <v>8jr eo</v>
      </c>
      <c r="H273" s="1037"/>
      <c r="I273" s="1461">
        <v>0</v>
      </c>
      <c r="J273" s="1461">
        <f>ROUND('geg ZO'!I86*VLOOKUP($F273,categorieMat8jreo,3,FALSE),0)</f>
        <v>0</v>
      </c>
      <c r="K273" s="1461">
        <f>ROUND('geg ZO'!J86*VLOOKUP($F273,categorieMat8jreo,3,FALSE),0)</f>
        <v>0</v>
      </c>
      <c r="L273" s="1461">
        <f>ROUND('geg ZO'!K86*VLOOKUP($F273,categorieMat8jreo,3,FALSE),0)</f>
        <v>0</v>
      </c>
      <c r="M273" s="1461">
        <f>ROUND('geg ZO'!L86*VLOOKUP($F273,categorieMat8jreo,3,FALSE),0)</f>
        <v>0</v>
      </c>
      <c r="N273" s="1461">
        <f>ROUND('geg ZO'!M86*VLOOKUP($F273,categorieMat8jreo,3,FALSE),0)</f>
        <v>0</v>
      </c>
      <c r="O273" s="1461">
        <f>ROUND('geg ZO'!N86*VLOOKUP($F273,categorieMat8jreo,3,FALSE),0)</f>
        <v>0</v>
      </c>
      <c r="P273" s="1461">
        <f>ROUND('geg ZO'!O86*VLOOKUP($F273,categorieMat8jreo,3,FALSE),0)</f>
        <v>0</v>
      </c>
      <c r="Q273" s="1037"/>
      <c r="R273" s="539"/>
    </row>
    <row r="274" spans="2:18" ht="13.15" customHeight="1" x14ac:dyDescent="0.2">
      <c r="B274" s="26"/>
      <c r="C274" s="1037"/>
      <c r="D274" s="1000"/>
      <c r="E274" s="1037"/>
      <c r="F274" s="1000" t="str">
        <f t="shared" si="19"/>
        <v>categorie 2</v>
      </c>
      <c r="G274" s="1076" t="str">
        <f t="shared" si="19"/>
        <v>8jr eo</v>
      </c>
      <c r="H274" s="1037"/>
      <c r="I274" s="1461">
        <v>0</v>
      </c>
      <c r="J274" s="1461">
        <f>ROUND('geg ZO'!I87*VLOOKUP($F274,categorieMat8jreo,3,FALSE),0)</f>
        <v>0</v>
      </c>
      <c r="K274" s="1461">
        <f>ROUND('geg ZO'!J87*VLOOKUP($F274,categorieMat8jreo,3,FALSE),0)</f>
        <v>0</v>
      </c>
      <c r="L274" s="1461">
        <f>ROUND('geg ZO'!K87*VLOOKUP($F274,categorieMat8jreo,3,FALSE),0)</f>
        <v>0</v>
      </c>
      <c r="M274" s="1461">
        <f>ROUND('geg ZO'!L87*VLOOKUP($F274,categorieMat8jreo,3,FALSE),0)</f>
        <v>0</v>
      </c>
      <c r="N274" s="1461">
        <f>ROUND('geg ZO'!M87*VLOOKUP($F274,categorieMat8jreo,3,FALSE),0)</f>
        <v>0</v>
      </c>
      <c r="O274" s="1461">
        <f>ROUND('geg ZO'!N87*VLOOKUP($F274,categorieMat8jreo,3,FALSE),0)</f>
        <v>0</v>
      </c>
      <c r="P274" s="1461">
        <f>ROUND('geg ZO'!O87*VLOOKUP($F274,categorieMat8jreo,3,FALSE),0)</f>
        <v>0</v>
      </c>
      <c r="Q274" s="1037"/>
      <c r="R274" s="539"/>
    </row>
    <row r="275" spans="2:18" ht="13.15" customHeight="1" x14ac:dyDescent="0.2">
      <c r="B275" s="26"/>
      <c r="C275" s="1037"/>
      <c r="D275" s="1000"/>
      <c r="E275" s="1037"/>
      <c r="F275" s="1000" t="str">
        <f t="shared" si="19"/>
        <v>categorie 3</v>
      </c>
      <c r="G275" s="1076" t="str">
        <f t="shared" si="19"/>
        <v>8jr eo</v>
      </c>
      <c r="H275" s="1037"/>
      <c r="I275" s="1461">
        <v>0</v>
      </c>
      <c r="J275" s="1461">
        <f>ROUND('geg ZO'!I88*VLOOKUP($F275,categorieMat8jreo,3,FALSE),0)</f>
        <v>0</v>
      </c>
      <c r="K275" s="1461">
        <f>ROUND('geg ZO'!J88*VLOOKUP($F275,categorieMat8jreo,3,FALSE),0)</f>
        <v>0</v>
      </c>
      <c r="L275" s="1461">
        <f>ROUND('geg ZO'!K88*VLOOKUP($F275,categorieMat8jreo,3,FALSE),0)</f>
        <v>0</v>
      </c>
      <c r="M275" s="1461">
        <f>ROUND('geg ZO'!L88*VLOOKUP($F275,categorieMat8jreo,3,FALSE),0)</f>
        <v>0</v>
      </c>
      <c r="N275" s="1461">
        <f>ROUND('geg ZO'!M88*VLOOKUP($F275,categorieMat8jreo,3,FALSE),0)</f>
        <v>0</v>
      </c>
      <c r="O275" s="1461">
        <f>ROUND('geg ZO'!N88*VLOOKUP($F275,categorieMat8jreo,3,FALSE),0)</f>
        <v>0</v>
      </c>
      <c r="P275" s="1461">
        <f>ROUND('geg ZO'!O88*VLOOKUP($F275,categorieMat8jreo,3,FALSE),0)</f>
        <v>0</v>
      </c>
      <c r="Q275" s="1037"/>
      <c r="R275" s="539"/>
    </row>
    <row r="276" spans="2:18" ht="13.15" customHeight="1" x14ac:dyDescent="0.2">
      <c r="B276" s="26"/>
      <c r="C276" s="1037"/>
      <c r="D276" s="1447" t="str">
        <f>+D74</f>
        <v>Naam SO 6</v>
      </c>
      <c r="E276" s="1037"/>
      <c r="F276" s="1000" t="str">
        <f t="shared" si="19"/>
        <v>categorie 1</v>
      </c>
      <c r="G276" s="1076" t="str">
        <f t="shared" si="19"/>
        <v>&lt; 8 jr</v>
      </c>
      <c r="H276" s="1037"/>
      <c r="I276" s="1461">
        <v>0</v>
      </c>
      <c r="J276" s="1461">
        <f>ROUND('geg ZO'!I91*VLOOKUP($F276,categorieMat,3,FALSE),0)</f>
        <v>0</v>
      </c>
      <c r="K276" s="1461">
        <f>ROUND('geg ZO'!J91*VLOOKUP($F276,categorieMat,3,FALSE),0)</f>
        <v>0</v>
      </c>
      <c r="L276" s="1461">
        <f>ROUND('geg ZO'!K91*VLOOKUP($F276,categorieMat,3,FALSE),0)</f>
        <v>0</v>
      </c>
      <c r="M276" s="1461">
        <f>ROUND('geg ZO'!L91*VLOOKUP($F276,categorieMat,3,FALSE),0)</f>
        <v>0</v>
      </c>
      <c r="N276" s="1461">
        <f>ROUND('geg ZO'!M91*VLOOKUP($F276,categorieMat,3,FALSE),0)</f>
        <v>0</v>
      </c>
      <c r="O276" s="1461">
        <f>ROUND('geg ZO'!N91*VLOOKUP($F276,categorieMat,3,FALSE),0)</f>
        <v>0</v>
      </c>
      <c r="P276" s="1461">
        <f>ROUND('geg ZO'!O91*VLOOKUP($F276,categorieMat,3,FALSE),0)</f>
        <v>0</v>
      </c>
      <c r="Q276" s="1037"/>
      <c r="R276" s="539"/>
    </row>
    <row r="277" spans="2:18" ht="13.15" customHeight="1" x14ac:dyDescent="0.2">
      <c r="B277" s="26"/>
      <c r="C277" s="1037"/>
      <c r="D277" s="1000" t="s">
        <v>40</v>
      </c>
      <c r="E277" s="1037"/>
      <c r="F277" s="1000" t="str">
        <f t="shared" si="19"/>
        <v>categorie 2</v>
      </c>
      <c r="G277" s="1076" t="str">
        <f t="shared" si="19"/>
        <v>&lt; 8 jr</v>
      </c>
      <c r="H277" s="1037"/>
      <c r="I277" s="1461">
        <v>0</v>
      </c>
      <c r="J277" s="1461">
        <f>ROUND('geg ZO'!I92*VLOOKUP($F277,categorieMat,3,FALSE),0)</f>
        <v>0</v>
      </c>
      <c r="K277" s="1461">
        <f>ROUND('geg ZO'!J92*VLOOKUP($F277,categorieMat,3,FALSE),0)</f>
        <v>0</v>
      </c>
      <c r="L277" s="1461">
        <f>ROUND('geg ZO'!K92*VLOOKUP($F277,categorieMat,3,FALSE),0)</f>
        <v>0</v>
      </c>
      <c r="M277" s="1461">
        <f>ROUND('geg ZO'!L92*VLOOKUP($F277,categorieMat,3,FALSE),0)</f>
        <v>0</v>
      </c>
      <c r="N277" s="1461">
        <f>ROUND('geg ZO'!M92*VLOOKUP($F277,categorieMat,3,FALSE),0)</f>
        <v>0</v>
      </c>
      <c r="O277" s="1461">
        <f>ROUND('geg ZO'!N92*VLOOKUP($F277,categorieMat,3,FALSE),0)</f>
        <v>0</v>
      </c>
      <c r="P277" s="1461">
        <f>ROUND('geg ZO'!O92*VLOOKUP($F277,categorieMat,3,FALSE),0)</f>
        <v>0</v>
      </c>
      <c r="Q277" s="1037"/>
      <c r="R277" s="539"/>
    </row>
    <row r="278" spans="2:18" ht="13.15" customHeight="1" x14ac:dyDescent="0.2">
      <c r="B278" s="26"/>
      <c r="C278" s="1037"/>
      <c r="D278" s="1000"/>
      <c r="E278" s="1037"/>
      <c r="F278" s="1000" t="str">
        <f t="shared" si="19"/>
        <v>categorie 3</v>
      </c>
      <c r="G278" s="1076" t="str">
        <f t="shared" si="19"/>
        <v>&lt; 8 jr</v>
      </c>
      <c r="H278" s="1037"/>
      <c r="I278" s="1461">
        <v>0</v>
      </c>
      <c r="J278" s="1461">
        <f>ROUND('geg ZO'!I93*VLOOKUP($F278,categorieMat,3,FALSE),0)</f>
        <v>0</v>
      </c>
      <c r="K278" s="1461">
        <f>ROUND('geg ZO'!J93*VLOOKUP($F278,categorieMat,3,FALSE),0)</f>
        <v>0</v>
      </c>
      <c r="L278" s="1461">
        <f>ROUND('geg ZO'!K93*VLOOKUP($F278,categorieMat,3,FALSE),0)</f>
        <v>0</v>
      </c>
      <c r="M278" s="1461">
        <f>ROUND('geg ZO'!L93*VLOOKUP($F278,categorieMat,3,FALSE),0)</f>
        <v>0</v>
      </c>
      <c r="N278" s="1461">
        <f>ROUND('geg ZO'!M93*VLOOKUP($F278,categorieMat,3,FALSE),0)</f>
        <v>0</v>
      </c>
      <c r="O278" s="1461">
        <f>ROUND('geg ZO'!N93*VLOOKUP($F278,categorieMat,3,FALSE),0)</f>
        <v>0</v>
      </c>
      <c r="P278" s="1461">
        <f>ROUND('geg ZO'!O93*VLOOKUP($F278,categorieMat,3,FALSE),0)</f>
        <v>0</v>
      </c>
      <c r="Q278" s="1037"/>
      <c r="R278" s="539"/>
    </row>
    <row r="279" spans="2:18" ht="13.15" customHeight="1" x14ac:dyDescent="0.2">
      <c r="B279" s="26"/>
      <c r="C279" s="1037"/>
      <c r="D279" s="1000"/>
      <c r="E279" s="1037"/>
      <c r="F279" s="1000" t="str">
        <f t="shared" si="19"/>
        <v>categorie 1</v>
      </c>
      <c r="G279" s="1076" t="str">
        <f t="shared" si="19"/>
        <v>8jr eo</v>
      </c>
      <c r="H279" s="1037"/>
      <c r="I279" s="1461">
        <v>0</v>
      </c>
      <c r="J279" s="1461">
        <f>ROUND('geg ZO'!I94*VLOOKUP($F279,categorieMat8jreo,3,FALSE),0)</f>
        <v>0</v>
      </c>
      <c r="K279" s="1461">
        <f>ROUND('geg ZO'!J94*VLOOKUP($F279,categorieMat8jreo,3,FALSE),0)</f>
        <v>0</v>
      </c>
      <c r="L279" s="1461">
        <f>ROUND('geg ZO'!K94*VLOOKUP($F279,categorieMat8jreo,3,FALSE),0)</f>
        <v>0</v>
      </c>
      <c r="M279" s="1461">
        <f>ROUND('geg ZO'!L94*VLOOKUP($F279,categorieMat8jreo,3,FALSE),0)</f>
        <v>0</v>
      </c>
      <c r="N279" s="1461">
        <f>ROUND('geg ZO'!M94*VLOOKUP($F279,categorieMat8jreo,3,FALSE),0)</f>
        <v>0</v>
      </c>
      <c r="O279" s="1461">
        <f>ROUND('geg ZO'!N94*VLOOKUP($F279,categorieMat8jreo,3,FALSE),0)</f>
        <v>0</v>
      </c>
      <c r="P279" s="1461">
        <f>ROUND('geg ZO'!O94*VLOOKUP($F279,categorieMat8jreo,3,FALSE),0)</f>
        <v>0</v>
      </c>
      <c r="Q279" s="1037"/>
      <c r="R279" s="539"/>
    </row>
    <row r="280" spans="2:18" ht="13.15" customHeight="1" x14ac:dyDescent="0.2">
      <c r="B280" s="26"/>
      <c r="C280" s="1037"/>
      <c r="D280" s="1000"/>
      <c r="E280" s="1037"/>
      <c r="F280" s="1000" t="str">
        <f t="shared" si="19"/>
        <v>categorie 2</v>
      </c>
      <c r="G280" s="1076" t="str">
        <f t="shared" si="19"/>
        <v>8jr eo</v>
      </c>
      <c r="H280" s="1037"/>
      <c r="I280" s="1461">
        <v>0</v>
      </c>
      <c r="J280" s="1461">
        <f>ROUND('geg ZO'!I95*VLOOKUP($F280,categorieMat8jreo,3,FALSE),0)</f>
        <v>0</v>
      </c>
      <c r="K280" s="1461">
        <f>ROUND('geg ZO'!J95*VLOOKUP($F280,categorieMat8jreo,3,FALSE),0)</f>
        <v>0</v>
      </c>
      <c r="L280" s="1461">
        <f>ROUND('geg ZO'!K95*VLOOKUP($F280,categorieMat8jreo,3,FALSE),0)</f>
        <v>0</v>
      </c>
      <c r="M280" s="1461">
        <f>ROUND('geg ZO'!L95*VLOOKUP($F280,categorieMat8jreo,3,FALSE),0)</f>
        <v>0</v>
      </c>
      <c r="N280" s="1461">
        <f>ROUND('geg ZO'!M95*VLOOKUP($F280,categorieMat8jreo,3,FALSE),0)</f>
        <v>0</v>
      </c>
      <c r="O280" s="1461">
        <f>ROUND('geg ZO'!N95*VLOOKUP($F280,categorieMat8jreo,3,FALSE),0)</f>
        <v>0</v>
      </c>
      <c r="P280" s="1461">
        <f>ROUND('geg ZO'!O95*VLOOKUP($F280,categorieMat8jreo,3,FALSE),0)</f>
        <v>0</v>
      </c>
      <c r="Q280" s="1037"/>
      <c r="R280" s="539"/>
    </row>
    <row r="281" spans="2:18" ht="13.15" customHeight="1" x14ac:dyDescent="0.2">
      <c r="B281" s="26"/>
      <c r="C281" s="1037"/>
      <c r="D281" s="1000"/>
      <c r="E281" s="1037"/>
      <c r="F281" s="1000" t="str">
        <f t="shared" si="19"/>
        <v>categorie 3</v>
      </c>
      <c r="G281" s="1076" t="str">
        <f t="shared" si="19"/>
        <v>8jr eo</v>
      </c>
      <c r="H281" s="1037"/>
      <c r="I281" s="1461">
        <v>0</v>
      </c>
      <c r="J281" s="1461">
        <f>ROUND('geg ZO'!I96*VLOOKUP($F281,categorieMat8jreo,3,FALSE),0)</f>
        <v>0</v>
      </c>
      <c r="K281" s="1461">
        <f>ROUND('geg ZO'!J96*VLOOKUP($F281,categorieMat8jreo,3,FALSE),0)</f>
        <v>0</v>
      </c>
      <c r="L281" s="1461">
        <f>ROUND('geg ZO'!K96*VLOOKUP($F281,categorieMat8jreo,3,FALSE),0)</f>
        <v>0</v>
      </c>
      <c r="M281" s="1461">
        <f>ROUND('geg ZO'!L96*VLOOKUP($F281,categorieMat8jreo,3,FALSE),0)</f>
        <v>0</v>
      </c>
      <c r="N281" s="1461">
        <f>ROUND('geg ZO'!M96*VLOOKUP($F281,categorieMat8jreo,3,FALSE),0)</f>
        <v>0</v>
      </c>
      <c r="O281" s="1461">
        <f>ROUND('geg ZO'!N96*VLOOKUP($F281,categorieMat8jreo,3,FALSE),0)</f>
        <v>0</v>
      </c>
      <c r="P281" s="1461">
        <f>ROUND('geg ZO'!O96*VLOOKUP($F281,categorieMat8jreo,3,FALSE),0)</f>
        <v>0</v>
      </c>
      <c r="Q281" s="1037"/>
      <c r="R281" s="539"/>
    </row>
    <row r="282" spans="2:18" ht="13.15" customHeight="1" x14ac:dyDescent="0.2">
      <c r="B282" s="26"/>
      <c r="C282" s="1037"/>
      <c r="D282" s="1447" t="str">
        <f>+D80</f>
        <v>Naam SO 7</v>
      </c>
      <c r="E282" s="1037"/>
      <c r="F282" s="1000" t="str">
        <f t="shared" si="19"/>
        <v>categorie 1</v>
      </c>
      <c r="G282" s="1076" t="str">
        <f t="shared" si="19"/>
        <v>&lt; 8 jr</v>
      </c>
      <c r="H282" s="1037"/>
      <c r="I282" s="1461">
        <v>0</v>
      </c>
      <c r="J282" s="1461">
        <f>ROUND('geg ZO'!I100*VLOOKUP($F282,categorieMat,3,FALSE),0)</f>
        <v>0</v>
      </c>
      <c r="K282" s="1461">
        <f>ROUND('geg ZO'!J100*VLOOKUP($F282,categorieMat,3,FALSE),0)</f>
        <v>0</v>
      </c>
      <c r="L282" s="1461">
        <f>ROUND('geg ZO'!K100*VLOOKUP($F282,categorieMat,3,FALSE),0)</f>
        <v>0</v>
      </c>
      <c r="M282" s="1461">
        <f>ROUND('geg ZO'!L100*VLOOKUP($F282,categorieMat,3,FALSE),0)</f>
        <v>0</v>
      </c>
      <c r="N282" s="1461">
        <f>ROUND('geg ZO'!M100*VLOOKUP($F282,categorieMat,3,FALSE),0)</f>
        <v>0</v>
      </c>
      <c r="O282" s="1461">
        <f>ROUND('geg ZO'!N100*VLOOKUP($F282,categorieMat,3,FALSE),0)</f>
        <v>0</v>
      </c>
      <c r="P282" s="1461">
        <f>ROUND('geg ZO'!O100*VLOOKUP($F282,categorieMat,3,FALSE),0)</f>
        <v>0</v>
      </c>
      <c r="Q282" s="1037"/>
      <c r="R282" s="539"/>
    </row>
    <row r="283" spans="2:18" ht="13.15" customHeight="1" x14ac:dyDescent="0.2">
      <c r="B283" s="26"/>
      <c r="C283" s="1037"/>
      <c r="D283" s="1000" t="s">
        <v>40</v>
      </c>
      <c r="E283" s="1037"/>
      <c r="F283" s="1000" t="str">
        <f t="shared" si="19"/>
        <v>categorie 2</v>
      </c>
      <c r="G283" s="1076" t="str">
        <f t="shared" si="19"/>
        <v>&lt; 8 jr</v>
      </c>
      <c r="H283" s="1037"/>
      <c r="I283" s="1461">
        <v>0</v>
      </c>
      <c r="J283" s="1461">
        <f>ROUND('geg ZO'!I101*VLOOKUP($F283,categorieMat,3,FALSE),0)</f>
        <v>0</v>
      </c>
      <c r="K283" s="1461">
        <f>ROUND('geg ZO'!J101*VLOOKUP($F283,categorieMat,3,FALSE),0)</f>
        <v>0</v>
      </c>
      <c r="L283" s="1461">
        <f>ROUND('geg ZO'!K101*VLOOKUP($F283,categorieMat,3,FALSE),0)</f>
        <v>0</v>
      </c>
      <c r="M283" s="1461">
        <f>ROUND('geg ZO'!L101*VLOOKUP($F283,categorieMat,3,FALSE),0)</f>
        <v>0</v>
      </c>
      <c r="N283" s="1461">
        <f>ROUND('geg ZO'!M101*VLOOKUP($F283,categorieMat,3,FALSE),0)</f>
        <v>0</v>
      </c>
      <c r="O283" s="1461">
        <f>ROUND('geg ZO'!N101*VLOOKUP($F283,categorieMat,3,FALSE),0)</f>
        <v>0</v>
      </c>
      <c r="P283" s="1461">
        <f>ROUND('geg ZO'!O101*VLOOKUP($F283,categorieMat,3,FALSE),0)</f>
        <v>0</v>
      </c>
      <c r="Q283" s="1037"/>
      <c r="R283" s="539"/>
    </row>
    <row r="284" spans="2:18" ht="13.15" customHeight="1" x14ac:dyDescent="0.2">
      <c r="B284" s="26"/>
      <c r="C284" s="1037"/>
      <c r="D284" s="1000"/>
      <c r="E284" s="1037"/>
      <c r="F284" s="1000" t="str">
        <f t="shared" si="19"/>
        <v>categorie 3</v>
      </c>
      <c r="G284" s="1076" t="str">
        <f t="shared" si="19"/>
        <v>&lt; 8 jr</v>
      </c>
      <c r="H284" s="1037"/>
      <c r="I284" s="1461">
        <v>0</v>
      </c>
      <c r="J284" s="1461">
        <f>ROUND('geg ZO'!I102*VLOOKUP($F284,categorieMat,3,FALSE),0)</f>
        <v>0</v>
      </c>
      <c r="K284" s="1461">
        <f>ROUND('geg ZO'!J102*VLOOKUP($F284,categorieMat,3,FALSE),0)</f>
        <v>0</v>
      </c>
      <c r="L284" s="1461">
        <f>ROUND('geg ZO'!K102*VLOOKUP($F284,categorieMat,3,FALSE),0)</f>
        <v>0</v>
      </c>
      <c r="M284" s="1461">
        <f>ROUND('geg ZO'!L102*VLOOKUP($F284,categorieMat,3,FALSE),0)</f>
        <v>0</v>
      </c>
      <c r="N284" s="1461">
        <f>ROUND('geg ZO'!M102*VLOOKUP($F284,categorieMat,3,FALSE),0)</f>
        <v>0</v>
      </c>
      <c r="O284" s="1461">
        <f>ROUND('geg ZO'!N102*VLOOKUP($F284,categorieMat,3,FALSE),0)</f>
        <v>0</v>
      </c>
      <c r="P284" s="1461">
        <f>ROUND('geg ZO'!O102*VLOOKUP($F284,categorieMat,3,FALSE),0)</f>
        <v>0</v>
      </c>
      <c r="Q284" s="1037"/>
      <c r="R284" s="539"/>
    </row>
    <row r="285" spans="2:18" ht="13.15" customHeight="1" x14ac:dyDescent="0.2">
      <c r="B285" s="26"/>
      <c r="C285" s="1037"/>
      <c r="D285" s="1000"/>
      <c r="E285" s="1037"/>
      <c r="F285" s="1000" t="str">
        <f t="shared" si="19"/>
        <v>categorie 1</v>
      </c>
      <c r="G285" s="1076" t="str">
        <f t="shared" si="19"/>
        <v>8jr eo</v>
      </c>
      <c r="H285" s="1037"/>
      <c r="I285" s="1461">
        <v>0</v>
      </c>
      <c r="J285" s="1461">
        <f>ROUND('geg ZO'!I103*VLOOKUP($F285,categorieMat8jreo,3,FALSE),0)</f>
        <v>0</v>
      </c>
      <c r="K285" s="1461">
        <f>ROUND('geg ZO'!J103*VLOOKUP($F285,categorieMat8jreo,3,FALSE),0)</f>
        <v>0</v>
      </c>
      <c r="L285" s="1461">
        <f>ROUND('geg ZO'!K103*VLOOKUP($F285,categorieMat8jreo,3,FALSE),0)</f>
        <v>0</v>
      </c>
      <c r="M285" s="1461">
        <f>ROUND('geg ZO'!L103*VLOOKUP($F285,categorieMat8jreo,3,FALSE),0)</f>
        <v>0</v>
      </c>
      <c r="N285" s="1461">
        <f>ROUND('geg ZO'!M103*VLOOKUP($F285,categorieMat8jreo,3,FALSE),0)</f>
        <v>0</v>
      </c>
      <c r="O285" s="1461">
        <f>ROUND('geg ZO'!N103*VLOOKUP($F285,categorieMat8jreo,3,FALSE),0)</f>
        <v>0</v>
      </c>
      <c r="P285" s="1461">
        <f>ROUND('geg ZO'!O103*VLOOKUP($F285,categorieMat8jreo,3,FALSE),0)</f>
        <v>0</v>
      </c>
      <c r="Q285" s="1037"/>
      <c r="R285" s="539"/>
    </row>
    <row r="286" spans="2:18" ht="13.15" customHeight="1" x14ac:dyDescent="0.2">
      <c r="B286" s="26"/>
      <c r="C286" s="1037"/>
      <c r="D286" s="1000"/>
      <c r="E286" s="1037"/>
      <c r="F286" s="1000" t="str">
        <f t="shared" ref="F286:G305" si="20">+F84</f>
        <v>categorie 2</v>
      </c>
      <c r="G286" s="1076" t="str">
        <f t="shared" si="20"/>
        <v>8jr eo</v>
      </c>
      <c r="H286" s="1037"/>
      <c r="I286" s="1461">
        <v>0</v>
      </c>
      <c r="J286" s="1461">
        <f>ROUND('geg ZO'!I104*VLOOKUP($F286,categorieMat8jreo,3,FALSE),0)</f>
        <v>0</v>
      </c>
      <c r="K286" s="1461">
        <f>ROUND('geg ZO'!J104*VLOOKUP($F286,categorieMat8jreo,3,FALSE),0)</f>
        <v>0</v>
      </c>
      <c r="L286" s="1461">
        <f>ROUND('geg ZO'!K104*VLOOKUP($F286,categorieMat8jreo,3,FALSE),0)</f>
        <v>0</v>
      </c>
      <c r="M286" s="1461">
        <f>ROUND('geg ZO'!L104*VLOOKUP($F286,categorieMat8jreo,3,FALSE),0)</f>
        <v>0</v>
      </c>
      <c r="N286" s="1461">
        <f>ROUND('geg ZO'!M104*VLOOKUP($F286,categorieMat8jreo,3,FALSE),0)</f>
        <v>0</v>
      </c>
      <c r="O286" s="1461">
        <f>ROUND('geg ZO'!N104*VLOOKUP($F286,categorieMat8jreo,3,FALSE),0)</f>
        <v>0</v>
      </c>
      <c r="P286" s="1461">
        <f>ROUND('geg ZO'!O104*VLOOKUP($F286,categorieMat8jreo,3,FALSE),0)</f>
        <v>0</v>
      </c>
      <c r="Q286" s="1037"/>
      <c r="R286" s="539"/>
    </row>
    <row r="287" spans="2:18" ht="13.15" customHeight="1" x14ac:dyDescent="0.2">
      <c r="B287" s="26"/>
      <c r="C287" s="1037"/>
      <c r="D287" s="1000"/>
      <c r="E287" s="1037"/>
      <c r="F287" s="1000" t="str">
        <f t="shared" si="20"/>
        <v>categorie 3</v>
      </c>
      <c r="G287" s="1076" t="str">
        <f t="shared" si="20"/>
        <v>8jr eo</v>
      </c>
      <c r="H287" s="1037"/>
      <c r="I287" s="1461">
        <v>0</v>
      </c>
      <c r="J287" s="1461">
        <f>ROUND('geg ZO'!I105*VLOOKUP($F287,categorieMat8jreo,3,FALSE),0)</f>
        <v>0</v>
      </c>
      <c r="K287" s="1461">
        <f>ROUND('geg ZO'!J105*VLOOKUP($F287,categorieMat8jreo,3,FALSE),0)</f>
        <v>0</v>
      </c>
      <c r="L287" s="1461">
        <f>ROUND('geg ZO'!K105*VLOOKUP($F287,categorieMat8jreo,3,FALSE),0)</f>
        <v>0</v>
      </c>
      <c r="M287" s="1461">
        <f>ROUND('geg ZO'!L105*VLOOKUP($F287,categorieMat8jreo,3,FALSE),0)</f>
        <v>0</v>
      </c>
      <c r="N287" s="1461">
        <f>ROUND('geg ZO'!M105*VLOOKUP($F287,categorieMat8jreo,3,FALSE),0)</f>
        <v>0</v>
      </c>
      <c r="O287" s="1461">
        <f>ROUND('geg ZO'!N105*VLOOKUP($F287,categorieMat8jreo,3,FALSE),0)</f>
        <v>0</v>
      </c>
      <c r="P287" s="1461">
        <f>ROUND('geg ZO'!O105*VLOOKUP($F287,categorieMat8jreo,3,FALSE),0)</f>
        <v>0</v>
      </c>
      <c r="Q287" s="1037"/>
      <c r="R287" s="539"/>
    </row>
    <row r="288" spans="2:18" ht="13.15" customHeight="1" x14ac:dyDescent="0.2">
      <c r="B288" s="26"/>
      <c r="C288" s="1037"/>
      <c r="D288" s="1447" t="str">
        <f>+D86</f>
        <v>Naam SO 8</v>
      </c>
      <c r="E288" s="1037"/>
      <c r="F288" s="1000" t="str">
        <f t="shared" si="20"/>
        <v>categorie 1</v>
      </c>
      <c r="G288" s="1076" t="str">
        <f t="shared" si="20"/>
        <v>&lt; 8 jr</v>
      </c>
      <c r="H288" s="1037"/>
      <c r="I288" s="1461">
        <v>0</v>
      </c>
      <c r="J288" s="1461">
        <f>ROUND('geg ZO'!I108*VLOOKUP($F288,categorieMat,3,FALSE),0)</f>
        <v>0</v>
      </c>
      <c r="K288" s="1461">
        <f>ROUND('geg ZO'!J108*VLOOKUP($F288,categorieMat,3,FALSE),0)</f>
        <v>0</v>
      </c>
      <c r="L288" s="1461">
        <f>ROUND('geg ZO'!K108*VLOOKUP($F288,categorieMat,3,FALSE),0)</f>
        <v>0</v>
      </c>
      <c r="M288" s="1461">
        <f>ROUND('geg ZO'!L108*VLOOKUP($F288,categorieMat,3,FALSE),0)</f>
        <v>0</v>
      </c>
      <c r="N288" s="1461">
        <f>ROUND('geg ZO'!M108*VLOOKUP($F288,categorieMat,3,FALSE),0)</f>
        <v>0</v>
      </c>
      <c r="O288" s="1461">
        <f>ROUND('geg ZO'!N108*VLOOKUP($F288,categorieMat,3,FALSE),0)</f>
        <v>0</v>
      </c>
      <c r="P288" s="1461">
        <f>ROUND('geg ZO'!O108*VLOOKUP($F288,categorieMat,3,FALSE),0)</f>
        <v>0</v>
      </c>
      <c r="Q288" s="1037"/>
      <c r="R288" s="539"/>
    </row>
    <row r="289" spans="2:18" ht="13.15" customHeight="1" x14ac:dyDescent="0.2">
      <c r="B289" s="26"/>
      <c r="C289" s="1037"/>
      <c r="D289" s="1000" t="s">
        <v>40</v>
      </c>
      <c r="E289" s="1037"/>
      <c r="F289" s="1000" t="str">
        <f t="shared" si="20"/>
        <v>categorie 2</v>
      </c>
      <c r="G289" s="1076" t="str">
        <f t="shared" si="20"/>
        <v>&lt; 8 jr</v>
      </c>
      <c r="H289" s="1037"/>
      <c r="I289" s="1461">
        <v>0</v>
      </c>
      <c r="J289" s="1461">
        <f>ROUND('geg ZO'!I109*VLOOKUP($F289,categorieMat,3,FALSE),0)</f>
        <v>0</v>
      </c>
      <c r="K289" s="1461">
        <f>ROUND('geg ZO'!J109*VLOOKUP($F289,categorieMat,3,FALSE),0)</f>
        <v>0</v>
      </c>
      <c r="L289" s="1461">
        <f>ROUND('geg ZO'!K109*VLOOKUP($F289,categorieMat,3,FALSE),0)</f>
        <v>0</v>
      </c>
      <c r="M289" s="1461">
        <f>ROUND('geg ZO'!L109*VLOOKUP($F289,categorieMat,3,FALSE),0)</f>
        <v>0</v>
      </c>
      <c r="N289" s="1461">
        <f>ROUND('geg ZO'!M109*VLOOKUP($F289,categorieMat,3,FALSE),0)</f>
        <v>0</v>
      </c>
      <c r="O289" s="1461">
        <f>ROUND('geg ZO'!N109*VLOOKUP($F289,categorieMat,3,FALSE),0)</f>
        <v>0</v>
      </c>
      <c r="P289" s="1461">
        <f>ROUND('geg ZO'!O109*VLOOKUP($F289,categorieMat,3,FALSE),0)</f>
        <v>0</v>
      </c>
      <c r="Q289" s="1037"/>
      <c r="R289" s="539"/>
    </row>
    <row r="290" spans="2:18" ht="13.15" customHeight="1" x14ac:dyDescent="0.2">
      <c r="B290" s="26"/>
      <c r="C290" s="1037"/>
      <c r="D290" s="1000"/>
      <c r="E290" s="1037"/>
      <c r="F290" s="1000" t="str">
        <f t="shared" si="20"/>
        <v>categorie 3</v>
      </c>
      <c r="G290" s="1076" t="str">
        <f t="shared" si="20"/>
        <v>&lt; 8 jr</v>
      </c>
      <c r="H290" s="1037"/>
      <c r="I290" s="1461">
        <v>0</v>
      </c>
      <c r="J290" s="1461">
        <f>ROUND('geg ZO'!I110*VLOOKUP($F290,categorieMat,3,FALSE),0)</f>
        <v>0</v>
      </c>
      <c r="K290" s="1461">
        <f>ROUND('geg ZO'!J110*VLOOKUP($F290,categorieMat,3,FALSE),0)</f>
        <v>0</v>
      </c>
      <c r="L290" s="1461">
        <f>ROUND('geg ZO'!K110*VLOOKUP($F290,categorieMat,3,FALSE),0)</f>
        <v>0</v>
      </c>
      <c r="M290" s="1461">
        <f>ROUND('geg ZO'!L110*VLOOKUP($F290,categorieMat,3,FALSE),0)</f>
        <v>0</v>
      </c>
      <c r="N290" s="1461">
        <f>ROUND('geg ZO'!M110*VLOOKUP($F290,categorieMat,3,FALSE),0)</f>
        <v>0</v>
      </c>
      <c r="O290" s="1461">
        <f>ROUND('geg ZO'!N110*VLOOKUP($F290,categorieMat,3,FALSE),0)</f>
        <v>0</v>
      </c>
      <c r="P290" s="1461">
        <f>ROUND('geg ZO'!O110*VLOOKUP($F290,categorieMat,3,FALSE),0)</f>
        <v>0</v>
      </c>
      <c r="Q290" s="1037"/>
      <c r="R290" s="539"/>
    </row>
    <row r="291" spans="2:18" ht="13.15" customHeight="1" x14ac:dyDescent="0.2">
      <c r="B291" s="26"/>
      <c r="C291" s="1037"/>
      <c r="D291" s="1000"/>
      <c r="E291" s="1037"/>
      <c r="F291" s="1000" t="str">
        <f t="shared" si="20"/>
        <v>categorie 1</v>
      </c>
      <c r="G291" s="1076" t="str">
        <f t="shared" si="20"/>
        <v>8jr eo</v>
      </c>
      <c r="H291" s="1037"/>
      <c r="I291" s="1461">
        <v>0</v>
      </c>
      <c r="J291" s="1461">
        <f>ROUND('geg ZO'!I111*VLOOKUP($F291,categorieMat8jreo,3,FALSE),0)</f>
        <v>0</v>
      </c>
      <c r="K291" s="1461">
        <f>ROUND('geg ZO'!J111*VLOOKUP($F291,categorieMat8jreo,3,FALSE),0)</f>
        <v>0</v>
      </c>
      <c r="L291" s="1461">
        <f>ROUND('geg ZO'!K111*VLOOKUP($F291,categorieMat8jreo,3,FALSE),0)</f>
        <v>0</v>
      </c>
      <c r="M291" s="1461">
        <f>ROUND('geg ZO'!L111*VLOOKUP($F291,categorieMat8jreo,3,FALSE),0)</f>
        <v>0</v>
      </c>
      <c r="N291" s="1461">
        <f>ROUND('geg ZO'!M111*VLOOKUP($F291,categorieMat8jreo,3,FALSE),0)</f>
        <v>0</v>
      </c>
      <c r="O291" s="1461">
        <f>ROUND('geg ZO'!N111*VLOOKUP($F291,categorieMat8jreo,3,FALSE),0)</f>
        <v>0</v>
      </c>
      <c r="P291" s="1461">
        <f>ROUND('geg ZO'!O111*VLOOKUP($F291,categorieMat8jreo,3,FALSE),0)</f>
        <v>0</v>
      </c>
      <c r="Q291" s="1037"/>
      <c r="R291" s="539"/>
    </row>
    <row r="292" spans="2:18" ht="13.15" customHeight="1" x14ac:dyDescent="0.2">
      <c r="B292" s="26"/>
      <c r="C292" s="1037"/>
      <c r="D292" s="1000"/>
      <c r="E292" s="1037"/>
      <c r="F292" s="1000" t="str">
        <f t="shared" si="20"/>
        <v>categorie 2</v>
      </c>
      <c r="G292" s="1076" t="str">
        <f t="shared" si="20"/>
        <v>8jr eo</v>
      </c>
      <c r="H292" s="1037"/>
      <c r="I292" s="1461">
        <v>0</v>
      </c>
      <c r="J292" s="1461">
        <f>ROUND('geg ZO'!I112*VLOOKUP($F292,categorieMat8jreo,3,FALSE),0)</f>
        <v>0</v>
      </c>
      <c r="K292" s="1461">
        <f>ROUND('geg ZO'!J112*VLOOKUP($F292,categorieMat8jreo,3,FALSE),0)</f>
        <v>0</v>
      </c>
      <c r="L292" s="1461">
        <f>ROUND('geg ZO'!K112*VLOOKUP($F292,categorieMat8jreo,3,FALSE),0)</f>
        <v>0</v>
      </c>
      <c r="M292" s="1461">
        <f>ROUND('geg ZO'!L112*VLOOKUP($F292,categorieMat8jreo,3,FALSE),0)</f>
        <v>0</v>
      </c>
      <c r="N292" s="1461">
        <f>ROUND('geg ZO'!M112*VLOOKUP($F292,categorieMat8jreo,3,FALSE),0)</f>
        <v>0</v>
      </c>
      <c r="O292" s="1461">
        <f>ROUND('geg ZO'!N112*VLOOKUP($F292,categorieMat8jreo,3,FALSE),0)</f>
        <v>0</v>
      </c>
      <c r="P292" s="1461">
        <f>ROUND('geg ZO'!O112*VLOOKUP($F292,categorieMat8jreo,3,FALSE),0)</f>
        <v>0</v>
      </c>
      <c r="Q292" s="1037"/>
      <c r="R292" s="539"/>
    </row>
    <row r="293" spans="2:18" ht="13.15" customHeight="1" x14ac:dyDescent="0.2">
      <c r="B293" s="26"/>
      <c r="C293" s="1037"/>
      <c r="D293" s="1000"/>
      <c r="E293" s="1037"/>
      <c r="F293" s="1000" t="str">
        <f t="shared" si="20"/>
        <v>categorie 3</v>
      </c>
      <c r="G293" s="1076" t="str">
        <f t="shared" si="20"/>
        <v>8jr eo</v>
      </c>
      <c r="H293" s="1037"/>
      <c r="I293" s="1461">
        <v>0</v>
      </c>
      <c r="J293" s="1461">
        <f>ROUND('geg ZO'!I113*VLOOKUP($F293,categorieMat8jreo,3,FALSE),0)</f>
        <v>0</v>
      </c>
      <c r="K293" s="1461">
        <f>ROUND('geg ZO'!J113*VLOOKUP($F293,categorieMat8jreo,3,FALSE),0)</f>
        <v>0</v>
      </c>
      <c r="L293" s="1461">
        <f>ROUND('geg ZO'!K113*VLOOKUP($F293,categorieMat8jreo,3,FALSE),0)</f>
        <v>0</v>
      </c>
      <c r="M293" s="1461">
        <f>ROUND('geg ZO'!L113*VLOOKUP($F293,categorieMat8jreo,3,FALSE),0)</f>
        <v>0</v>
      </c>
      <c r="N293" s="1461">
        <f>ROUND('geg ZO'!M113*VLOOKUP($F293,categorieMat8jreo,3,FALSE),0)</f>
        <v>0</v>
      </c>
      <c r="O293" s="1461">
        <f>ROUND('geg ZO'!N113*VLOOKUP($F293,categorieMat8jreo,3,FALSE),0)</f>
        <v>0</v>
      </c>
      <c r="P293" s="1461">
        <f>ROUND('geg ZO'!O113*VLOOKUP($F293,categorieMat8jreo,3,FALSE),0)</f>
        <v>0</v>
      </c>
      <c r="Q293" s="1037"/>
      <c r="R293" s="539"/>
    </row>
    <row r="294" spans="2:18" ht="13.15" customHeight="1" x14ac:dyDescent="0.2">
      <c r="B294" s="26"/>
      <c r="C294" s="1037"/>
      <c r="D294" s="1447" t="str">
        <f>+D92</f>
        <v>Naam SO 9</v>
      </c>
      <c r="E294" s="1037"/>
      <c r="F294" s="1000" t="str">
        <f t="shared" si="20"/>
        <v>categorie 1</v>
      </c>
      <c r="G294" s="1076" t="str">
        <f t="shared" si="20"/>
        <v>&lt; 8 jr</v>
      </c>
      <c r="H294" s="1037"/>
      <c r="I294" s="1461">
        <v>0</v>
      </c>
      <c r="J294" s="1461">
        <f>ROUND('geg ZO'!I116*VLOOKUP($F294,categorieMat,3,FALSE),0)</f>
        <v>0</v>
      </c>
      <c r="K294" s="1461">
        <f>ROUND('geg ZO'!J116*VLOOKUP($F294,categorieMat,3,FALSE),0)</f>
        <v>0</v>
      </c>
      <c r="L294" s="1461">
        <f>ROUND('geg ZO'!K116*VLOOKUP($F294,categorieMat,3,FALSE),0)</f>
        <v>0</v>
      </c>
      <c r="M294" s="1461">
        <f>ROUND('geg ZO'!L116*VLOOKUP($F294,categorieMat,3,FALSE),0)</f>
        <v>0</v>
      </c>
      <c r="N294" s="1461">
        <f>ROUND('geg ZO'!M116*VLOOKUP($F294,categorieMat,3,FALSE),0)</f>
        <v>0</v>
      </c>
      <c r="O294" s="1461">
        <f>ROUND('geg ZO'!N116*VLOOKUP($F294,categorieMat,3,FALSE),0)</f>
        <v>0</v>
      </c>
      <c r="P294" s="1461">
        <f>ROUND('geg ZO'!O116*VLOOKUP($F294,categorieMat,3,FALSE),0)</f>
        <v>0</v>
      </c>
      <c r="Q294" s="1037"/>
      <c r="R294" s="539"/>
    </row>
    <row r="295" spans="2:18" ht="13.15" customHeight="1" x14ac:dyDescent="0.2">
      <c r="B295" s="26"/>
      <c r="C295" s="1037"/>
      <c r="D295" s="1000" t="s">
        <v>40</v>
      </c>
      <c r="E295" s="1037"/>
      <c r="F295" s="1000" t="str">
        <f t="shared" si="20"/>
        <v>categorie 2</v>
      </c>
      <c r="G295" s="1076" t="str">
        <f t="shared" si="20"/>
        <v>&lt; 8 jr</v>
      </c>
      <c r="H295" s="1037"/>
      <c r="I295" s="1461">
        <v>0</v>
      </c>
      <c r="J295" s="1461">
        <f>ROUND('geg ZO'!I117*VLOOKUP($F295,categorieMat,3,FALSE),0)</f>
        <v>0</v>
      </c>
      <c r="K295" s="1461">
        <f>ROUND('geg ZO'!J117*VLOOKUP($F295,categorieMat,3,FALSE),0)</f>
        <v>0</v>
      </c>
      <c r="L295" s="1461">
        <f>ROUND('geg ZO'!K117*VLOOKUP($F295,categorieMat,3,FALSE),0)</f>
        <v>0</v>
      </c>
      <c r="M295" s="1461">
        <f>ROUND('geg ZO'!L117*VLOOKUP($F295,categorieMat,3,FALSE),0)</f>
        <v>0</v>
      </c>
      <c r="N295" s="1461">
        <f>ROUND('geg ZO'!M117*VLOOKUP($F295,categorieMat,3,FALSE),0)</f>
        <v>0</v>
      </c>
      <c r="O295" s="1461">
        <f>ROUND('geg ZO'!N117*VLOOKUP($F295,categorieMat,3,FALSE),0)</f>
        <v>0</v>
      </c>
      <c r="P295" s="1461">
        <f>ROUND('geg ZO'!O117*VLOOKUP($F295,categorieMat,3,FALSE),0)</f>
        <v>0</v>
      </c>
      <c r="Q295" s="1037"/>
      <c r="R295" s="539"/>
    </row>
    <row r="296" spans="2:18" ht="13.15" customHeight="1" x14ac:dyDescent="0.2">
      <c r="B296" s="26"/>
      <c r="C296" s="1037"/>
      <c r="D296" s="1000"/>
      <c r="E296" s="1037"/>
      <c r="F296" s="1000" t="str">
        <f t="shared" si="20"/>
        <v>categorie 3</v>
      </c>
      <c r="G296" s="1076" t="str">
        <f t="shared" si="20"/>
        <v>&lt; 8 jr</v>
      </c>
      <c r="H296" s="1037"/>
      <c r="I296" s="1461">
        <v>0</v>
      </c>
      <c r="J296" s="1461">
        <f>ROUND('geg ZO'!I118*VLOOKUP($F296,categorieMat,3,FALSE),0)</f>
        <v>0</v>
      </c>
      <c r="K296" s="1461">
        <f>ROUND('geg ZO'!J118*VLOOKUP($F296,categorieMat,3,FALSE),0)</f>
        <v>0</v>
      </c>
      <c r="L296" s="1461">
        <f>ROUND('geg ZO'!K118*VLOOKUP($F296,categorieMat,3,FALSE),0)</f>
        <v>0</v>
      </c>
      <c r="M296" s="1461">
        <f>ROUND('geg ZO'!L118*VLOOKUP($F296,categorieMat,3,FALSE),0)</f>
        <v>0</v>
      </c>
      <c r="N296" s="1461">
        <f>ROUND('geg ZO'!M118*VLOOKUP($F296,categorieMat,3,FALSE),0)</f>
        <v>0</v>
      </c>
      <c r="O296" s="1461">
        <f>ROUND('geg ZO'!N118*VLOOKUP($F296,categorieMat,3,FALSE),0)</f>
        <v>0</v>
      </c>
      <c r="P296" s="1461">
        <f>ROUND('geg ZO'!O118*VLOOKUP($F296,categorieMat,3,FALSE),0)</f>
        <v>0</v>
      </c>
      <c r="Q296" s="1037"/>
      <c r="R296" s="539"/>
    </row>
    <row r="297" spans="2:18" ht="13.15" customHeight="1" x14ac:dyDescent="0.2">
      <c r="B297" s="26"/>
      <c r="C297" s="1037"/>
      <c r="D297" s="1000"/>
      <c r="E297" s="1037"/>
      <c r="F297" s="1000" t="str">
        <f t="shared" si="20"/>
        <v>categorie 1</v>
      </c>
      <c r="G297" s="1076" t="str">
        <f t="shared" si="20"/>
        <v>8jr eo</v>
      </c>
      <c r="H297" s="1037"/>
      <c r="I297" s="1461">
        <v>0</v>
      </c>
      <c r="J297" s="1461">
        <f>ROUND('geg ZO'!I119*VLOOKUP($F297,categorieMat8jreo,3,FALSE),0)</f>
        <v>0</v>
      </c>
      <c r="K297" s="1461">
        <f>ROUND('geg ZO'!J119*VLOOKUP($F297,categorieMat8jreo,3,FALSE),0)</f>
        <v>0</v>
      </c>
      <c r="L297" s="1461">
        <f>ROUND('geg ZO'!K119*VLOOKUP($F297,categorieMat8jreo,3,FALSE),0)</f>
        <v>0</v>
      </c>
      <c r="M297" s="1461">
        <f>ROUND('geg ZO'!L119*VLOOKUP($F297,categorieMat8jreo,3,FALSE),0)</f>
        <v>0</v>
      </c>
      <c r="N297" s="1461">
        <f>ROUND('geg ZO'!M119*VLOOKUP($F297,categorieMat8jreo,3,FALSE),0)</f>
        <v>0</v>
      </c>
      <c r="O297" s="1461">
        <f>ROUND('geg ZO'!N119*VLOOKUP($F297,categorieMat8jreo,3,FALSE),0)</f>
        <v>0</v>
      </c>
      <c r="P297" s="1461">
        <f>ROUND('geg ZO'!O119*VLOOKUP($F297,categorieMat8jreo,3,FALSE),0)</f>
        <v>0</v>
      </c>
      <c r="Q297" s="1037"/>
      <c r="R297" s="539"/>
    </row>
    <row r="298" spans="2:18" ht="13.15" customHeight="1" x14ac:dyDescent="0.2">
      <c r="B298" s="26"/>
      <c r="C298" s="1037"/>
      <c r="D298" s="1000"/>
      <c r="E298" s="1037"/>
      <c r="F298" s="1000" t="str">
        <f t="shared" si="20"/>
        <v>categorie 2</v>
      </c>
      <c r="G298" s="1076" t="str">
        <f t="shared" si="20"/>
        <v>8jr eo</v>
      </c>
      <c r="H298" s="1037"/>
      <c r="I298" s="1461">
        <v>0</v>
      </c>
      <c r="J298" s="1461">
        <f>ROUND('geg ZO'!I120*VLOOKUP($F298,categorieMat8jreo,3,FALSE),0)</f>
        <v>0</v>
      </c>
      <c r="K298" s="1461">
        <f>ROUND('geg ZO'!J120*VLOOKUP($F298,categorieMat8jreo,3,FALSE),0)</f>
        <v>0</v>
      </c>
      <c r="L298" s="1461">
        <f>ROUND('geg ZO'!K120*VLOOKUP($F298,categorieMat8jreo,3,FALSE),0)</f>
        <v>0</v>
      </c>
      <c r="M298" s="1461">
        <f>ROUND('geg ZO'!L120*VLOOKUP($F298,categorieMat8jreo,3,FALSE),0)</f>
        <v>0</v>
      </c>
      <c r="N298" s="1461">
        <f>ROUND('geg ZO'!M120*VLOOKUP($F298,categorieMat8jreo,3,FALSE),0)</f>
        <v>0</v>
      </c>
      <c r="O298" s="1461">
        <f>ROUND('geg ZO'!N120*VLOOKUP($F298,categorieMat8jreo,3,FALSE),0)</f>
        <v>0</v>
      </c>
      <c r="P298" s="1461">
        <f>ROUND('geg ZO'!O120*VLOOKUP($F298,categorieMat8jreo,3,FALSE),0)</f>
        <v>0</v>
      </c>
      <c r="Q298" s="1037"/>
      <c r="R298" s="539"/>
    </row>
    <row r="299" spans="2:18" ht="13.15" customHeight="1" x14ac:dyDescent="0.2">
      <c r="B299" s="26"/>
      <c r="C299" s="1037"/>
      <c r="D299" s="1000"/>
      <c r="E299" s="1037"/>
      <c r="F299" s="1000" t="str">
        <f t="shared" si="20"/>
        <v>categorie 3</v>
      </c>
      <c r="G299" s="1076" t="str">
        <f t="shared" si="20"/>
        <v>8jr eo</v>
      </c>
      <c r="H299" s="1037"/>
      <c r="I299" s="1461">
        <v>0</v>
      </c>
      <c r="J299" s="1461">
        <f>ROUND('geg ZO'!I121*VLOOKUP($F299,categorieMat8jreo,3,FALSE),0)</f>
        <v>0</v>
      </c>
      <c r="K299" s="1461">
        <f>ROUND('geg ZO'!J121*VLOOKUP($F299,categorieMat8jreo,3,FALSE),0)</f>
        <v>0</v>
      </c>
      <c r="L299" s="1461">
        <f>ROUND('geg ZO'!K121*VLOOKUP($F299,categorieMat8jreo,3,FALSE),0)</f>
        <v>0</v>
      </c>
      <c r="M299" s="1461">
        <f>ROUND('geg ZO'!L121*VLOOKUP($F299,categorieMat8jreo,3,FALSE),0)</f>
        <v>0</v>
      </c>
      <c r="N299" s="1461">
        <f>ROUND('geg ZO'!M121*VLOOKUP($F299,categorieMat8jreo,3,FALSE),0)</f>
        <v>0</v>
      </c>
      <c r="O299" s="1461">
        <f>ROUND('geg ZO'!N121*VLOOKUP($F299,categorieMat8jreo,3,FALSE),0)</f>
        <v>0</v>
      </c>
      <c r="P299" s="1461">
        <f>ROUND('geg ZO'!O121*VLOOKUP($F299,categorieMat8jreo,3,FALSE),0)</f>
        <v>0</v>
      </c>
      <c r="Q299" s="1037"/>
      <c r="R299" s="539"/>
    </row>
    <row r="300" spans="2:18" ht="13.15" customHeight="1" x14ac:dyDescent="0.2">
      <c r="B300" s="26"/>
      <c r="C300" s="1037"/>
      <c r="D300" s="1447" t="str">
        <f>+D98</f>
        <v>Naam SO 10</v>
      </c>
      <c r="E300" s="1037"/>
      <c r="F300" s="1000" t="str">
        <f t="shared" si="20"/>
        <v>categorie 1</v>
      </c>
      <c r="G300" s="1076" t="str">
        <f t="shared" si="20"/>
        <v>&lt; 8 jr</v>
      </c>
      <c r="H300" s="1037"/>
      <c r="I300" s="1461">
        <v>0</v>
      </c>
      <c r="J300" s="1461">
        <f>ROUND('geg ZO'!I124*VLOOKUP($F300,categorieMat,3,FALSE),0)</f>
        <v>0</v>
      </c>
      <c r="K300" s="1461">
        <f>ROUND('geg ZO'!J124*VLOOKUP($F300,categorieMat,3,FALSE),0)</f>
        <v>0</v>
      </c>
      <c r="L300" s="1461">
        <f>ROUND('geg ZO'!K124*VLOOKUP($F300,categorieMat,3,FALSE),0)</f>
        <v>0</v>
      </c>
      <c r="M300" s="1461">
        <f>ROUND('geg ZO'!L124*VLOOKUP($F300,categorieMat,3,FALSE),0)</f>
        <v>0</v>
      </c>
      <c r="N300" s="1461">
        <f>ROUND('geg ZO'!M124*VLOOKUP($F300,categorieMat,3,FALSE),0)</f>
        <v>0</v>
      </c>
      <c r="O300" s="1461">
        <f>ROUND('geg ZO'!N124*VLOOKUP($F300,categorieMat,3,FALSE),0)</f>
        <v>0</v>
      </c>
      <c r="P300" s="1461">
        <f>ROUND('geg ZO'!O124*VLOOKUP($F300,categorieMat,3,FALSE),0)</f>
        <v>0</v>
      </c>
      <c r="Q300" s="1037"/>
      <c r="R300" s="539"/>
    </row>
    <row r="301" spans="2:18" ht="13.15" customHeight="1" x14ac:dyDescent="0.2">
      <c r="B301" s="26"/>
      <c r="C301" s="1037"/>
      <c r="D301" s="1000" t="s">
        <v>40</v>
      </c>
      <c r="E301" s="1037"/>
      <c r="F301" s="1000" t="str">
        <f t="shared" si="20"/>
        <v>categorie 2</v>
      </c>
      <c r="G301" s="1076" t="str">
        <f t="shared" si="20"/>
        <v>&lt; 8 jr</v>
      </c>
      <c r="H301" s="1037"/>
      <c r="I301" s="1461">
        <v>0</v>
      </c>
      <c r="J301" s="1461">
        <f>ROUND('geg ZO'!I125*VLOOKUP($F301,categorieMat,3,FALSE),0)</f>
        <v>0</v>
      </c>
      <c r="K301" s="1461">
        <f>ROUND('geg ZO'!J125*VLOOKUP($F301,categorieMat,3,FALSE),0)</f>
        <v>0</v>
      </c>
      <c r="L301" s="1461">
        <f>ROUND('geg ZO'!K125*VLOOKUP($F301,categorieMat,3,FALSE),0)</f>
        <v>0</v>
      </c>
      <c r="M301" s="1461">
        <f>ROUND('geg ZO'!L125*VLOOKUP($F301,categorieMat,3,FALSE),0)</f>
        <v>0</v>
      </c>
      <c r="N301" s="1461">
        <f>ROUND('geg ZO'!M125*VLOOKUP($F301,categorieMat,3,FALSE),0)</f>
        <v>0</v>
      </c>
      <c r="O301" s="1461">
        <f>ROUND('geg ZO'!N125*VLOOKUP($F301,categorieMat,3,FALSE),0)</f>
        <v>0</v>
      </c>
      <c r="P301" s="1461">
        <f>ROUND('geg ZO'!O125*VLOOKUP($F301,categorieMat,3,FALSE),0)</f>
        <v>0</v>
      </c>
      <c r="Q301" s="1037"/>
      <c r="R301" s="539"/>
    </row>
    <row r="302" spans="2:18" ht="13.15" customHeight="1" x14ac:dyDescent="0.2">
      <c r="B302" s="26"/>
      <c r="C302" s="1037"/>
      <c r="D302" s="1000"/>
      <c r="E302" s="1037"/>
      <c r="F302" s="1000" t="str">
        <f t="shared" si="20"/>
        <v>categorie 3</v>
      </c>
      <c r="G302" s="1076" t="str">
        <f t="shared" si="20"/>
        <v>&lt; 8 jr</v>
      </c>
      <c r="H302" s="1037"/>
      <c r="I302" s="1461">
        <v>0</v>
      </c>
      <c r="J302" s="1461">
        <f>ROUND('geg ZO'!I126*VLOOKUP($F302,categorieMat,3,FALSE),0)</f>
        <v>0</v>
      </c>
      <c r="K302" s="1461">
        <f>ROUND('geg ZO'!J126*VLOOKUP($F302,categorieMat,3,FALSE),0)</f>
        <v>0</v>
      </c>
      <c r="L302" s="1461">
        <f>ROUND('geg ZO'!K126*VLOOKUP($F302,categorieMat,3,FALSE),0)</f>
        <v>0</v>
      </c>
      <c r="M302" s="1461">
        <f>ROUND('geg ZO'!L126*VLOOKUP($F302,categorieMat,3,FALSE),0)</f>
        <v>0</v>
      </c>
      <c r="N302" s="1461">
        <f>ROUND('geg ZO'!M126*VLOOKUP($F302,categorieMat,3,FALSE),0)</f>
        <v>0</v>
      </c>
      <c r="O302" s="1461">
        <f>ROUND('geg ZO'!N126*VLOOKUP($F302,categorieMat,3,FALSE),0)</f>
        <v>0</v>
      </c>
      <c r="P302" s="1461">
        <f>ROUND('geg ZO'!O126*VLOOKUP($F302,categorieMat,3,FALSE),0)</f>
        <v>0</v>
      </c>
      <c r="Q302" s="1037"/>
      <c r="R302" s="539"/>
    </row>
    <row r="303" spans="2:18" ht="13.15" customHeight="1" x14ac:dyDescent="0.2">
      <c r="B303" s="26"/>
      <c r="C303" s="1037"/>
      <c r="D303" s="1000"/>
      <c r="E303" s="1037"/>
      <c r="F303" s="1000" t="str">
        <f t="shared" si="20"/>
        <v>categorie 1</v>
      </c>
      <c r="G303" s="1076" t="str">
        <f t="shared" si="20"/>
        <v>8jr eo</v>
      </c>
      <c r="H303" s="1037"/>
      <c r="I303" s="1461">
        <v>0</v>
      </c>
      <c r="J303" s="1461">
        <f>ROUND('geg ZO'!I127*VLOOKUP($F303,categorieMat8jreo,3,FALSE),0)</f>
        <v>0</v>
      </c>
      <c r="K303" s="1461">
        <f>ROUND('geg ZO'!J127*VLOOKUP($F303,categorieMat8jreo,3,FALSE),0)</f>
        <v>0</v>
      </c>
      <c r="L303" s="1461">
        <f>ROUND('geg ZO'!K127*VLOOKUP($F303,categorieMat8jreo,3,FALSE),0)</f>
        <v>0</v>
      </c>
      <c r="M303" s="1461">
        <f>ROUND('geg ZO'!L127*VLOOKUP($F303,categorieMat8jreo,3,FALSE),0)</f>
        <v>0</v>
      </c>
      <c r="N303" s="1461">
        <f>ROUND('geg ZO'!M127*VLOOKUP($F303,categorieMat8jreo,3,FALSE),0)</f>
        <v>0</v>
      </c>
      <c r="O303" s="1461">
        <f>ROUND('geg ZO'!N127*VLOOKUP($F303,categorieMat8jreo,3,FALSE),0)</f>
        <v>0</v>
      </c>
      <c r="P303" s="1461">
        <f>ROUND('geg ZO'!O127*VLOOKUP($F303,categorieMat8jreo,3,FALSE),0)</f>
        <v>0</v>
      </c>
      <c r="Q303" s="1037"/>
      <c r="R303" s="539"/>
    </row>
    <row r="304" spans="2:18" ht="13.15" customHeight="1" x14ac:dyDescent="0.2">
      <c r="B304" s="26"/>
      <c r="C304" s="1037"/>
      <c r="D304" s="1000"/>
      <c r="E304" s="1037"/>
      <c r="F304" s="1000" t="str">
        <f t="shared" si="20"/>
        <v>categorie 2</v>
      </c>
      <c r="G304" s="1076" t="str">
        <f t="shared" si="20"/>
        <v>8jr eo</v>
      </c>
      <c r="H304" s="1037"/>
      <c r="I304" s="1461">
        <v>0</v>
      </c>
      <c r="J304" s="1461">
        <f>ROUND('geg ZO'!I128*VLOOKUP($F304,categorieMat8jreo,3,FALSE),0)</f>
        <v>0</v>
      </c>
      <c r="K304" s="1461">
        <f>ROUND('geg ZO'!J128*VLOOKUP($F304,categorieMat8jreo,3,FALSE),0)</f>
        <v>0</v>
      </c>
      <c r="L304" s="1461">
        <f>ROUND('geg ZO'!K128*VLOOKUP($F304,categorieMat8jreo,3,FALSE),0)</f>
        <v>0</v>
      </c>
      <c r="M304" s="1461">
        <f>ROUND('geg ZO'!L128*VLOOKUP($F304,categorieMat8jreo,3,FALSE),0)</f>
        <v>0</v>
      </c>
      <c r="N304" s="1461">
        <f>ROUND('geg ZO'!M128*VLOOKUP($F304,categorieMat8jreo,3,FALSE),0)</f>
        <v>0</v>
      </c>
      <c r="O304" s="1461">
        <f>ROUND('geg ZO'!N128*VLOOKUP($F304,categorieMat8jreo,3,FALSE),0)</f>
        <v>0</v>
      </c>
      <c r="P304" s="1461">
        <f>ROUND('geg ZO'!O128*VLOOKUP($F304,categorieMat8jreo,3,FALSE),0)</f>
        <v>0</v>
      </c>
      <c r="Q304" s="1037"/>
      <c r="R304" s="539"/>
    </row>
    <row r="305" spans="2:18" ht="13.15" customHeight="1" x14ac:dyDescent="0.2">
      <c r="B305" s="26"/>
      <c r="C305" s="1037"/>
      <c r="D305" s="1000"/>
      <c r="E305" s="1037"/>
      <c r="F305" s="1000" t="str">
        <f t="shared" si="20"/>
        <v>categorie 3</v>
      </c>
      <c r="G305" s="1076" t="str">
        <f t="shared" si="20"/>
        <v>8jr eo</v>
      </c>
      <c r="H305" s="1037"/>
      <c r="I305" s="1461">
        <v>0</v>
      </c>
      <c r="J305" s="1461">
        <f>ROUND('geg ZO'!I129*VLOOKUP($F305,categorieMat8jreo,3,FALSE),0)</f>
        <v>0</v>
      </c>
      <c r="K305" s="1461">
        <f>ROUND('geg ZO'!J129*VLOOKUP($F305,categorieMat8jreo,3,FALSE),0)</f>
        <v>0</v>
      </c>
      <c r="L305" s="1461">
        <f>ROUND('geg ZO'!K129*VLOOKUP($F305,categorieMat8jreo,3,FALSE),0)</f>
        <v>0</v>
      </c>
      <c r="M305" s="1461">
        <f>ROUND('geg ZO'!L129*VLOOKUP($F305,categorieMat8jreo,3,FALSE),0)</f>
        <v>0</v>
      </c>
      <c r="N305" s="1461">
        <f>ROUND('geg ZO'!M129*VLOOKUP($F305,categorieMat8jreo,3,FALSE),0)</f>
        <v>0</v>
      </c>
      <c r="O305" s="1461">
        <f>ROUND('geg ZO'!N129*VLOOKUP($F305,categorieMat8jreo,3,FALSE),0)</f>
        <v>0</v>
      </c>
      <c r="P305" s="1461">
        <f>ROUND('geg ZO'!O129*VLOOKUP($F305,categorieMat8jreo,3,FALSE),0)</f>
        <v>0</v>
      </c>
      <c r="Q305" s="1037"/>
      <c r="R305" s="539"/>
    </row>
    <row r="306" spans="2:18" ht="13.15" customHeight="1" x14ac:dyDescent="0.2">
      <c r="B306" s="26"/>
      <c r="C306" s="1037"/>
      <c r="D306" s="1447" t="str">
        <f>+D104</f>
        <v>Naam SO 11</v>
      </c>
      <c r="E306" s="1037"/>
      <c r="F306" s="1000" t="str">
        <f t="shared" ref="F306:G325" si="21">+F104</f>
        <v>categorie 1</v>
      </c>
      <c r="G306" s="1076" t="str">
        <f t="shared" si="21"/>
        <v>&lt; 8 jr</v>
      </c>
      <c r="H306" s="1037"/>
      <c r="I306" s="1461">
        <v>0</v>
      </c>
      <c r="J306" s="1461">
        <f>ROUND('geg ZO'!I132*VLOOKUP($F306,categorieMat,3,FALSE),0)</f>
        <v>0</v>
      </c>
      <c r="K306" s="1461">
        <f>ROUND('geg ZO'!J132*VLOOKUP($F306,categorieMat,3,FALSE),0)</f>
        <v>0</v>
      </c>
      <c r="L306" s="1461">
        <f>ROUND('geg ZO'!K132*VLOOKUP($F306,categorieMat,3,FALSE),0)</f>
        <v>0</v>
      </c>
      <c r="M306" s="1461">
        <f>ROUND('geg ZO'!L132*VLOOKUP($F306,categorieMat,3,FALSE),0)</f>
        <v>0</v>
      </c>
      <c r="N306" s="1461">
        <f>ROUND('geg ZO'!M132*VLOOKUP($F306,categorieMat,3,FALSE),0)</f>
        <v>0</v>
      </c>
      <c r="O306" s="1461">
        <f>ROUND('geg ZO'!N132*VLOOKUP($F306,categorieMat,3,FALSE),0)</f>
        <v>0</v>
      </c>
      <c r="P306" s="1461">
        <f>ROUND('geg ZO'!O132*VLOOKUP($F306,categorieMat,3,FALSE),0)</f>
        <v>0</v>
      </c>
      <c r="Q306" s="1037"/>
      <c r="R306" s="539"/>
    </row>
    <row r="307" spans="2:18" ht="13.15" customHeight="1" x14ac:dyDescent="0.2">
      <c r="B307" s="26"/>
      <c r="C307" s="1037"/>
      <c r="D307" s="1000" t="s">
        <v>40</v>
      </c>
      <c r="E307" s="1037"/>
      <c r="F307" s="1000" t="str">
        <f t="shared" si="21"/>
        <v>categorie 2</v>
      </c>
      <c r="G307" s="1076" t="str">
        <f t="shared" si="21"/>
        <v>&lt; 8 jr</v>
      </c>
      <c r="H307" s="1037"/>
      <c r="I307" s="1461">
        <v>0</v>
      </c>
      <c r="J307" s="1461">
        <f>ROUND('geg ZO'!I133*VLOOKUP($F307,categorieMat,3,FALSE),0)</f>
        <v>0</v>
      </c>
      <c r="K307" s="1461">
        <f>ROUND('geg ZO'!J133*VLOOKUP($F307,categorieMat,3,FALSE),0)</f>
        <v>0</v>
      </c>
      <c r="L307" s="1461">
        <f>ROUND('geg ZO'!K133*VLOOKUP($F307,categorieMat,3,FALSE),0)</f>
        <v>0</v>
      </c>
      <c r="M307" s="1461">
        <f>ROUND('geg ZO'!L133*VLOOKUP($F307,categorieMat,3,FALSE),0)</f>
        <v>0</v>
      </c>
      <c r="N307" s="1461">
        <f>ROUND('geg ZO'!M133*VLOOKUP($F307,categorieMat,3,FALSE),0)</f>
        <v>0</v>
      </c>
      <c r="O307" s="1461">
        <f>ROUND('geg ZO'!N133*VLOOKUP($F307,categorieMat,3,FALSE),0)</f>
        <v>0</v>
      </c>
      <c r="P307" s="1461">
        <f>ROUND('geg ZO'!O133*VLOOKUP($F307,categorieMat,3,FALSE),0)</f>
        <v>0</v>
      </c>
      <c r="Q307" s="1037"/>
      <c r="R307" s="539"/>
    </row>
    <row r="308" spans="2:18" ht="13.15" customHeight="1" x14ac:dyDescent="0.2">
      <c r="B308" s="26"/>
      <c r="C308" s="1037"/>
      <c r="D308" s="1000"/>
      <c r="E308" s="1037"/>
      <c r="F308" s="1000" t="str">
        <f t="shared" si="21"/>
        <v>categorie 3</v>
      </c>
      <c r="G308" s="1076" t="str">
        <f t="shared" si="21"/>
        <v>&lt; 8 jr</v>
      </c>
      <c r="H308" s="1037"/>
      <c r="I308" s="1461">
        <v>0</v>
      </c>
      <c r="J308" s="1461">
        <f>ROUND('geg ZO'!I134*VLOOKUP($F308,categorieMat,3,FALSE),0)</f>
        <v>0</v>
      </c>
      <c r="K308" s="1461">
        <f>ROUND('geg ZO'!J134*VLOOKUP($F308,categorieMat,3,FALSE),0)</f>
        <v>0</v>
      </c>
      <c r="L308" s="1461">
        <f>ROUND('geg ZO'!K134*VLOOKUP($F308,categorieMat,3,FALSE),0)</f>
        <v>0</v>
      </c>
      <c r="M308" s="1461">
        <f>ROUND('geg ZO'!L134*VLOOKUP($F308,categorieMat,3,FALSE),0)</f>
        <v>0</v>
      </c>
      <c r="N308" s="1461">
        <f>ROUND('geg ZO'!M134*VLOOKUP($F308,categorieMat,3,FALSE),0)</f>
        <v>0</v>
      </c>
      <c r="O308" s="1461">
        <f>ROUND('geg ZO'!N134*VLOOKUP($F308,categorieMat,3,FALSE),0)</f>
        <v>0</v>
      </c>
      <c r="P308" s="1461">
        <f>ROUND('geg ZO'!O134*VLOOKUP($F308,categorieMat,3,FALSE),0)</f>
        <v>0</v>
      </c>
      <c r="Q308" s="1037"/>
      <c r="R308" s="539"/>
    </row>
    <row r="309" spans="2:18" ht="13.15" customHeight="1" x14ac:dyDescent="0.2">
      <c r="B309" s="26"/>
      <c r="C309" s="1037"/>
      <c r="D309" s="1000"/>
      <c r="E309" s="1037"/>
      <c r="F309" s="1000" t="str">
        <f t="shared" si="21"/>
        <v>categorie 1</v>
      </c>
      <c r="G309" s="1076" t="str">
        <f t="shared" si="21"/>
        <v>8jr eo</v>
      </c>
      <c r="H309" s="1037"/>
      <c r="I309" s="1461">
        <v>0</v>
      </c>
      <c r="J309" s="1461">
        <f>ROUND('geg ZO'!I135*VLOOKUP($F309,categorieMat8jreo,3,FALSE),0)</f>
        <v>0</v>
      </c>
      <c r="K309" s="1461">
        <f>ROUND('geg ZO'!J135*VLOOKUP($F309,categorieMat8jreo,3,FALSE),0)</f>
        <v>0</v>
      </c>
      <c r="L309" s="1461">
        <f>ROUND('geg ZO'!K135*VLOOKUP($F309,categorieMat8jreo,3,FALSE),0)</f>
        <v>0</v>
      </c>
      <c r="M309" s="1461">
        <f>ROUND('geg ZO'!L135*VLOOKUP($F309,categorieMat8jreo,3,FALSE),0)</f>
        <v>0</v>
      </c>
      <c r="N309" s="1461">
        <f>ROUND('geg ZO'!M135*VLOOKUP($F309,categorieMat8jreo,3,FALSE),0)</f>
        <v>0</v>
      </c>
      <c r="O309" s="1461">
        <f>ROUND('geg ZO'!N135*VLOOKUP($F309,categorieMat8jreo,3,FALSE),0)</f>
        <v>0</v>
      </c>
      <c r="P309" s="1461">
        <f>ROUND('geg ZO'!O135*VLOOKUP($F309,categorieMat8jreo,3,FALSE),0)</f>
        <v>0</v>
      </c>
      <c r="Q309" s="1037"/>
      <c r="R309" s="539"/>
    </row>
    <row r="310" spans="2:18" ht="13.15" customHeight="1" x14ac:dyDescent="0.2">
      <c r="B310" s="26"/>
      <c r="C310" s="1037"/>
      <c r="D310" s="1000"/>
      <c r="E310" s="1037"/>
      <c r="F310" s="1000" t="str">
        <f t="shared" si="21"/>
        <v>categorie 2</v>
      </c>
      <c r="G310" s="1076" t="str">
        <f t="shared" si="21"/>
        <v>8jr eo</v>
      </c>
      <c r="H310" s="1037"/>
      <c r="I310" s="1461">
        <v>0</v>
      </c>
      <c r="J310" s="1461">
        <f>ROUND('geg ZO'!I136*VLOOKUP($F310,categorieMat8jreo,3,FALSE),0)</f>
        <v>0</v>
      </c>
      <c r="K310" s="1461">
        <f>ROUND('geg ZO'!J136*VLOOKUP($F310,categorieMat8jreo,3,FALSE),0)</f>
        <v>0</v>
      </c>
      <c r="L310" s="1461">
        <f>ROUND('geg ZO'!K136*VLOOKUP($F310,categorieMat8jreo,3,FALSE),0)</f>
        <v>0</v>
      </c>
      <c r="M310" s="1461">
        <f>ROUND('geg ZO'!L136*VLOOKUP($F310,categorieMat8jreo,3,FALSE),0)</f>
        <v>0</v>
      </c>
      <c r="N310" s="1461">
        <f>ROUND('geg ZO'!M136*VLOOKUP($F310,categorieMat8jreo,3,FALSE),0)</f>
        <v>0</v>
      </c>
      <c r="O310" s="1461">
        <f>ROUND('geg ZO'!N136*VLOOKUP($F310,categorieMat8jreo,3,FALSE),0)</f>
        <v>0</v>
      </c>
      <c r="P310" s="1461">
        <f>ROUND('geg ZO'!O136*VLOOKUP($F310,categorieMat8jreo,3,FALSE),0)</f>
        <v>0</v>
      </c>
      <c r="Q310" s="1037"/>
      <c r="R310" s="539"/>
    </row>
    <row r="311" spans="2:18" ht="13.15" customHeight="1" x14ac:dyDescent="0.2">
      <c r="B311" s="26"/>
      <c r="C311" s="1037"/>
      <c r="D311" s="1000"/>
      <c r="E311" s="1037"/>
      <c r="F311" s="1000" t="str">
        <f t="shared" si="21"/>
        <v>categorie 3</v>
      </c>
      <c r="G311" s="1076" t="str">
        <f t="shared" si="21"/>
        <v>8jr eo</v>
      </c>
      <c r="H311" s="1037"/>
      <c r="I311" s="1461">
        <v>0</v>
      </c>
      <c r="J311" s="1461">
        <f>ROUND('geg ZO'!I137*VLOOKUP($F311,categorieMat8jreo,3,FALSE),0)</f>
        <v>0</v>
      </c>
      <c r="K311" s="1461">
        <f>ROUND('geg ZO'!J137*VLOOKUP($F311,categorieMat8jreo,3,FALSE),0)</f>
        <v>0</v>
      </c>
      <c r="L311" s="1461">
        <f>ROUND('geg ZO'!K137*VLOOKUP($F311,categorieMat8jreo,3,FALSE),0)</f>
        <v>0</v>
      </c>
      <c r="M311" s="1461">
        <f>ROUND('geg ZO'!L137*VLOOKUP($F311,categorieMat8jreo,3,FALSE),0)</f>
        <v>0</v>
      </c>
      <c r="N311" s="1461">
        <f>ROUND('geg ZO'!M137*VLOOKUP($F311,categorieMat8jreo,3,FALSE),0)</f>
        <v>0</v>
      </c>
      <c r="O311" s="1461">
        <f>ROUND('geg ZO'!N137*VLOOKUP($F311,categorieMat8jreo,3,FALSE),0)</f>
        <v>0</v>
      </c>
      <c r="P311" s="1461">
        <f>ROUND('geg ZO'!O137*VLOOKUP($F311,categorieMat8jreo,3,FALSE),0)</f>
        <v>0</v>
      </c>
      <c r="Q311" s="1037"/>
      <c r="R311" s="539"/>
    </row>
    <row r="312" spans="2:18" ht="13.15" customHeight="1" x14ac:dyDescent="0.2">
      <c r="B312" s="26"/>
      <c r="C312" s="1037"/>
      <c r="D312" s="1447" t="str">
        <f>+D110</f>
        <v>Naam SO 12</v>
      </c>
      <c r="E312" s="1037"/>
      <c r="F312" s="1000" t="str">
        <f t="shared" si="21"/>
        <v>categorie 1</v>
      </c>
      <c r="G312" s="1076" t="str">
        <f t="shared" si="21"/>
        <v>&lt; 8 jr</v>
      </c>
      <c r="H312" s="1037"/>
      <c r="I312" s="1461">
        <v>0</v>
      </c>
      <c r="J312" s="1461">
        <f>ROUND('geg ZO'!I140*VLOOKUP($F312,categorieMat,3,FALSE),0)</f>
        <v>0</v>
      </c>
      <c r="K312" s="1461">
        <f>ROUND('geg ZO'!J140*VLOOKUP($F312,categorieMat,3,FALSE),0)</f>
        <v>0</v>
      </c>
      <c r="L312" s="1461">
        <f>ROUND('geg ZO'!K140*VLOOKUP($F312,categorieMat,3,FALSE),0)</f>
        <v>0</v>
      </c>
      <c r="M312" s="1461">
        <f>ROUND('geg ZO'!L140*VLOOKUP($F312,categorieMat,3,FALSE),0)</f>
        <v>0</v>
      </c>
      <c r="N312" s="1461">
        <f>ROUND('geg ZO'!M140*VLOOKUP($F312,categorieMat,3,FALSE),0)</f>
        <v>0</v>
      </c>
      <c r="O312" s="1461">
        <f>ROUND('geg ZO'!N140*VLOOKUP($F312,categorieMat,3,FALSE),0)</f>
        <v>0</v>
      </c>
      <c r="P312" s="1461">
        <f>ROUND('geg ZO'!O140*VLOOKUP($F312,categorieMat,3,FALSE),0)</f>
        <v>0</v>
      </c>
      <c r="Q312" s="1037"/>
      <c r="R312" s="539"/>
    </row>
    <row r="313" spans="2:18" ht="13.15" customHeight="1" x14ac:dyDescent="0.2">
      <c r="B313" s="26"/>
      <c r="C313" s="1037"/>
      <c r="D313" s="1000" t="s">
        <v>40</v>
      </c>
      <c r="E313" s="1037"/>
      <c r="F313" s="1000" t="str">
        <f t="shared" si="21"/>
        <v>categorie 2</v>
      </c>
      <c r="G313" s="1076" t="str">
        <f t="shared" si="21"/>
        <v>&lt; 8 jr</v>
      </c>
      <c r="H313" s="1037"/>
      <c r="I313" s="1461">
        <v>0</v>
      </c>
      <c r="J313" s="1461">
        <f>ROUND('geg ZO'!I141*VLOOKUP($F313,categorieMat,3,FALSE),0)</f>
        <v>0</v>
      </c>
      <c r="K313" s="1461">
        <f>ROUND('geg ZO'!J141*VLOOKUP($F313,categorieMat,3,FALSE),0)</f>
        <v>0</v>
      </c>
      <c r="L313" s="1461">
        <f>ROUND('geg ZO'!K141*VLOOKUP($F313,categorieMat,3,FALSE),0)</f>
        <v>0</v>
      </c>
      <c r="M313" s="1461">
        <f>ROUND('geg ZO'!L141*VLOOKUP($F313,categorieMat,3,FALSE),0)</f>
        <v>0</v>
      </c>
      <c r="N313" s="1461">
        <f>ROUND('geg ZO'!M141*VLOOKUP($F313,categorieMat,3,FALSE),0)</f>
        <v>0</v>
      </c>
      <c r="O313" s="1461">
        <f>ROUND('geg ZO'!N141*VLOOKUP($F313,categorieMat,3,FALSE),0)</f>
        <v>0</v>
      </c>
      <c r="P313" s="1461">
        <f>ROUND('geg ZO'!O141*VLOOKUP($F313,categorieMat,3,FALSE),0)</f>
        <v>0</v>
      </c>
      <c r="Q313" s="1037"/>
      <c r="R313" s="539"/>
    </row>
    <row r="314" spans="2:18" ht="13.15" customHeight="1" x14ac:dyDescent="0.2">
      <c r="B314" s="26"/>
      <c r="C314" s="1037"/>
      <c r="D314" s="1000"/>
      <c r="E314" s="1037"/>
      <c r="F314" s="1000" t="str">
        <f t="shared" si="21"/>
        <v>categorie 3</v>
      </c>
      <c r="G314" s="1076" t="str">
        <f t="shared" si="21"/>
        <v>&lt; 8 jr</v>
      </c>
      <c r="H314" s="1037"/>
      <c r="I314" s="1461">
        <v>0</v>
      </c>
      <c r="J314" s="1461">
        <f>ROUND('geg ZO'!I142*VLOOKUP($F314,categorieMat,3,FALSE),0)</f>
        <v>0</v>
      </c>
      <c r="K314" s="1461">
        <f>ROUND('geg ZO'!J142*VLOOKUP($F314,categorieMat,3,FALSE),0)</f>
        <v>0</v>
      </c>
      <c r="L314" s="1461">
        <f>ROUND('geg ZO'!K142*VLOOKUP($F314,categorieMat,3,FALSE),0)</f>
        <v>0</v>
      </c>
      <c r="M314" s="1461">
        <f>ROUND('geg ZO'!L142*VLOOKUP($F314,categorieMat,3,FALSE),0)</f>
        <v>0</v>
      </c>
      <c r="N314" s="1461">
        <f>ROUND('geg ZO'!M142*VLOOKUP($F314,categorieMat,3,FALSE),0)</f>
        <v>0</v>
      </c>
      <c r="O314" s="1461">
        <f>ROUND('geg ZO'!N142*VLOOKUP($F314,categorieMat,3,FALSE),0)</f>
        <v>0</v>
      </c>
      <c r="P314" s="1461">
        <f>ROUND('geg ZO'!O142*VLOOKUP($F314,categorieMat,3,FALSE),0)</f>
        <v>0</v>
      </c>
      <c r="Q314" s="1037"/>
      <c r="R314" s="539"/>
    </row>
    <row r="315" spans="2:18" ht="13.15" customHeight="1" x14ac:dyDescent="0.2">
      <c r="B315" s="26"/>
      <c r="C315" s="1037"/>
      <c r="D315" s="1000"/>
      <c r="E315" s="1037"/>
      <c r="F315" s="1000" t="str">
        <f t="shared" si="21"/>
        <v>categorie 1</v>
      </c>
      <c r="G315" s="1076" t="str">
        <f t="shared" si="21"/>
        <v>8jr eo</v>
      </c>
      <c r="H315" s="1037"/>
      <c r="I315" s="1461">
        <v>0</v>
      </c>
      <c r="J315" s="1461">
        <f>ROUND('geg ZO'!I143*VLOOKUP($F315,categorieMat8jreo,3,FALSE),0)</f>
        <v>0</v>
      </c>
      <c r="K315" s="1461">
        <f>ROUND('geg ZO'!J143*VLOOKUP($F315,categorieMat8jreo,3,FALSE),0)</f>
        <v>0</v>
      </c>
      <c r="L315" s="1461">
        <f>ROUND('geg ZO'!K143*VLOOKUP($F315,categorieMat8jreo,3,FALSE),0)</f>
        <v>0</v>
      </c>
      <c r="M315" s="1461">
        <f>ROUND('geg ZO'!L143*VLOOKUP($F315,categorieMat8jreo,3,FALSE),0)</f>
        <v>0</v>
      </c>
      <c r="N315" s="1461">
        <f>ROUND('geg ZO'!M143*VLOOKUP($F315,categorieMat8jreo,3,FALSE),0)</f>
        <v>0</v>
      </c>
      <c r="O315" s="1461">
        <f>ROUND('geg ZO'!N143*VLOOKUP($F315,categorieMat8jreo,3,FALSE),0)</f>
        <v>0</v>
      </c>
      <c r="P315" s="1461">
        <f>ROUND('geg ZO'!O143*VLOOKUP($F315,categorieMat8jreo,3,FALSE),0)</f>
        <v>0</v>
      </c>
      <c r="Q315" s="1037"/>
      <c r="R315" s="539"/>
    </row>
    <row r="316" spans="2:18" ht="13.15" customHeight="1" x14ac:dyDescent="0.2">
      <c r="B316" s="26"/>
      <c r="C316" s="1037"/>
      <c r="D316" s="1000"/>
      <c r="E316" s="1037"/>
      <c r="F316" s="1000" t="str">
        <f t="shared" si="21"/>
        <v>categorie 2</v>
      </c>
      <c r="G316" s="1076" t="str">
        <f t="shared" si="21"/>
        <v>8jr eo</v>
      </c>
      <c r="H316" s="1037"/>
      <c r="I316" s="1461">
        <v>0</v>
      </c>
      <c r="J316" s="1461">
        <f>ROUND('geg ZO'!I144*VLOOKUP($F316,categorieMat8jreo,3,FALSE),0)</f>
        <v>0</v>
      </c>
      <c r="K316" s="1461">
        <f>ROUND('geg ZO'!J144*VLOOKUP($F316,categorieMat8jreo,3,FALSE),0)</f>
        <v>0</v>
      </c>
      <c r="L316" s="1461">
        <f>ROUND('geg ZO'!K144*VLOOKUP($F316,categorieMat8jreo,3,FALSE),0)</f>
        <v>0</v>
      </c>
      <c r="M316" s="1461">
        <f>ROUND('geg ZO'!L144*VLOOKUP($F316,categorieMat8jreo,3,FALSE),0)</f>
        <v>0</v>
      </c>
      <c r="N316" s="1461">
        <f>ROUND('geg ZO'!M144*VLOOKUP($F316,categorieMat8jreo,3,FALSE),0)</f>
        <v>0</v>
      </c>
      <c r="O316" s="1461">
        <f>ROUND('geg ZO'!N144*VLOOKUP($F316,categorieMat8jreo,3,FALSE),0)</f>
        <v>0</v>
      </c>
      <c r="P316" s="1461">
        <f>ROUND('geg ZO'!O144*VLOOKUP($F316,categorieMat8jreo,3,FALSE),0)</f>
        <v>0</v>
      </c>
      <c r="Q316" s="1037"/>
      <c r="R316" s="539"/>
    </row>
    <row r="317" spans="2:18" ht="13.15" customHeight="1" x14ac:dyDescent="0.2">
      <c r="B317" s="26"/>
      <c r="C317" s="1037"/>
      <c r="D317" s="1000"/>
      <c r="E317" s="1037"/>
      <c r="F317" s="1000" t="str">
        <f t="shared" si="21"/>
        <v>categorie 3</v>
      </c>
      <c r="G317" s="1076" t="str">
        <f t="shared" si="21"/>
        <v>8jr eo</v>
      </c>
      <c r="H317" s="1037"/>
      <c r="I317" s="1461">
        <v>0</v>
      </c>
      <c r="J317" s="1461">
        <f>ROUND('geg ZO'!I145*VLOOKUP($F317,categorieMat8jreo,3,FALSE),0)</f>
        <v>0</v>
      </c>
      <c r="K317" s="1461">
        <f>ROUND('geg ZO'!J145*VLOOKUP($F317,categorieMat8jreo,3,FALSE),0)</f>
        <v>0</v>
      </c>
      <c r="L317" s="1461">
        <f>ROUND('geg ZO'!K145*VLOOKUP($F317,categorieMat8jreo,3,FALSE),0)</f>
        <v>0</v>
      </c>
      <c r="M317" s="1461">
        <f>ROUND('geg ZO'!L145*VLOOKUP($F317,categorieMat8jreo,3,FALSE),0)</f>
        <v>0</v>
      </c>
      <c r="N317" s="1461">
        <f>ROUND('geg ZO'!M145*VLOOKUP($F317,categorieMat8jreo,3,FALSE),0)</f>
        <v>0</v>
      </c>
      <c r="O317" s="1461">
        <f>ROUND('geg ZO'!N145*VLOOKUP($F317,categorieMat8jreo,3,FALSE),0)</f>
        <v>0</v>
      </c>
      <c r="P317" s="1461">
        <f>ROUND('geg ZO'!O145*VLOOKUP($F317,categorieMat8jreo,3,FALSE),0)</f>
        <v>0</v>
      </c>
      <c r="Q317" s="1037"/>
      <c r="R317" s="539"/>
    </row>
    <row r="318" spans="2:18" ht="13.15" customHeight="1" x14ac:dyDescent="0.2">
      <c r="B318" s="26"/>
      <c r="C318" s="1037"/>
      <c r="D318" s="1447" t="str">
        <f>+D116</f>
        <v>Naam SO 13</v>
      </c>
      <c r="E318" s="1037"/>
      <c r="F318" s="1000" t="str">
        <f t="shared" si="21"/>
        <v>categorie 1</v>
      </c>
      <c r="G318" s="1076" t="str">
        <f t="shared" si="21"/>
        <v>&lt; 8 jr</v>
      </c>
      <c r="H318" s="1037"/>
      <c r="I318" s="1461">
        <v>0</v>
      </c>
      <c r="J318" s="1461">
        <f>ROUND('geg ZO'!I148*VLOOKUP($F318,categorieMat,3,FALSE),0)</f>
        <v>0</v>
      </c>
      <c r="K318" s="1461">
        <f>ROUND('geg ZO'!J148*VLOOKUP($F318,categorieMat,3,FALSE),0)</f>
        <v>0</v>
      </c>
      <c r="L318" s="1461">
        <f>ROUND('geg ZO'!K148*VLOOKUP($F318,categorieMat,3,FALSE),0)</f>
        <v>0</v>
      </c>
      <c r="M318" s="1461">
        <f>ROUND('geg ZO'!L148*VLOOKUP($F318,categorieMat,3,FALSE),0)</f>
        <v>0</v>
      </c>
      <c r="N318" s="1461">
        <f>ROUND('geg ZO'!M148*VLOOKUP($F318,categorieMat,3,FALSE),0)</f>
        <v>0</v>
      </c>
      <c r="O318" s="1461">
        <f>ROUND('geg ZO'!N148*VLOOKUP($F318,categorieMat,3,FALSE),0)</f>
        <v>0</v>
      </c>
      <c r="P318" s="1461">
        <f>ROUND('geg ZO'!O148*VLOOKUP($F318,categorieMat,3,FALSE),0)</f>
        <v>0</v>
      </c>
      <c r="Q318" s="1037"/>
      <c r="R318" s="539"/>
    </row>
    <row r="319" spans="2:18" ht="13.15" customHeight="1" x14ac:dyDescent="0.2">
      <c r="B319" s="26"/>
      <c r="C319" s="1037"/>
      <c r="D319" s="1000" t="s">
        <v>40</v>
      </c>
      <c r="E319" s="1037"/>
      <c r="F319" s="1000" t="str">
        <f t="shared" si="21"/>
        <v>categorie 2</v>
      </c>
      <c r="G319" s="1076" t="str">
        <f t="shared" si="21"/>
        <v>&lt; 8 jr</v>
      </c>
      <c r="H319" s="1037"/>
      <c r="I319" s="1461">
        <v>0</v>
      </c>
      <c r="J319" s="1461">
        <f>ROUND('geg ZO'!I149*VLOOKUP($F319,categorieMat,3,FALSE),0)</f>
        <v>0</v>
      </c>
      <c r="K319" s="1461">
        <f>ROUND('geg ZO'!J149*VLOOKUP($F319,categorieMat,3,FALSE),0)</f>
        <v>0</v>
      </c>
      <c r="L319" s="1461">
        <f>ROUND('geg ZO'!K149*VLOOKUP($F319,categorieMat,3,FALSE),0)</f>
        <v>0</v>
      </c>
      <c r="M319" s="1461">
        <f>ROUND('geg ZO'!L149*VLOOKUP($F319,categorieMat,3,FALSE),0)</f>
        <v>0</v>
      </c>
      <c r="N319" s="1461">
        <f>ROUND('geg ZO'!M149*VLOOKUP($F319,categorieMat,3,FALSE),0)</f>
        <v>0</v>
      </c>
      <c r="O319" s="1461">
        <f>ROUND('geg ZO'!N149*VLOOKUP($F319,categorieMat,3,FALSE),0)</f>
        <v>0</v>
      </c>
      <c r="P319" s="1461">
        <f>ROUND('geg ZO'!O149*VLOOKUP($F319,categorieMat,3,FALSE),0)</f>
        <v>0</v>
      </c>
      <c r="Q319" s="1037"/>
      <c r="R319" s="539"/>
    </row>
    <row r="320" spans="2:18" ht="13.15" customHeight="1" x14ac:dyDescent="0.2">
      <c r="B320" s="26"/>
      <c r="C320" s="1037"/>
      <c r="D320" s="1000"/>
      <c r="E320" s="1037"/>
      <c r="F320" s="1000" t="str">
        <f t="shared" si="21"/>
        <v>categorie 3</v>
      </c>
      <c r="G320" s="1076" t="str">
        <f t="shared" si="21"/>
        <v>&lt; 8 jr</v>
      </c>
      <c r="H320" s="1037"/>
      <c r="I320" s="1461">
        <v>0</v>
      </c>
      <c r="J320" s="1461">
        <f>ROUND('geg ZO'!I150*VLOOKUP($F320,categorieMat,3,FALSE),0)</f>
        <v>0</v>
      </c>
      <c r="K320" s="1461">
        <f>ROUND('geg ZO'!J150*VLOOKUP($F320,categorieMat,3,FALSE),0)</f>
        <v>0</v>
      </c>
      <c r="L320" s="1461">
        <f>ROUND('geg ZO'!K150*VLOOKUP($F320,categorieMat,3,FALSE),0)</f>
        <v>0</v>
      </c>
      <c r="M320" s="1461">
        <f>ROUND('geg ZO'!L150*VLOOKUP($F320,categorieMat,3,FALSE),0)</f>
        <v>0</v>
      </c>
      <c r="N320" s="1461">
        <f>ROUND('geg ZO'!M150*VLOOKUP($F320,categorieMat,3,FALSE),0)</f>
        <v>0</v>
      </c>
      <c r="O320" s="1461">
        <f>ROUND('geg ZO'!N150*VLOOKUP($F320,categorieMat,3,FALSE),0)</f>
        <v>0</v>
      </c>
      <c r="P320" s="1461">
        <f>ROUND('geg ZO'!O150*VLOOKUP($F320,categorieMat,3,FALSE),0)</f>
        <v>0</v>
      </c>
      <c r="Q320" s="1037"/>
      <c r="R320" s="539"/>
    </row>
    <row r="321" spans="2:18" ht="13.15" customHeight="1" x14ac:dyDescent="0.2">
      <c r="B321" s="26"/>
      <c r="C321" s="1037"/>
      <c r="D321" s="1000"/>
      <c r="E321" s="1037"/>
      <c r="F321" s="1000" t="str">
        <f t="shared" si="21"/>
        <v>categorie 1</v>
      </c>
      <c r="G321" s="1076" t="str">
        <f t="shared" si="21"/>
        <v>8jr eo</v>
      </c>
      <c r="H321" s="1037"/>
      <c r="I321" s="1461">
        <v>0</v>
      </c>
      <c r="J321" s="1461">
        <f>ROUND('geg ZO'!I151*VLOOKUP($F321,categorieMat8jreo,3,FALSE),0)</f>
        <v>0</v>
      </c>
      <c r="K321" s="1461">
        <f>ROUND('geg ZO'!J151*VLOOKUP($F321,categorieMat8jreo,3,FALSE),0)</f>
        <v>0</v>
      </c>
      <c r="L321" s="1461">
        <f>ROUND('geg ZO'!K151*VLOOKUP($F321,categorieMat8jreo,3,FALSE),0)</f>
        <v>0</v>
      </c>
      <c r="M321" s="1461">
        <f>ROUND('geg ZO'!L151*VLOOKUP($F321,categorieMat8jreo,3,FALSE),0)</f>
        <v>0</v>
      </c>
      <c r="N321" s="1461">
        <f>ROUND('geg ZO'!M151*VLOOKUP($F321,categorieMat8jreo,3,FALSE),0)</f>
        <v>0</v>
      </c>
      <c r="O321" s="1461">
        <f>ROUND('geg ZO'!N151*VLOOKUP($F321,categorieMat8jreo,3,FALSE),0)</f>
        <v>0</v>
      </c>
      <c r="P321" s="1461">
        <f>ROUND('geg ZO'!O151*VLOOKUP($F321,categorieMat8jreo,3,FALSE),0)</f>
        <v>0</v>
      </c>
      <c r="Q321" s="1037"/>
      <c r="R321" s="539"/>
    </row>
    <row r="322" spans="2:18" ht="13.15" customHeight="1" x14ac:dyDescent="0.2">
      <c r="B322" s="26"/>
      <c r="C322" s="1037"/>
      <c r="D322" s="1000"/>
      <c r="E322" s="1037"/>
      <c r="F322" s="1000" t="str">
        <f t="shared" si="21"/>
        <v>categorie 2</v>
      </c>
      <c r="G322" s="1076" t="str">
        <f t="shared" si="21"/>
        <v>8jr eo</v>
      </c>
      <c r="H322" s="1037"/>
      <c r="I322" s="1461">
        <v>0</v>
      </c>
      <c r="J322" s="1461">
        <f>ROUND('geg ZO'!I152*VLOOKUP($F322,categorieMat8jreo,3,FALSE),0)</f>
        <v>0</v>
      </c>
      <c r="K322" s="1461">
        <f>ROUND('geg ZO'!J152*VLOOKUP($F322,categorieMat8jreo,3,FALSE),0)</f>
        <v>0</v>
      </c>
      <c r="L322" s="1461">
        <f>ROUND('geg ZO'!K152*VLOOKUP($F322,categorieMat8jreo,3,FALSE),0)</f>
        <v>0</v>
      </c>
      <c r="M322" s="1461">
        <f>ROUND('geg ZO'!L152*VLOOKUP($F322,categorieMat8jreo,3,FALSE),0)</f>
        <v>0</v>
      </c>
      <c r="N322" s="1461">
        <f>ROUND('geg ZO'!M152*VLOOKUP($F322,categorieMat8jreo,3,FALSE),0)</f>
        <v>0</v>
      </c>
      <c r="O322" s="1461">
        <f>ROUND('geg ZO'!N152*VLOOKUP($F322,categorieMat8jreo,3,FALSE),0)</f>
        <v>0</v>
      </c>
      <c r="P322" s="1461">
        <f>ROUND('geg ZO'!O152*VLOOKUP($F322,categorieMat8jreo,3,FALSE),0)</f>
        <v>0</v>
      </c>
      <c r="Q322" s="1037"/>
      <c r="R322" s="539"/>
    </row>
    <row r="323" spans="2:18" ht="13.15" customHeight="1" x14ac:dyDescent="0.2">
      <c r="B323" s="26"/>
      <c r="C323" s="1037"/>
      <c r="D323" s="1000"/>
      <c r="E323" s="1037"/>
      <c r="F323" s="1000" t="str">
        <f t="shared" si="21"/>
        <v>categorie 3</v>
      </c>
      <c r="G323" s="1076" t="str">
        <f t="shared" si="21"/>
        <v>8jr eo</v>
      </c>
      <c r="H323" s="1037"/>
      <c r="I323" s="1461">
        <v>0</v>
      </c>
      <c r="J323" s="1461">
        <f>ROUND('geg ZO'!I153*VLOOKUP($F323,categorieMat8jreo,3,FALSE),0)</f>
        <v>0</v>
      </c>
      <c r="K323" s="1461">
        <f>ROUND('geg ZO'!J153*VLOOKUP($F323,categorieMat8jreo,3,FALSE),0)</f>
        <v>0</v>
      </c>
      <c r="L323" s="1461">
        <f>ROUND('geg ZO'!K153*VLOOKUP($F323,categorieMat8jreo,3,FALSE),0)</f>
        <v>0</v>
      </c>
      <c r="M323" s="1461">
        <f>ROUND('geg ZO'!L153*VLOOKUP($F323,categorieMat8jreo,3,FALSE),0)</f>
        <v>0</v>
      </c>
      <c r="N323" s="1461">
        <f>ROUND('geg ZO'!M153*VLOOKUP($F323,categorieMat8jreo,3,FALSE),0)</f>
        <v>0</v>
      </c>
      <c r="O323" s="1461">
        <f>ROUND('geg ZO'!N153*VLOOKUP($F323,categorieMat8jreo,3,FALSE),0)</f>
        <v>0</v>
      </c>
      <c r="P323" s="1461">
        <f>ROUND('geg ZO'!O153*VLOOKUP($F323,categorieMat8jreo,3,FALSE),0)</f>
        <v>0</v>
      </c>
      <c r="Q323" s="1037"/>
      <c r="R323" s="539"/>
    </row>
    <row r="324" spans="2:18" ht="13.15" customHeight="1" x14ac:dyDescent="0.2">
      <c r="B324" s="26"/>
      <c r="C324" s="1037"/>
      <c r="D324" s="1447" t="str">
        <f>+D122</f>
        <v>Naam SO 14</v>
      </c>
      <c r="E324" s="1037"/>
      <c r="F324" s="1000" t="str">
        <f t="shared" si="21"/>
        <v>categorie 1</v>
      </c>
      <c r="G324" s="1076" t="str">
        <f t="shared" si="21"/>
        <v>&lt; 8 jr</v>
      </c>
      <c r="H324" s="1037"/>
      <c r="I324" s="1461">
        <v>0</v>
      </c>
      <c r="J324" s="1461">
        <f>ROUND('geg ZO'!I156*VLOOKUP($F324,categorieMat,3,FALSE),0)</f>
        <v>0</v>
      </c>
      <c r="K324" s="1461">
        <f>ROUND('geg ZO'!J156*VLOOKUP($F324,categorieMat,3,FALSE),0)</f>
        <v>0</v>
      </c>
      <c r="L324" s="1461">
        <f>ROUND('geg ZO'!K156*VLOOKUP($F324,categorieMat,3,FALSE),0)</f>
        <v>0</v>
      </c>
      <c r="M324" s="1461">
        <f>ROUND('geg ZO'!L156*VLOOKUP($F324,categorieMat,3,FALSE),0)</f>
        <v>0</v>
      </c>
      <c r="N324" s="1461">
        <f>ROUND('geg ZO'!M156*VLOOKUP($F324,categorieMat,3,FALSE),0)</f>
        <v>0</v>
      </c>
      <c r="O324" s="1461">
        <f>ROUND('geg ZO'!N156*VLOOKUP($F324,categorieMat,3,FALSE),0)</f>
        <v>0</v>
      </c>
      <c r="P324" s="1461">
        <f>ROUND('geg ZO'!O156*VLOOKUP($F324,categorieMat,3,FALSE),0)</f>
        <v>0</v>
      </c>
      <c r="Q324" s="1037"/>
      <c r="R324" s="539"/>
    </row>
    <row r="325" spans="2:18" ht="13.15" customHeight="1" x14ac:dyDescent="0.2">
      <c r="B325" s="26"/>
      <c r="C325" s="1037"/>
      <c r="D325" s="1000" t="s">
        <v>40</v>
      </c>
      <c r="E325" s="1037"/>
      <c r="F325" s="1000" t="str">
        <f t="shared" si="21"/>
        <v>categorie 2</v>
      </c>
      <c r="G325" s="1076" t="str">
        <f t="shared" si="21"/>
        <v>&lt; 8 jr</v>
      </c>
      <c r="H325" s="1037"/>
      <c r="I325" s="1461">
        <v>0</v>
      </c>
      <c r="J325" s="1461">
        <f>ROUND('geg ZO'!I157*VLOOKUP($F325,categorieMat,3,FALSE),0)</f>
        <v>0</v>
      </c>
      <c r="K325" s="1461">
        <f>ROUND('geg ZO'!J157*VLOOKUP($F325,categorieMat,3,FALSE),0)</f>
        <v>0</v>
      </c>
      <c r="L325" s="1461">
        <f>ROUND('geg ZO'!K157*VLOOKUP($F325,categorieMat,3,FALSE),0)</f>
        <v>0</v>
      </c>
      <c r="M325" s="1461">
        <f>ROUND('geg ZO'!L157*VLOOKUP($F325,categorieMat,3,FALSE),0)</f>
        <v>0</v>
      </c>
      <c r="N325" s="1461">
        <f>ROUND('geg ZO'!M157*VLOOKUP($F325,categorieMat,3,FALSE),0)</f>
        <v>0</v>
      </c>
      <c r="O325" s="1461">
        <f>ROUND('geg ZO'!N157*VLOOKUP($F325,categorieMat,3,FALSE),0)</f>
        <v>0</v>
      </c>
      <c r="P325" s="1461">
        <f>ROUND('geg ZO'!O157*VLOOKUP($F325,categorieMat,3,FALSE),0)</f>
        <v>0</v>
      </c>
      <c r="Q325" s="1037"/>
      <c r="R325" s="539"/>
    </row>
    <row r="326" spans="2:18" ht="13.15" customHeight="1" x14ac:dyDescent="0.2">
      <c r="B326" s="26"/>
      <c r="C326" s="1037"/>
      <c r="D326" s="1000"/>
      <c r="E326" s="1037"/>
      <c r="F326" s="1000" t="str">
        <f t="shared" ref="F326:G335" si="22">+F124</f>
        <v>categorie 3</v>
      </c>
      <c r="G326" s="1076" t="str">
        <f t="shared" si="22"/>
        <v>&lt; 8 jr</v>
      </c>
      <c r="H326" s="1037"/>
      <c r="I326" s="1461">
        <v>0</v>
      </c>
      <c r="J326" s="1461">
        <f>ROUND('geg ZO'!I158*VLOOKUP($F326,categorieMat,3,FALSE),0)</f>
        <v>0</v>
      </c>
      <c r="K326" s="1461">
        <f>ROUND('geg ZO'!J158*VLOOKUP($F326,categorieMat,3,FALSE),0)</f>
        <v>0</v>
      </c>
      <c r="L326" s="1461">
        <f>ROUND('geg ZO'!K158*VLOOKUP($F326,categorieMat,3,FALSE),0)</f>
        <v>0</v>
      </c>
      <c r="M326" s="1461">
        <f>ROUND('geg ZO'!L158*VLOOKUP($F326,categorieMat,3,FALSE),0)</f>
        <v>0</v>
      </c>
      <c r="N326" s="1461">
        <f>ROUND('geg ZO'!M158*VLOOKUP($F326,categorieMat,3,FALSE),0)</f>
        <v>0</v>
      </c>
      <c r="O326" s="1461">
        <f>ROUND('geg ZO'!N158*VLOOKUP($F326,categorieMat,3,FALSE),0)</f>
        <v>0</v>
      </c>
      <c r="P326" s="1461">
        <f>ROUND('geg ZO'!O158*VLOOKUP($F326,categorieMat,3,FALSE),0)</f>
        <v>0</v>
      </c>
      <c r="Q326" s="1037"/>
      <c r="R326" s="539"/>
    </row>
    <row r="327" spans="2:18" ht="13.15" customHeight="1" x14ac:dyDescent="0.2">
      <c r="B327" s="26"/>
      <c r="C327" s="1037"/>
      <c r="D327" s="1000"/>
      <c r="E327" s="1037"/>
      <c r="F327" s="1000" t="str">
        <f t="shared" si="22"/>
        <v>categorie 1</v>
      </c>
      <c r="G327" s="1076" t="str">
        <f t="shared" si="22"/>
        <v>8jr eo</v>
      </c>
      <c r="H327" s="1037"/>
      <c r="I327" s="1461">
        <v>0</v>
      </c>
      <c r="J327" s="1461">
        <f>ROUND('geg ZO'!I159*VLOOKUP($F327,categorieMat8jreo,3,FALSE),0)</f>
        <v>0</v>
      </c>
      <c r="K327" s="1461">
        <f>ROUND('geg ZO'!J159*VLOOKUP($F327,categorieMat8jreo,3,FALSE),0)</f>
        <v>0</v>
      </c>
      <c r="L327" s="1461">
        <f>ROUND('geg ZO'!K159*VLOOKUP($F327,categorieMat8jreo,3,FALSE),0)</f>
        <v>0</v>
      </c>
      <c r="M327" s="1461">
        <f>ROUND('geg ZO'!L159*VLOOKUP($F327,categorieMat8jreo,3,FALSE),0)</f>
        <v>0</v>
      </c>
      <c r="N327" s="1461">
        <f>ROUND('geg ZO'!M159*VLOOKUP($F327,categorieMat8jreo,3,FALSE),0)</f>
        <v>0</v>
      </c>
      <c r="O327" s="1461">
        <f>ROUND('geg ZO'!N159*VLOOKUP($F327,categorieMat8jreo,3,FALSE),0)</f>
        <v>0</v>
      </c>
      <c r="P327" s="1461">
        <f>ROUND('geg ZO'!O159*VLOOKUP($F327,categorieMat8jreo,3,FALSE),0)</f>
        <v>0</v>
      </c>
      <c r="Q327" s="1037"/>
      <c r="R327" s="539"/>
    </row>
    <row r="328" spans="2:18" ht="13.15" customHeight="1" x14ac:dyDescent="0.2">
      <c r="B328" s="26"/>
      <c r="C328" s="1037"/>
      <c r="D328" s="1000"/>
      <c r="E328" s="1037"/>
      <c r="F328" s="1000" t="str">
        <f t="shared" si="22"/>
        <v>categorie 2</v>
      </c>
      <c r="G328" s="1076" t="str">
        <f t="shared" si="22"/>
        <v>8jr eo</v>
      </c>
      <c r="H328" s="1037"/>
      <c r="I328" s="1461">
        <v>0</v>
      </c>
      <c r="J328" s="1461">
        <f>ROUND('geg ZO'!I160*VLOOKUP($F328,categorieMat8jreo,3,FALSE),0)</f>
        <v>0</v>
      </c>
      <c r="K328" s="1461">
        <f>ROUND('geg ZO'!J160*VLOOKUP($F328,categorieMat8jreo,3,FALSE),0)</f>
        <v>0</v>
      </c>
      <c r="L328" s="1461">
        <f>ROUND('geg ZO'!K160*VLOOKUP($F328,categorieMat8jreo,3,FALSE),0)</f>
        <v>0</v>
      </c>
      <c r="M328" s="1461">
        <f>ROUND('geg ZO'!L160*VLOOKUP($F328,categorieMat8jreo,3,FALSE),0)</f>
        <v>0</v>
      </c>
      <c r="N328" s="1461">
        <f>ROUND('geg ZO'!M160*VLOOKUP($F328,categorieMat8jreo,3,FALSE),0)</f>
        <v>0</v>
      </c>
      <c r="O328" s="1461">
        <f>ROUND('geg ZO'!N160*VLOOKUP($F328,categorieMat8jreo,3,FALSE),0)</f>
        <v>0</v>
      </c>
      <c r="P328" s="1461">
        <f>ROUND('geg ZO'!O160*VLOOKUP($F328,categorieMat8jreo,3,FALSE),0)</f>
        <v>0</v>
      </c>
      <c r="Q328" s="1037"/>
      <c r="R328" s="539"/>
    </row>
    <row r="329" spans="2:18" ht="13.15" customHeight="1" x14ac:dyDescent="0.2">
      <c r="B329" s="26"/>
      <c r="C329" s="1037"/>
      <c r="D329" s="1000"/>
      <c r="E329" s="1037"/>
      <c r="F329" s="1000" t="str">
        <f t="shared" si="22"/>
        <v>categorie 3</v>
      </c>
      <c r="G329" s="1076" t="str">
        <f t="shared" si="22"/>
        <v>8jr eo</v>
      </c>
      <c r="H329" s="1037"/>
      <c r="I329" s="1461">
        <v>0</v>
      </c>
      <c r="J329" s="1461">
        <f>ROUND('geg ZO'!I161*VLOOKUP($F329,categorieMat8jreo,3,FALSE),0)</f>
        <v>0</v>
      </c>
      <c r="K329" s="1461">
        <f>ROUND('geg ZO'!J161*VLOOKUP($F329,categorieMat8jreo,3,FALSE),0)</f>
        <v>0</v>
      </c>
      <c r="L329" s="1461">
        <f>ROUND('geg ZO'!K161*VLOOKUP($F329,categorieMat8jreo,3,FALSE),0)</f>
        <v>0</v>
      </c>
      <c r="M329" s="1461">
        <f>ROUND('geg ZO'!L161*VLOOKUP($F329,categorieMat8jreo,3,FALSE),0)</f>
        <v>0</v>
      </c>
      <c r="N329" s="1461">
        <f>ROUND('geg ZO'!M161*VLOOKUP($F329,categorieMat8jreo,3,FALSE),0)</f>
        <v>0</v>
      </c>
      <c r="O329" s="1461">
        <f>ROUND('geg ZO'!N161*VLOOKUP($F329,categorieMat8jreo,3,FALSE),0)</f>
        <v>0</v>
      </c>
      <c r="P329" s="1461">
        <f>ROUND('geg ZO'!O161*VLOOKUP($F329,categorieMat8jreo,3,FALSE),0)</f>
        <v>0</v>
      </c>
      <c r="Q329" s="1037"/>
      <c r="R329" s="539"/>
    </row>
    <row r="330" spans="2:18" ht="13.15" customHeight="1" x14ac:dyDescent="0.2">
      <c r="B330" s="26"/>
      <c r="C330" s="1037"/>
      <c r="D330" s="1447" t="str">
        <f>+D128</f>
        <v>Naam SO 15</v>
      </c>
      <c r="E330" s="1037"/>
      <c r="F330" s="1000" t="str">
        <f t="shared" si="22"/>
        <v>categorie 1</v>
      </c>
      <c r="G330" s="1076" t="str">
        <f t="shared" si="22"/>
        <v>&lt; 8 jr</v>
      </c>
      <c r="H330" s="1037"/>
      <c r="I330" s="1461">
        <v>0</v>
      </c>
      <c r="J330" s="1461">
        <f>ROUND('geg ZO'!I164*VLOOKUP($F330,categorieMat,3,FALSE),0)</f>
        <v>0</v>
      </c>
      <c r="K330" s="1461">
        <f>ROUND('geg ZO'!J164*VLOOKUP($F330,categorieMat,3,FALSE),0)</f>
        <v>0</v>
      </c>
      <c r="L330" s="1461">
        <f>ROUND('geg ZO'!K164*VLOOKUP($F330,categorieMat,3,FALSE),0)</f>
        <v>0</v>
      </c>
      <c r="M330" s="1461">
        <f>ROUND('geg ZO'!L164*VLOOKUP($F330,categorieMat,3,FALSE),0)</f>
        <v>0</v>
      </c>
      <c r="N330" s="1461">
        <f>ROUND('geg ZO'!M164*VLOOKUP($F330,categorieMat,3,FALSE),0)</f>
        <v>0</v>
      </c>
      <c r="O330" s="1461">
        <f>ROUND('geg ZO'!N164*VLOOKUP($F330,categorieMat,3,FALSE),0)</f>
        <v>0</v>
      </c>
      <c r="P330" s="1461">
        <f>ROUND('geg ZO'!O164*VLOOKUP($F330,categorieMat,3,FALSE),0)</f>
        <v>0</v>
      </c>
      <c r="Q330" s="1037"/>
      <c r="R330" s="539"/>
    </row>
    <row r="331" spans="2:18" ht="13.15" customHeight="1" x14ac:dyDescent="0.2">
      <c r="B331" s="26"/>
      <c r="C331" s="1037"/>
      <c r="D331" s="1000" t="s">
        <v>40</v>
      </c>
      <c r="E331" s="1037"/>
      <c r="F331" s="1000" t="str">
        <f t="shared" si="22"/>
        <v>categorie 2</v>
      </c>
      <c r="G331" s="1076" t="str">
        <f t="shared" si="22"/>
        <v>&lt; 8 jr</v>
      </c>
      <c r="H331" s="1037"/>
      <c r="I331" s="1461">
        <v>0</v>
      </c>
      <c r="J331" s="1461">
        <f>ROUND('geg ZO'!I165*VLOOKUP($F331,categorieMat,3,FALSE),0)</f>
        <v>0</v>
      </c>
      <c r="K331" s="1461">
        <f>ROUND('geg ZO'!J165*VLOOKUP($F331,categorieMat,3,FALSE),0)</f>
        <v>0</v>
      </c>
      <c r="L331" s="1461">
        <f>ROUND('geg ZO'!K165*VLOOKUP($F331,categorieMat,3,FALSE),0)</f>
        <v>0</v>
      </c>
      <c r="M331" s="1461">
        <f>ROUND('geg ZO'!L165*VLOOKUP($F331,categorieMat,3,FALSE),0)</f>
        <v>0</v>
      </c>
      <c r="N331" s="1461">
        <f>ROUND('geg ZO'!M165*VLOOKUP($F331,categorieMat,3,FALSE),0)</f>
        <v>0</v>
      </c>
      <c r="O331" s="1461">
        <f>ROUND('geg ZO'!N165*VLOOKUP($F331,categorieMat,3,FALSE),0)</f>
        <v>0</v>
      </c>
      <c r="P331" s="1461">
        <f>ROUND('geg ZO'!O165*VLOOKUP($F331,categorieMat,3,FALSE),0)</f>
        <v>0</v>
      </c>
      <c r="Q331" s="1037"/>
      <c r="R331" s="539"/>
    </row>
    <row r="332" spans="2:18" ht="13.15" customHeight="1" x14ac:dyDescent="0.2">
      <c r="B332" s="26"/>
      <c r="C332" s="1037"/>
      <c r="D332" s="1000"/>
      <c r="E332" s="1037"/>
      <c r="F332" s="1000" t="str">
        <f t="shared" si="22"/>
        <v>categorie 3</v>
      </c>
      <c r="G332" s="1076" t="str">
        <f t="shared" si="22"/>
        <v>&lt; 8 jr</v>
      </c>
      <c r="H332" s="1037"/>
      <c r="I332" s="1461">
        <v>0</v>
      </c>
      <c r="J332" s="1461">
        <f>ROUND('geg ZO'!I166*VLOOKUP($F332,categorieMat,3,FALSE),0)</f>
        <v>0</v>
      </c>
      <c r="K332" s="1461">
        <f>ROUND('geg ZO'!J166*VLOOKUP($F332,categorieMat,3,FALSE),0)</f>
        <v>0</v>
      </c>
      <c r="L332" s="1461">
        <f>ROUND('geg ZO'!K166*VLOOKUP($F332,categorieMat,3,FALSE),0)</f>
        <v>0</v>
      </c>
      <c r="M332" s="1461">
        <f>ROUND('geg ZO'!L166*VLOOKUP($F332,categorieMat,3,FALSE),0)</f>
        <v>0</v>
      </c>
      <c r="N332" s="1461">
        <f>ROUND('geg ZO'!M166*VLOOKUP($F332,categorieMat,3,FALSE),0)</f>
        <v>0</v>
      </c>
      <c r="O332" s="1461">
        <f>ROUND('geg ZO'!N166*VLOOKUP($F332,categorieMat,3,FALSE),0)</f>
        <v>0</v>
      </c>
      <c r="P332" s="1461">
        <f>ROUND('geg ZO'!O166*VLOOKUP($F332,categorieMat,3,FALSE),0)</f>
        <v>0</v>
      </c>
      <c r="Q332" s="1037"/>
      <c r="R332" s="539"/>
    </row>
    <row r="333" spans="2:18" ht="13.15" customHeight="1" x14ac:dyDescent="0.2">
      <c r="B333" s="26"/>
      <c r="C333" s="1037"/>
      <c r="D333" s="1000"/>
      <c r="E333" s="1037"/>
      <c r="F333" s="1000" t="str">
        <f t="shared" si="22"/>
        <v>categorie 1</v>
      </c>
      <c r="G333" s="1076" t="str">
        <f t="shared" si="22"/>
        <v>8jr eo</v>
      </c>
      <c r="H333" s="1037"/>
      <c r="I333" s="1461">
        <v>0</v>
      </c>
      <c r="J333" s="1461">
        <f>ROUND('geg ZO'!I167*VLOOKUP($F333,categorieMat8jreo,3,FALSE),0)</f>
        <v>0</v>
      </c>
      <c r="K333" s="1461">
        <f>ROUND('geg ZO'!J167*VLOOKUP($F333,categorieMat8jreo,3,FALSE),0)</f>
        <v>0</v>
      </c>
      <c r="L333" s="1461">
        <f>ROUND('geg ZO'!K167*VLOOKUP($F333,categorieMat8jreo,3,FALSE),0)</f>
        <v>0</v>
      </c>
      <c r="M333" s="1461">
        <f>ROUND('geg ZO'!L167*VLOOKUP($F333,categorieMat8jreo,3,FALSE),0)</f>
        <v>0</v>
      </c>
      <c r="N333" s="1461">
        <f>ROUND('geg ZO'!M167*VLOOKUP($F333,categorieMat8jreo,3,FALSE),0)</f>
        <v>0</v>
      </c>
      <c r="O333" s="1461">
        <f>ROUND('geg ZO'!N167*VLOOKUP($F333,categorieMat8jreo,3,FALSE),0)</f>
        <v>0</v>
      </c>
      <c r="P333" s="1461">
        <f>ROUND('geg ZO'!O167*VLOOKUP($F333,categorieMat8jreo,3,FALSE),0)</f>
        <v>0</v>
      </c>
      <c r="Q333" s="1037"/>
      <c r="R333" s="539"/>
    </row>
    <row r="334" spans="2:18" ht="13.15" customHeight="1" x14ac:dyDescent="0.2">
      <c r="B334" s="26"/>
      <c r="C334" s="1037"/>
      <c r="D334" s="1000"/>
      <c r="E334" s="1037"/>
      <c r="F334" s="1000" t="str">
        <f t="shared" si="22"/>
        <v>categorie 2</v>
      </c>
      <c r="G334" s="1076" t="str">
        <f t="shared" si="22"/>
        <v>8jr eo</v>
      </c>
      <c r="H334" s="1037"/>
      <c r="I334" s="1461">
        <v>0</v>
      </c>
      <c r="J334" s="1461">
        <f>ROUND('geg ZO'!I168*VLOOKUP($F334,categorieMat8jreo,3,FALSE),0)</f>
        <v>0</v>
      </c>
      <c r="K334" s="1461">
        <f>ROUND('geg ZO'!J168*VLOOKUP($F334,categorieMat8jreo,3,FALSE),0)</f>
        <v>0</v>
      </c>
      <c r="L334" s="1461">
        <f>ROUND('geg ZO'!K168*VLOOKUP($F334,categorieMat8jreo,3,FALSE),0)</f>
        <v>0</v>
      </c>
      <c r="M334" s="1461">
        <f>ROUND('geg ZO'!L168*VLOOKUP($F334,categorieMat8jreo,3,FALSE),0)</f>
        <v>0</v>
      </c>
      <c r="N334" s="1461">
        <f>ROUND('geg ZO'!M168*VLOOKUP($F334,categorieMat8jreo,3,FALSE),0)</f>
        <v>0</v>
      </c>
      <c r="O334" s="1461">
        <f>ROUND('geg ZO'!N168*VLOOKUP($F334,categorieMat8jreo,3,FALSE),0)</f>
        <v>0</v>
      </c>
      <c r="P334" s="1461">
        <f>ROUND('geg ZO'!O168*VLOOKUP($F334,categorieMat8jreo,3,FALSE),0)</f>
        <v>0</v>
      </c>
      <c r="Q334" s="1037"/>
      <c r="R334" s="539"/>
    </row>
    <row r="335" spans="2:18" ht="13.15" customHeight="1" x14ac:dyDescent="0.2">
      <c r="B335" s="26"/>
      <c r="C335" s="1037"/>
      <c r="D335" s="1000"/>
      <c r="E335" s="1037"/>
      <c r="F335" s="1000" t="str">
        <f t="shared" si="22"/>
        <v>categorie 3</v>
      </c>
      <c r="G335" s="1076" t="str">
        <f t="shared" si="22"/>
        <v>8jr eo</v>
      </c>
      <c r="H335" s="1037"/>
      <c r="I335" s="1461">
        <v>0</v>
      </c>
      <c r="J335" s="1461">
        <f>ROUND('geg ZO'!I169*VLOOKUP($F335,categorieMat8jreo,3,FALSE),0)</f>
        <v>0</v>
      </c>
      <c r="K335" s="1461">
        <f>ROUND('geg ZO'!J169*VLOOKUP($F335,categorieMat8jreo,3,FALSE),0)</f>
        <v>0</v>
      </c>
      <c r="L335" s="1461">
        <f>ROUND('geg ZO'!K169*VLOOKUP($F335,categorieMat8jreo,3,FALSE),0)</f>
        <v>0</v>
      </c>
      <c r="M335" s="1461">
        <f>ROUND('geg ZO'!L169*VLOOKUP($F335,categorieMat8jreo,3,FALSE),0)</f>
        <v>0</v>
      </c>
      <c r="N335" s="1461">
        <f>ROUND('geg ZO'!M169*VLOOKUP($F335,categorieMat8jreo,3,FALSE),0)</f>
        <v>0</v>
      </c>
      <c r="O335" s="1461">
        <f>ROUND('geg ZO'!N169*VLOOKUP($F335,categorieMat8jreo,3,FALSE),0)</f>
        <v>0</v>
      </c>
      <c r="P335" s="1461">
        <f>ROUND('geg ZO'!O169*VLOOKUP($F335,categorieMat8jreo,3,FALSE),0)</f>
        <v>0</v>
      </c>
      <c r="Q335" s="1037"/>
      <c r="R335" s="539"/>
    </row>
    <row r="336" spans="2:18" ht="13.15" customHeight="1" x14ac:dyDescent="0.2">
      <c r="B336" s="26"/>
      <c r="C336" s="1037"/>
      <c r="D336" s="1000"/>
      <c r="E336" s="1037"/>
      <c r="F336" s="1000"/>
      <c r="G336" s="1076"/>
      <c r="H336" s="1037"/>
      <c r="I336" s="1277"/>
      <c r="J336" s="1076"/>
      <c r="K336" s="1076"/>
      <c r="L336" s="1076"/>
      <c r="M336" s="1076"/>
      <c r="N336" s="1076"/>
      <c r="O336" s="1076"/>
      <c r="P336" s="1076"/>
      <c r="Q336" s="1037"/>
      <c r="R336" s="539"/>
    </row>
    <row r="337" spans="2:18" ht="13.15" customHeight="1" x14ac:dyDescent="0.2">
      <c r="B337" s="26"/>
      <c r="C337" s="27"/>
      <c r="D337" s="87"/>
      <c r="E337" s="27"/>
      <c r="F337" s="87"/>
      <c r="G337" s="80"/>
      <c r="H337" s="27"/>
      <c r="I337" s="342"/>
      <c r="J337" s="342"/>
      <c r="K337" s="342"/>
      <c r="L337" s="342"/>
      <c r="M337" s="342"/>
      <c r="N337" s="342"/>
      <c r="O337" s="342"/>
      <c r="P337" s="342"/>
      <c r="Q337" s="27"/>
      <c r="R337" s="30"/>
    </row>
    <row r="338" spans="2:18" ht="13.15" customHeight="1" x14ac:dyDescent="0.2">
      <c r="B338" s="211"/>
      <c r="C338" s="194"/>
      <c r="D338" s="93"/>
      <c r="E338" s="194"/>
      <c r="F338" s="93"/>
      <c r="G338" s="94"/>
      <c r="H338" s="194"/>
      <c r="I338" s="345"/>
      <c r="J338" s="345"/>
      <c r="K338" s="345"/>
      <c r="L338" s="345"/>
      <c r="M338" s="345"/>
      <c r="N338" s="345"/>
      <c r="O338" s="345"/>
      <c r="P338" s="345"/>
      <c r="Q338" s="194"/>
      <c r="R338" s="213"/>
    </row>
    <row r="339" spans="2:18" ht="13.15" customHeight="1" x14ac:dyDescent="0.2">
      <c r="B339" s="23"/>
      <c r="C339" s="24"/>
      <c r="D339" s="83"/>
      <c r="E339" s="24"/>
      <c r="F339" s="83"/>
      <c r="G339" s="84"/>
      <c r="H339" s="24"/>
      <c r="I339" s="344"/>
      <c r="J339" s="344"/>
      <c r="K339" s="344"/>
      <c r="L339" s="344"/>
      <c r="M339" s="344"/>
      <c r="N339" s="344"/>
      <c r="O339" s="344"/>
      <c r="P339" s="344"/>
      <c r="Q339" s="24"/>
      <c r="R339" s="25"/>
    </row>
    <row r="340" spans="2:18" ht="13.15" customHeight="1" x14ac:dyDescent="0.2">
      <c r="B340" s="26"/>
      <c r="C340" s="27"/>
      <c r="D340" s="87"/>
      <c r="E340" s="27"/>
      <c r="F340" s="87"/>
      <c r="G340" s="80"/>
      <c r="H340" s="27"/>
      <c r="I340" s="342"/>
      <c r="J340" s="342"/>
      <c r="K340" s="342"/>
      <c r="L340" s="342"/>
      <c r="M340" s="342"/>
      <c r="N340" s="342"/>
      <c r="O340" s="342"/>
      <c r="P340" s="342"/>
      <c r="Q340" s="27"/>
      <c r="R340" s="30"/>
    </row>
    <row r="341" spans="2:18" ht="13.15" customHeight="1" x14ac:dyDescent="0.2">
      <c r="B341" s="26"/>
      <c r="C341" s="27"/>
      <c r="D341" s="87"/>
      <c r="E341" s="27"/>
      <c r="F341" s="87"/>
      <c r="G341" s="80"/>
      <c r="H341" s="27"/>
      <c r="I341" s="342"/>
      <c r="J341" s="342"/>
      <c r="K341" s="342"/>
      <c r="L341" s="342"/>
      <c r="M341" s="342"/>
      <c r="N341" s="342"/>
      <c r="O341" s="342"/>
      <c r="P341" s="342"/>
      <c r="Q341" s="27"/>
      <c r="R341" s="539"/>
    </row>
    <row r="342" spans="2:18" ht="13.15" customHeight="1" x14ac:dyDescent="0.2">
      <c r="B342" s="26"/>
      <c r="C342" s="27"/>
      <c r="D342" s="87"/>
      <c r="E342" s="27"/>
      <c r="F342" s="87"/>
      <c r="G342" s="80"/>
      <c r="H342" s="27"/>
      <c r="I342" s="661" t="e">
        <f t="shared" ref="I342:O342" si="23">I241</f>
        <v>#REF!</v>
      </c>
      <c r="J342" s="661">
        <f t="shared" si="23"/>
        <v>2015</v>
      </c>
      <c r="K342" s="661">
        <f t="shared" si="23"/>
        <v>2016</v>
      </c>
      <c r="L342" s="661">
        <f t="shared" si="23"/>
        <v>2017</v>
      </c>
      <c r="M342" s="661">
        <f t="shared" si="23"/>
        <v>2018</v>
      </c>
      <c r="N342" s="661">
        <f t="shared" si="23"/>
        <v>2019</v>
      </c>
      <c r="O342" s="661">
        <f t="shared" si="23"/>
        <v>2020</v>
      </c>
      <c r="P342" s="661">
        <f t="shared" ref="P342" si="24">P241</f>
        <v>2021</v>
      </c>
      <c r="Q342" s="27"/>
      <c r="R342" s="30"/>
    </row>
    <row r="343" spans="2:18" ht="13.15" customHeight="1" x14ac:dyDescent="0.2">
      <c r="B343" s="26"/>
      <c r="C343" s="27"/>
      <c r="D343" s="87"/>
      <c r="E343" s="27"/>
      <c r="F343" s="87"/>
      <c r="G343" s="80"/>
      <c r="H343" s="27"/>
      <c r="I343" s="701"/>
      <c r="J343" s="701"/>
      <c r="K343" s="701"/>
      <c r="L343" s="701"/>
      <c r="M343" s="701"/>
      <c r="N343" s="701"/>
      <c r="O343" s="701"/>
      <c r="P343" s="701"/>
      <c r="Q343" s="27"/>
      <c r="R343" s="30"/>
    </row>
    <row r="344" spans="2:18" ht="13.15" customHeight="1" x14ac:dyDescent="0.2">
      <c r="B344" s="26"/>
      <c r="C344" s="1037"/>
      <c r="D344" s="1000"/>
      <c r="E344" s="1037"/>
      <c r="F344" s="1000"/>
      <c r="G344" s="1076"/>
      <c r="H344" s="1037"/>
      <c r="I344" s="1076"/>
      <c r="J344" s="1076"/>
      <c r="K344" s="1076"/>
      <c r="L344" s="1076"/>
      <c r="M344" s="1076"/>
      <c r="N344" s="1076"/>
      <c r="O344" s="1076"/>
      <c r="P344" s="1076"/>
      <c r="Q344" s="1037"/>
      <c r="R344" s="539"/>
    </row>
    <row r="345" spans="2:18" ht="13.15" customHeight="1" x14ac:dyDescent="0.2">
      <c r="B345" s="26"/>
      <c r="C345" s="1037"/>
      <c r="D345" s="1447" t="str">
        <f>+D143</f>
        <v>Naam SO 16</v>
      </c>
      <c r="E345" s="1037"/>
      <c r="F345" s="1000" t="str">
        <f t="shared" ref="F345:G364" si="25">+F143</f>
        <v>categorie 1</v>
      </c>
      <c r="G345" s="1076" t="str">
        <f t="shared" si="25"/>
        <v>&lt; 8 jr</v>
      </c>
      <c r="H345" s="1037"/>
      <c r="I345" s="1461">
        <v>0</v>
      </c>
      <c r="J345" s="1461">
        <f>ROUND('geg ZO'!I180*VLOOKUP($F345,categorieMat,3,FALSE),0)</f>
        <v>0</v>
      </c>
      <c r="K345" s="1461">
        <f>ROUND('geg ZO'!J180*VLOOKUP($F345,categorieMat,3,FALSE),0)</f>
        <v>0</v>
      </c>
      <c r="L345" s="1461">
        <f>ROUND('geg ZO'!K180*VLOOKUP($F345,categorieMat,3,FALSE),0)</f>
        <v>0</v>
      </c>
      <c r="M345" s="1461">
        <f>ROUND('geg ZO'!L180*VLOOKUP($F345,categorieMat,3,FALSE),0)</f>
        <v>0</v>
      </c>
      <c r="N345" s="1461">
        <f>ROUND('geg ZO'!M180*VLOOKUP($F345,categorieMat,3,FALSE),0)</f>
        <v>0</v>
      </c>
      <c r="O345" s="1461">
        <f>ROUND('geg ZO'!N180*VLOOKUP($F345,categorieMat,3,FALSE),0)</f>
        <v>0</v>
      </c>
      <c r="P345" s="1461">
        <f>ROUND('geg ZO'!O180*VLOOKUP($F345,categorieMat,3,FALSE),0)</f>
        <v>0</v>
      </c>
      <c r="Q345" s="1037"/>
      <c r="R345" s="539"/>
    </row>
    <row r="346" spans="2:18" ht="13.15" customHeight="1" x14ac:dyDescent="0.2">
      <c r="B346" s="26"/>
      <c r="C346" s="1037"/>
      <c r="D346" s="1000"/>
      <c r="E346" s="1037"/>
      <c r="F346" s="1000" t="str">
        <f t="shared" si="25"/>
        <v>categorie 2</v>
      </c>
      <c r="G346" s="1076" t="str">
        <f t="shared" si="25"/>
        <v>&lt; 8 jr</v>
      </c>
      <c r="H346" s="1037"/>
      <c r="I346" s="1461">
        <v>0</v>
      </c>
      <c r="J346" s="1461">
        <f>ROUND('geg ZO'!I181*VLOOKUP($F346,categorieMat,3,FALSE),0)</f>
        <v>0</v>
      </c>
      <c r="K346" s="1461">
        <f>ROUND('geg ZO'!J181*VLOOKUP($F346,categorieMat,3,FALSE),0)</f>
        <v>0</v>
      </c>
      <c r="L346" s="1461">
        <f>ROUND('geg ZO'!K181*VLOOKUP($F346,categorieMat,3,FALSE),0)</f>
        <v>0</v>
      </c>
      <c r="M346" s="1461">
        <f>ROUND('geg ZO'!L181*VLOOKUP($F346,categorieMat,3,FALSE),0)</f>
        <v>0</v>
      </c>
      <c r="N346" s="1461">
        <f>ROUND('geg ZO'!M181*VLOOKUP($F346,categorieMat,3,FALSE),0)</f>
        <v>0</v>
      </c>
      <c r="O346" s="1461">
        <f>ROUND('geg ZO'!N181*VLOOKUP($F346,categorieMat,3,FALSE),0)</f>
        <v>0</v>
      </c>
      <c r="P346" s="1461">
        <f>ROUND('geg ZO'!O181*VLOOKUP($F346,categorieMat,3,FALSE),0)</f>
        <v>0</v>
      </c>
      <c r="Q346" s="1037"/>
      <c r="R346" s="539"/>
    </row>
    <row r="347" spans="2:18" ht="13.15" customHeight="1" x14ac:dyDescent="0.2">
      <c r="B347" s="26"/>
      <c r="C347" s="1037"/>
      <c r="D347" s="1000"/>
      <c r="E347" s="1037"/>
      <c r="F347" s="1000" t="str">
        <f t="shared" si="25"/>
        <v>categorie 3</v>
      </c>
      <c r="G347" s="1076" t="str">
        <f t="shared" si="25"/>
        <v>&lt; 8 jr</v>
      </c>
      <c r="H347" s="1037"/>
      <c r="I347" s="1461">
        <v>0</v>
      </c>
      <c r="J347" s="1461">
        <f>ROUND('geg ZO'!I182*VLOOKUP($F347,categorieMat,3,FALSE),0)</f>
        <v>0</v>
      </c>
      <c r="K347" s="1461">
        <f>ROUND('geg ZO'!J182*VLOOKUP($F347,categorieMat,3,FALSE),0)</f>
        <v>0</v>
      </c>
      <c r="L347" s="1461">
        <f>ROUND('geg ZO'!K182*VLOOKUP($F347,categorieMat,3,FALSE),0)</f>
        <v>0</v>
      </c>
      <c r="M347" s="1461">
        <f>ROUND('geg ZO'!L182*VLOOKUP($F347,categorieMat,3,FALSE),0)</f>
        <v>0</v>
      </c>
      <c r="N347" s="1461">
        <f>ROUND('geg ZO'!M182*VLOOKUP($F347,categorieMat,3,FALSE),0)</f>
        <v>0</v>
      </c>
      <c r="O347" s="1461">
        <f>ROUND('geg ZO'!N182*VLOOKUP($F347,categorieMat,3,FALSE),0)</f>
        <v>0</v>
      </c>
      <c r="P347" s="1461">
        <f>ROUND('geg ZO'!O182*VLOOKUP($F347,categorieMat,3,FALSE),0)</f>
        <v>0</v>
      </c>
      <c r="Q347" s="1037"/>
      <c r="R347" s="539"/>
    </row>
    <row r="348" spans="2:18" ht="13.15" customHeight="1" x14ac:dyDescent="0.2">
      <c r="B348" s="26"/>
      <c r="C348" s="1037"/>
      <c r="D348" s="1000"/>
      <c r="E348" s="1037"/>
      <c r="F348" s="1000" t="str">
        <f t="shared" si="25"/>
        <v>categorie 1</v>
      </c>
      <c r="G348" s="1076" t="str">
        <f t="shared" si="25"/>
        <v>8jr eo</v>
      </c>
      <c r="H348" s="1037"/>
      <c r="I348" s="1461">
        <v>0</v>
      </c>
      <c r="J348" s="1461">
        <f>ROUND('geg ZO'!I183*VLOOKUP($F348,categorieMat8jreo,3,FALSE),0)</f>
        <v>0</v>
      </c>
      <c r="K348" s="1461">
        <f>ROUND('geg ZO'!J183*VLOOKUP($F348,categorieMat8jreo,3,FALSE),0)</f>
        <v>0</v>
      </c>
      <c r="L348" s="1461">
        <f>ROUND('geg ZO'!K183*VLOOKUP($F348,categorieMat8jreo,3,FALSE),0)</f>
        <v>0</v>
      </c>
      <c r="M348" s="1461">
        <f>ROUND('geg ZO'!L183*VLOOKUP($F348,categorieMat8jreo,3,FALSE),0)</f>
        <v>0</v>
      </c>
      <c r="N348" s="1461">
        <f>ROUND('geg ZO'!M183*VLOOKUP($F348,categorieMat8jreo,3,FALSE),0)</f>
        <v>0</v>
      </c>
      <c r="O348" s="1461">
        <f>ROUND('geg ZO'!N183*VLOOKUP($F348,categorieMat8jreo,3,FALSE),0)</f>
        <v>0</v>
      </c>
      <c r="P348" s="1461">
        <f>ROUND('geg ZO'!O183*VLOOKUP($F348,categorieMat8jreo,3,FALSE),0)</f>
        <v>0</v>
      </c>
      <c r="Q348" s="1037"/>
      <c r="R348" s="539"/>
    </row>
    <row r="349" spans="2:18" ht="13.15" customHeight="1" x14ac:dyDescent="0.2">
      <c r="B349" s="26"/>
      <c r="C349" s="1037"/>
      <c r="D349" s="1000"/>
      <c r="E349" s="1037"/>
      <c r="F349" s="1000" t="str">
        <f t="shared" si="25"/>
        <v>categorie 2</v>
      </c>
      <c r="G349" s="1076" t="str">
        <f t="shared" si="25"/>
        <v>8jr eo</v>
      </c>
      <c r="H349" s="1037"/>
      <c r="I349" s="1461">
        <v>0</v>
      </c>
      <c r="J349" s="1461">
        <f>ROUND('geg ZO'!I184*VLOOKUP($F349,categorieMat8jreo,3,FALSE),0)</f>
        <v>0</v>
      </c>
      <c r="K349" s="1461">
        <f>ROUND('geg ZO'!J184*VLOOKUP($F349,categorieMat8jreo,3,FALSE),0)</f>
        <v>0</v>
      </c>
      <c r="L349" s="1461">
        <f>ROUND('geg ZO'!K184*VLOOKUP($F349,categorieMat8jreo,3,FALSE),0)</f>
        <v>0</v>
      </c>
      <c r="M349" s="1461">
        <f>ROUND('geg ZO'!L184*VLOOKUP($F349,categorieMat8jreo,3,FALSE),0)</f>
        <v>0</v>
      </c>
      <c r="N349" s="1461">
        <f>ROUND('geg ZO'!M184*VLOOKUP($F349,categorieMat8jreo,3,FALSE),0)</f>
        <v>0</v>
      </c>
      <c r="O349" s="1461">
        <f>ROUND('geg ZO'!N184*VLOOKUP($F349,categorieMat8jreo,3,FALSE),0)</f>
        <v>0</v>
      </c>
      <c r="P349" s="1461">
        <f>ROUND('geg ZO'!O184*VLOOKUP($F349,categorieMat8jreo,3,FALSE),0)</f>
        <v>0</v>
      </c>
      <c r="Q349" s="1037"/>
      <c r="R349" s="539"/>
    </row>
    <row r="350" spans="2:18" ht="13.15" customHeight="1" x14ac:dyDescent="0.2">
      <c r="B350" s="26"/>
      <c r="C350" s="1037"/>
      <c r="D350" s="1000"/>
      <c r="E350" s="1037"/>
      <c r="F350" s="1000" t="str">
        <f t="shared" si="25"/>
        <v>categorie 3</v>
      </c>
      <c r="G350" s="1076" t="str">
        <f t="shared" si="25"/>
        <v>8jr eo</v>
      </c>
      <c r="H350" s="1037"/>
      <c r="I350" s="1461">
        <v>0</v>
      </c>
      <c r="J350" s="1461">
        <f>ROUND('geg ZO'!I185*VLOOKUP($F350,categorieMat8jreo,3,FALSE),0)</f>
        <v>0</v>
      </c>
      <c r="K350" s="1461">
        <f>ROUND('geg ZO'!J185*VLOOKUP($F350,categorieMat8jreo,3,FALSE),0)</f>
        <v>0</v>
      </c>
      <c r="L350" s="1461">
        <f>ROUND('geg ZO'!K185*VLOOKUP($F350,categorieMat8jreo,3,FALSE),0)</f>
        <v>0</v>
      </c>
      <c r="M350" s="1461">
        <f>ROUND('geg ZO'!L185*VLOOKUP($F350,categorieMat8jreo,3,FALSE),0)</f>
        <v>0</v>
      </c>
      <c r="N350" s="1461">
        <f>ROUND('geg ZO'!M185*VLOOKUP($F350,categorieMat8jreo,3,FALSE),0)</f>
        <v>0</v>
      </c>
      <c r="O350" s="1461">
        <f>ROUND('geg ZO'!N185*VLOOKUP($F350,categorieMat8jreo,3,FALSE),0)</f>
        <v>0</v>
      </c>
      <c r="P350" s="1461">
        <f>ROUND('geg ZO'!O185*VLOOKUP($F350,categorieMat8jreo,3,FALSE),0)</f>
        <v>0</v>
      </c>
      <c r="Q350" s="1037"/>
      <c r="R350" s="539"/>
    </row>
    <row r="351" spans="2:18" ht="13.15" customHeight="1" x14ac:dyDescent="0.2">
      <c r="B351" s="26"/>
      <c r="C351" s="1037"/>
      <c r="D351" s="1447" t="str">
        <f>+D149</f>
        <v>Naam SO 17</v>
      </c>
      <c r="E351" s="1037"/>
      <c r="F351" s="1000" t="str">
        <f t="shared" si="25"/>
        <v>categorie 1</v>
      </c>
      <c r="G351" s="1076" t="str">
        <f t="shared" si="25"/>
        <v>&lt; 8 jr</v>
      </c>
      <c r="H351" s="1037"/>
      <c r="I351" s="1461">
        <v>0</v>
      </c>
      <c r="J351" s="1461">
        <f>ROUND('geg ZO'!I188*VLOOKUP($F351,categorieMat,3,FALSE),0)</f>
        <v>0</v>
      </c>
      <c r="K351" s="1461">
        <f>ROUND('geg ZO'!J188*VLOOKUP($F351,categorieMat,3,FALSE),0)</f>
        <v>0</v>
      </c>
      <c r="L351" s="1461">
        <f>ROUND('geg ZO'!K188*VLOOKUP($F351,categorieMat,3,FALSE),0)</f>
        <v>0</v>
      </c>
      <c r="M351" s="1461">
        <f>ROUND('geg ZO'!L188*VLOOKUP($F351,categorieMat,3,FALSE),0)</f>
        <v>0</v>
      </c>
      <c r="N351" s="1461">
        <f>ROUND('geg ZO'!M188*VLOOKUP($F351,categorieMat,3,FALSE),0)</f>
        <v>0</v>
      </c>
      <c r="O351" s="1461">
        <f>ROUND('geg ZO'!N188*VLOOKUP($F351,categorieMat,3,FALSE),0)</f>
        <v>0</v>
      </c>
      <c r="P351" s="1461">
        <f>ROUND('geg ZO'!O188*VLOOKUP($F351,categorieMat,3,FALSE),0)</f>
        <v>0</v>
      </c>
      <c r="Q351" s="1037"/>
      <c r="R351" s="539"/>
    </row>
    <row r="352" spans="2:18" ht="13.15" customHeight="1" x14ac:dyDescent="0.2">
      <c r="B352" s="26"/>
      <c r="C352" s="1037"/>
      <c r="D352" s="1000"/>
      <c r="E352" s="1037"/>
      <c r="F352" s="1000" t="str">
        <f t="shared" si="25"/>
        <v>categorie 2</v>
      </c>
      <c r="G352" s="1076" t="str">
        <f t="shared" si="25"/>
        <v>&lt; 8 jr</v>
      </c>
      <c r="H352" s="1037"/>
      <c r="I352" s="1461">
        <v>0</v>
      </c>
      <c r="J352" s="1461">
        <f>ROUND('geg ZO'!I189*VLOOKUP($F352,categorieMat,3,FALSE),0)</f>
        <v>0</v>
      </c>
      <c r="K352" s="1461">
        <f>ROUND('geg ZO'!J189*VLOOKUP($F352,categorieMat,3,FALSE),0)</f>
        <v>0</v>
      </c>
      <c r="L352" s="1461">
        <f>ROUND('geg ZO'!K189*VLOOKUP($F352,categorieMat,3,FALSE),0)</f>
        <v>0</v>
      </c>
      <c r="M352" s="1461">
        <f>ROUND('geg ZO'!L189*VLOOKUP($F352,categorieMat,3,FALSE),0)</f>
        <v>0</v>
      </c>
      <c r="N352" s="1461">
        <f>ROUND('geg ZO'!M189*VLOOKUP($F352,categorieMat,3,FALSE),0)</f>
        <v>0</v>
      </c>
      <c r="O352" s="1461">
        <f>ROUND('geg ZO'!N189*VLOOKUP($F352,categorieMat,3,FALSE),0)</f>
        <v>0</v>
      </c>
      <c r="P352" s="1461">
        <f>ROUND('geg ZO'!O189*VLOOKUP($F352,categorieMat,3,FALSE),0)</f>
        <v>0</v>
      </c>
      <c r="Q352" s="1037"/>
      <c r="R352" s="539"/>
    </row>
    <row r="353" spans="2:18" ht="13.15" customHeight="1" x14ac:dyDescent="0.2">
      <c r="B353" s="26"/>
      <c r="C353" s="1037"/>
      <c r="D353" s="1000"/>
      <c r="E353" s="1037"/>
      <c r="F353" s="1000" t="str">
        <f t="shared" si="25"/>
        <v>categorie 3</v>
      </c>
      <c r="G353" s="1076" t="str">
        <f t="shared" si="25"/>
        <v>&lt; 8 jr</v>
      </c>
      <c r="H353" s="1037"/>
      <c r="I353" s="1461">
        <v>0</v>
      </c>
      <c r="J353" s="1461">
        <f>ROUND('geg ZO'!I190*VLOOKUP($F353,categorieMat,3,FALSE),0)</f>
        <v>0</v>
      </c>
      <c r="K353" s="1461">
        <f>ROUND('geg ZO'!J190*VLOOKUP($F353,categorieMat,3,FALSE),0)</f>
        <v>0</v>
      </c>
      <c r="L353" s="1461">
        <f>ROUND('geg ZO'!K190*VLOOKUP($F353,categorieMat,3,FALSE),0)</f>
        <v>0</v>
      </c>
      <c r="M353" s="1461">
        <f>ROUND('geg ZO'!L190*VLOOKUP($F353,categorieMat,3,FALSE),0)</f>
        <v>0</v>
      </c>
      <c r="N353" s="1461">
        <f>ROUND('geg ZO'!M190*VLOOKUP($F353,categorieMat,3,FALSE),0)</f>
        <v>0</v>
      </c>
      <c r="O353" s="1461">
        <f>ROUND('geg ZO'!N190*VLOOKUP($F353,categorieMat,3,FALSE),0)</f>
        <v>0</v>
      </c>
      <c r="P353" s="1461">
        <f>ROUND('geg ZO'!O190*VLOOKUP($F353,categorieMat,3,FALSE),0)</f>
        <v>0</v>
      </c>
      <c r="Q353" s="1037"/>
      <c r="R353" s="539"/>
    </row>
    <row r="354" spans="2:18" ht="13.15" customHeight="1" x14ac:dyDescent="0.2">
      <c r="B354" s="26"/>
      <c r="C354" s="1037"/>
      <c r="D354" s="1000"/>
      <c r="E354" s="1037"/>
      <c r="F354" s="1000" t="str">
        <f t="shared" si="25"/>
        <v>categorie 1</v>
      </c>
      <c r="G354" s="1076" t="str">
        <f t="shared" si="25"/>
        <v>8jr eo</v>
      </c>
      <c r="H354" s="1037"/>
      <c r="I354" s="1461">
        <v>0</v>
      </c>
      <c r="J354" s="1461">
        <f>ROUND('geg ZO'!I191*VLOOKUP($F354,categorieMat8jreo,3,FALSE),0)</f>
        <v>0</v>
      </c>
      <c r="K354" s="1461">
        <f>ROUND('geg ZO'!J191*VLOOKUP($F354,categorieMat8jreo,3,FALSE),0)</f>
        <v>0</v>
      </c>
      <c r="L354" s="1461">
        <f>ROUND('geg ZO'!K191*VLOOKUP($F354,categorieMat8jreo,3,FALSE),0)</f>
        <v>0</v>
      </c>
      <c r="M354" s="1461">
        <f>ROUND('geg ZO'!L191*VLOOKUP($F354,categorieMat8jreo,3,FALSE),0)</f>
        <v>0</v>
      </c>
      <c r="N354" s="1461">
        <f>ROUND('geg ZO'!M191*VLOOKUP($F354,categorieMat8jreo,3,FALSE),0)</f>
        <v>0</v>
      </c>
      <c r="O354" s="1461">
        <f>ROUND('geg ZO'!N191*VLOOKUP($F354,categorieMat8jreo,3,FALSE),0)</f>
        <v>0</v>
      </c>
      <c r="P354" s="1461">
        <f>ROUND('geg ZO'!O191*VLOOKUP($F354,categorieMat8jreo,3,FALSE),0)</f>
        <v>0</v>
      </c>
      <c r="Q354" s="1037"/>
      <c r="R354" s="539"/>
    </row>
    <row r="355" spans="2:18" ht="13.15" customHeight="1" x14ac:dyDescent="0.2">
      <c r="B355" s="26"/>
      <c r="C355" s="1037"/>
      <c r="D355" s="1000"/>
      <c r="E355" s="1037"/>
      <c r="F355" s="1000" t="str">
        <f t="shared" si="25"/>
        <v>categorie 2</v>
      </c>
      <c r="G355" s="1076" t="str">
        <f t="shared" si="25"/>
        <v>8jr eo</v>
      </c>
      <c r="H355" s="1037"/>
      <c r="I355" s="1461">
        <v>0</v>
      </c>
      <c r="J355" s="1461">
        <f>ROUND('geg ZO'!I192*VLOOKUP($F355,categorieMat8jreo,3,FALSE),0)</f>
        <v>0</v>
      </c>
      <c r="K355" s="1461">
        <f>ROUND('geg ZO'!J192*VLOOKUP($F355,categorieMat8jreo,3,FALSE),0)</f>
        <v>0</v>
      </c>
      <c r="L355" s="1461">
        <f>ROUND('geg ZO'!K192*VLOOKUP($F355,categorieMat8jreo,3,FALSE),0)</f>
        <v>0</v>
      </c>
      <c r="M355" s="1461">
        <f>ROUND('geg ZO'!L192*VLOOKUP($F355,categorieMat8jreo,3,FALSE),0)</f>
        <v>0</v>
      </c>
      <c r="N355" s="1461">
        <f>ROUND('geg ZO'!M192*VLOOKUP($F355,categorieMat8jreo,3,FALSE),0)</f>
        <v>0</v>
      </c>
      <c r="O355" s="1461">
        <f>ROUND('geg ZO'!N192*VLOOKUP($F355,categorieMat8jreo,3,FALSE),0)</f>
        <v>0</v>
      </c>
      <c r="P355" s="1461">
        <f>ROUND('geg ZO'!O192*VLOOKUP($F355,categorieMat8jreo,3,FALSE),0)</f>
        <v>0</v>
      </c>
      <c r="Q355" s="1037"/>
      <c r="R355" s="539"/>
    </row>
    <row r="356" spans="2:18" ht="13.15" customHeight="1" x14ac:dyDescent="0.2">
      <c r="B356" s="26"/>
      <c r="C356" s="1037"/>
      <c r="D356" s="1000"/>
      <c r="E356" s="1037"/>
      <c r="F356" s="1000" t="str">
        <f t="shared" si="25"/>
        <v>categorie 3</v>
      </c>
      <c r="G356" s="1076" t="str">
        <f t="shared" si="25"/>
        <v>8jr eo</v>
      </c>
      <c r="H356" s="1037"/>
      <c r="I356" s="1461">
        <v>0</v>
      </c>
      <c r="J356" s="1461">
        <f>ROUND('geg ZO'!I193*VLOOKUP($F356,categorieMat8jreo,3,FALSE),0)</f>
        <v>0</v>
      </c>
      <c r="K356" s="1461">
        <f>ROUND('geg ZO'!J193*VLOOKUP($F356,categorieMat8jreo,3,FALSE),0)</f>
        <v>0</v>
      </c>
      <c r="L356" s="1461">
        <f>ROUND('geg ZO'!K193*VLOOKUP($F356,categorieMat8jreo,3,FALSE),0)</f>
        <v>0</v>
      </c>
      <c r="M356" s="1461">
        <f>ROUND('geg ZO'!L193*VLOOKUP($F356,categorieMat8jreo,3,FALSE),0)</f>
        <v>0</v>
      </c>
      <c r="N356" s="1461">
        <f>ROUND('geg ZO'!M193*VLOOKUP($F356,categorieMat8jreo,3,FALSE),0)</f>
        <v>0</v>
      </c>
      <c r="O356" s="1461">
        <f>ROUND('geg ZO'!N193*VLOOKUP($F356,categorieMat8jreo,3,FALSE),0)</f>
        <v>0</v>
      </c>
      <c r="P356" s="1461">
        <f>ROUND('geg ZO'!O193*VLOOKUP($F356,categorieMat8jreo,3,FALSE),0)</f>
        <v>0</v>
      </c>
      <c r="Q356" s="1037"/>
      <c r="R356" s="539"/>
    </row>
    <row r="357" spans="2:18" ht="13.15" customHeight="1" x14ac:dyDescent="0.2">
      <c r="B357" s="26"/>
      <c r="C357" s="1037"/>
      <c r="D357" s="1447" t="str">
        <f>+D155</f>
        <v>Naam SO 18</v>
      </c>
      <c r="E357" s="1037"/>
      <c r="F357" s="1000" t="str">
        <f t="shared" si="25"/>
        <v>categorie 1</v>
      </c>
      <c r="G357" s="1076" t="str">
        <f t="shared" si="25"/>
        <v>&lt; 8 jr</v>
      </c>
      <c r="H357" s="1037"/>
      <c r="I357" s="1461">
        <v>0</v>
      </c>
      <c r="J357" s="1461">
        <f>ROUND('geg ZO'!I196*VLOOKUP($F357,categorieMat,3,FALSE),0)</f>
        <v>0</v>
      </c>
      <c r="K357" s="1461">
        <f>ROUND('geg ZO'!J196*VLOOKUP($F357,categorieMat,3,FALSE),0)</f>
        <v>0</v>
      </c>
      <c r="L357" s="1461">
        <f>ROUND('geg ZO'!K196*VLOOKUP($F357,categorieMat,3,FALSE),0)</f>
        <v>0</v>
      </c>
      <c r="M357" s="1461">
        <f>ROUND('geg ZO'!L196*VLOOKUP($F357,categorieMat,3,FALSE),0)</f>
        <v>0</v>
      </c>
      <c r="N357" s="1461">
        <f>ROUND('geg ZO'!M196*VLOOKUP($F357,categorieMat,3,FALSE),0)</f>
        <v>0</v>
      </c>
      <c r="O357" s="1461">
        <f>ROUND('geg ZO'!N196*VLOOKUP($F357,categorieMat,3,FALSE),0)</f>
        <v>0</v>
      </c>
      <c r="P357" s="1461">
        <f>ROUND('geg ZO'!O196*VLOOKUP($F357,categorieMat,3,FALSE),0)</f>
        <v>0</v>
      </c>
      <c r="Q357" s="1037"/>
      <c r="R357" s="539"/>
    </row>
    <row r="358" spans="2:18" ht="13.15" customHeight="1" x14ac:dyDescent="0.2">
      <c r="B358" s="26"/>
      <c r="C358" s="1037"/>
      <c r="D358" s="1000"/>
      <c r="E358" s="1037"/>
      <c r="F358" s="1000" t="str">
        <f t="shared" si="25"/>
        <v>categorie 2</v>
      </c>
      <c r="G358" s="1076" t="str">
        <f t="shared" si="25"/>
        <v>&lt; 8 jr</v>
      </c>
      <c r="H358" s="1037"/>
      <c r="I358" s="1461">
        <v>0</v>
      </c>
      <c r="J358" s="1461">
        <f>ROUND('geg ZO'!I197*VLOOKUP($F358,categorieMat,3,FALSE),0)</f>
        <v>0</v>
      </c>
      <c r="K358" s="1461">
        <f>ROUND('geg ZO'!J197*VLOOKUP($F358,categorieMat,3,FALSE),0)</f>
        <v>0</v>
      </c>
      <c r="L358" s="1461">
        <f>ROUND('geg ZO'!K197*VLOOKUP($F358,categorieMat,3,FALSE),0)</f>
        <v>0</v>
      </c>
      <c r="M358" s="1461">
        <f>ROUND('geg ZO'!L197*VLOOKUP($F358,categorieMat,3,FALSE),0)</f>
        <v>0</v>
      </c>
      <c r="N358" s="1461">
        <f>ROUND('geg ZO'!M197*VLOOKUP($F358,categorieMat,3,FALSE),0)</f>
        <v>0</v>
      </c>
      <c r="O358" s="1461">
        <f>ROUND('geg ZO'!N197*VLOOKUP($F358,categorieMat,3,FALSE),0)</f>
        <v>0</v>
      </c>
      <c r="P358" s="1461">
        <f>ROUND('geg ZO'!O197*VLOOKUP($F358,categorieMat,3,FALSE),0)</f>
        <v>0</v>
      </c>
      <c r="Q358" s="1037"/>
      <c r="R358" s="539"/>
    </row>
    <row r="359" spans="2:18" ht="13.15" customHeight="1" x14ac:dyDescent="0.2">
      <c r="B359" s="26"/>
      <c r="C359" s="1037"/>
      <c r="D359" s="1000"/>
      <c r="E359" s="1037"/>
      <c r="F359" s="1000" t="str">
        <f t="shared" si="25"/>
        <v>categorie 3</v>
      </c>
      <c r="G359" s="1076" t="str">
        <f t="shared" si="25"/>
        <v>&lt; 8 jr</v>
      </c>
      <c r="H359" s="1037"/>
      <c r="I359" s="1461">
        <v>0</v>
      </c>
      <c r="J359" s="1461">
        <f>ROUND('geg ZO'!I198*VLOOKUP($F359,categorieMat,3,FALSE),0)</f>
        <v>0</v>
      </c>
      <c r="K359" s="1461">
        <f>ROUND('geg ZO'!J198*VLOOKUP($F359,categorieMat,3,FALSE),0)</f>
        <v>0</v>
      </c>
      <c r="L359" s="1461">
        <f>ROUND('geg ZO'!K198*VLOOKUP($F359,categorieMat,3,FALSE),0)</f>
        <v>0</v>
      </c>
      <c r="M359" s="1461">
        <f>ROUND('geg ZO'!L198*VLOOKUP($F359,categorieMat,3,FALSE),0)</f>
        <v>0</v>
      </c>
      <c r="N359" s="1461">
        <f>ROUND('geg ZO'!M198*VLOOKUP($F359,categorieMat,3,FALSE),0)</f>
        <v>0</v>
      </c>
      <c r="O359" s="1461">
        <f>ROUND('geg ZO'!N198*VLOOKUP($F359,categorieMat,3,FALSE),0)</f>
        <v>0</v>
      </c>
      <c r="P359" s="1461">
        <f>ROUND('geg ZO'!O198*VLOOKUP($F359,categorieMat,3,FALSE),0)</f>
        <v>0</v>
      </c>
      <c r="Q359" s="1037"/>
      <c r="R359" s="539"/>
    </row>
    <row r="360" spans="2:18" ht="13.15" customHeight="1" x14ac:dyDescent="0.2">
      <c r="B360" s="26"/>
      <c r="C360" s="1037"/>
      <c r="D360" s="1000"/>
      <c r="E360" s="1037"/>
      <c r="F360" s="1000" t="str">
        <f t="shared" si="25"/>
        <v>categorie 1</v>
      </c>
      <c r="G360" s="1076" t="str">
        <f t="shared" si="25"/>
        <v>8jr eo</v>
      </c>
      <c r="H360" s="1037"/>
      <c r="I360" s="1461">
        <v>0</v>
      </c>
      <c r="J360" s="1461">
        <f>ROUND('geg ZO'!I199*VLOOKUP($F360,categorieMat8jreo,3,FALSE),0)</f>
        <v>0</v>
      </c>
      <c r="K360" s="1461">
        <f>ROUND('geg ZO'!J199*VLOOKUP($F360,categorieMat8jreo,3,FALSE),0)</f>
        <v>0</v>
      </c>
      <c r="L360" s="1461">
        <f>ROUND('geg ZO'!K199*VLOOKUP($F360,categorieMat8jreo,3,FALSE),0)</f>
        <v>0</v>
      </c>
      <c r="M360" s="1461">
        <f>ROUND('geg ZO'!L199*VLOOKUP($F360,categorieMat8jreo,3,FALSE),0)</f>
        <v>0</v>
      </c>
      <c r="N360" s="1461">
        <f>ROUND('geg ZO'!M199*VLOOKUP($F360,categorieMat8jreo,3,FALSE),0)</f>
        <v>0</v>
      </c>
      <c r="O360" s="1461">
        <f>ROUND('geg ZO'!N199*VLOOKUP($F360,categorieMat8jreo,3,FALSE),0)</f>
        <v>0</v>
      </c>
      <c r="P360" s="1461">
        <f>ROUND('geg ZO'!O199*VLOOKUP($F360,categorieMat8jreo,3,FALSE),0)</f>
        <v>0</v>
      </c>
      <c r="Q360" s="1037"/>
      <c r="R360" s="539"/>
    </row>
    <row r="361" spans="2:18" ht="13.15" customHeight="1" x14ac:dyDescent="0.2">
      <c r="B361" s="26"/>
      <c r="C361" s="1037"/>
      <c r="D361" s="1000"/>
      <c r="E361" s="1037"/>
      <c r="F361" s="1000" t="str">
        <f t="shared" si="25"/>
        <v>categorie 2</v>
      </c>
      <c r="G361" s="1076" t="str">
        <f t="shared" si="25"/>
        <v>8jr eo</v>
      </c>
      <c r="H361" s="1037"/>
      <c r="I361" s="1461">
        <v>0</v>
      </c>
      <c r="J361" s="1461">
        <f>ROUND('geg ZO'!I200*VLOOKUP($F361,categorieMat8jreo,3,FALSE),0)</f>
        <v>0</v>
      </c>
      <c r="K361" s="1461">
        <f>ROUND('geg ZO'!J200*VLOOKUP($F361,categorieMat8jreo,3,FALSE),0)</f>
        <v>0</v>
      </c>
      <c r="L361" s="1461">
        <f>ROUND('geg ZO'!K200*VLOOKUP($F361,categorieMat8jreo,3,FALSE),0)</f>
        <v>0</v>
      </c>
      <c r="M361" s="1461">
        <f>ROUND('geg ZO'!L200*VLOOKUP($F361,categorieMat8jreo,3,FALSE),0)</f>
        <v>0</v>
      </c>
      <c r="N361" s="1461">
        <f>ROUND('geg ZO'!M200*VLOOKUP($F361,categorieMat8jreo,3,FALSE),0)</f>
        <v>0</v>
      </c>
      <c r="O361" s="1461">
        <f>ROUND('geg ZO'!N200*VLOOKUP($F361,categorieMat8jreo,3,FALSE),0)</f>
        <v>0</v>
      </c>
      <c r="P361" s="1461">
        <f>ROUND('geg ZO'!O200*VLOOKUP($F361,categorieMat8jreo,3,FALSE),0)</f>
        <v>0</v>
      </c>
      <c r="Q361" s="1037"/>
      <c r="R361" s="539"/>
    </row>
    <row r="362" spans="2:18" ht="13.15" customHeight="1" x14ac:dyDescent="0.2">
      <c r="B362" s="26"/>
      <c r="C362" s="1037"/>
      <c r="D362" s="1000"/>
      <c r="E362" s="1037"/>
      <c r="F362" s="1000" t="str">
        <f t="shared" si="25"/>
        <v>categorie 3</v>
      </c>
      <c r="G362" s="1076" t="str">
        <f t="shared" si="25"/>
        <v>8jr eo</v>
      </c>
      <c r="H362" s="1037"/>
      <c r="I362" s="1461">
        <v>0</v>
      </c>
      <c r="J362" s="1461">
        <f>ROUND('geg ZO'!I201*VLOOKUP($F362,categorieMat8jreo,3,FALSE),0)</f>
        <v>0</v>
      </c>
      <c r="K362" s="1461">
        <f>ROUND('geg ZO'!J201*VLOOKUP($F362,categorieMat8jreo,3,FALSE),0)</f>
        <v>0</v>
      </c>
      <c r="L362" s="1461">
        <f>ROUND('geg ZO'!K201*VLOOKUP($F362,categorieMat8jreo,3,FALSE),0)</f>
        <v>0</v>
      </c>
      <c r="M362" s="1461">
        <f>ROUND('geg ZO'!L201*VLOOKUP($F362,categorieMat8jreo,3,FALSE),0)</f>
        <v>0</v>
      </c>
      <c r="N362" s="1461">
        <f>ROUND('geg ZO'!M201*VLOOKUP($F362,categorieMat8jreo,3,FALSE),0)</f>
        <v>0</v>
      </c>
      <c r="O362" s="1461">
        <f>ROUND('geg ZO'!N201*VLOOKUP($F362,categorieMat8jreo,3,FALSE),0)</f>
        <v>0</v>
      </c>
      <c r="P362" s="1461">
        <f>ROUND('geg ZO'!O201*VLOOKUP($F362,categorieMat8jreo,3,FALSE),0)</f>
        <v>0</v>
      </c>
      <c r="Q362" s="1037"/>
      <c r="R362" s="539"/>
    </row>
    <row r="363" spans="2:18" ht="13.15" customHeight="1" x14ac:dyDescent="0.2">
      <c r="B363" s="26"/>
      <c r="C363" s="1037"/>
      <c r="D363" s="1447" t="str">
        <f>+D161</f>
        <v>Naam SO 19</v>
      </c>
      <c r="E363" s="1037"/>
      <c r="F363" s="1000" t="str">
        <f t="shared" si="25"/>
        <v>categorie 1</v>
      </c>
      <c r="G363" s="1076" t="str">
        <f t="shared" si="25"/>
        <v>&lt; 8 jr</v>
      </c>
      <c r="H363" s="1037"/>
      <c r="I363" s="1461">
        <v>0</v>
      </c>
      <c r="J363" s="1461">
        <f>ROUND('geg ZO'!I204*VLOOKUP($F363,categorieMat,3,FALSE),0)</f>
        <v>0</v>
      </c>
      <c r="K363" s="1461">
        <f>ROUND('geg ZO'!J204*VLOOKUP($F363,categorieMat,3,FALSE),0)</f>
        <v>0</v>
      </c>
      <c r="L363" s="1461">
        <f>ROUND('geg ZO'!K204*VLOOKUP($F363,categorieMat,3,FALSE),0)</f>
        <v>0</v>
      </c>
      <c r="M363" s="1461">
        <f>ROUND('geg ZO'!L204*VLOOKUP($F363,categorieMat,3,FALSE),0)</f>
        <v>0</v>
      </c>
      <c r="N363" s="1461">
        <f>ROUND('geg ZO'!M204*VLOOKUP($F363,categorieMat,3,FALSE),0)</f>
        <v>0</v>
      </c>
      <c r="O363" s="1461">
        <f>ROUND('geg ZO'!N204*VLOOKUP($F363,categorieMat,3,FALSE),0)</f>
        <v>0</v>
      </c>
      <c r="P363" s="1461">
        <f>ROUND('geg ZO'!O204*VLOOKUP($F363,categorieMat,3,FALSE),0)</f>
        <v>0</v>
      </c>
      <c r="Q363" s="1037"/>
      <c r="R363" s="539"/>
    </row>
    <row r="364" spans="2:18" ht="13.15" customHeight="1" x14ac:dyDescent="0.2">
      <c r="B364" s="26"/>
      <c r="C364" s="1037"/>
      <c r="D364" s="1000"/>
      <c r="E364" s="1037"/>
      <c r="F364" s="1000" t="str">
        <f t="shared" si="25"/>
        <v>categorie 2</v>
      </c>
      <c r="G364" s="1076" t="str">
        <f t="shared" si="25"/>
        <v>&lt; 8 jr</v>
      </c>
      <c r="H364" s="1037"/>
      <c r="I364" s="1461">
        <v>0</v>
      </c>
      <c r="J364" s="1461">
        <f>ROUND('geg ZO'!I205*VLOOKUP($F364,categorieMat,3,FALSE),0)</f>
        <v>0</v>
      </c>
      <c r="K364" s="1461">
        <f>ROUND('geg ZO'!J205*VLOOKUP($F364,categorieMat,3,FALSE),0)</f>
        <v>0</v>
      </c>
      <c r="L364" s="1461">
        <f>ROUND('geg ZO'!K205*VLOOKUP($F364,categorieMat,3,FALSE),0)</f>
        <v>0</v>
      </c>
      <c r="M364" s="1461">
        <f>ROUND('geg ZO'!L205*VLOOKUP($F364,categorieMat,3,FALSE),0)</f>
        <v>0</v>
      </c>
      <c r="N364" s="1461">
        <f>ROUND('geg ZO'!M205*VLOOKUP($F364,categorieMat,3,FALSE),0)</f>
        <v>0</v>
      </c>
      <c r="O364" s="1461">
        <f>ROUND('geg ZO'!N205*VLOOKUP($F364,categorieMat,3,FALSE),0)</f>
        <v>0</v>
      </c>
      <c r="P364" s="1461">
        <f>ROUND('geg ZO'!O205*VLOOKUP($F364,categorieMat,3,FALSE),0)</f>
        <v>0</v>
      </c>
      <c r="Q364" s="1037"/>
      <c r="R364" s="539"/>
    </row>
    <row r="365" spans="2:18" ht="13.15" customHeight="1" x14ac:dyDescent="0.2">
      <c r="B365" s="26"/>
      <c r="C365" s="1037"/>
      <c r="D365" s="1000"/>
      <c r="E365" s="1037"/>
      <c r="F365" s="1000" t="str">
        <f t="shared" ref="F365:G384" si="26">+F163</f>
        <v>categorie 3</v>
      </c>
      <c r="G365" s="1076" t="str">
        <f t="shared" si="26"/>
        <v>&lt; 8 jr</v>
      </c>
      <c r="H365" s="1037"/>
      <c r="I365" s="1461">
        <v>0</v>
      </c>
      <c r="J365" s="1461">
        <f>ROUND('geg ZO'!I206*VLOOKUP($F365,categorieMat,3,FALSE),0)</f>
        <v>0</v>
      </c>
      <c r="K365" s="1461">
        <f>ROUND('geg ZO'!J206*VLOOKUP($F365,categorieMat,3,FALSE),0)</f>
        <v>0</v>
      </c>
      <c r="L365" s="1461">
        <f>ROUND('geg ZO'!K206*VLOOKUP($F365,categorieMat,3,FALSE),0)</f>
        <v>0</v>
      </c>
      <c r="M365" s="1461">
        <f>ROUND('geg ZO'!L206*VLOOKUP($F365,categorieMat,3,FALSE),0)</f>
        <v>0</v>
      </c>
      <c r="N365" s="1461">
        <f>ROUND('geg ZO'!M206*VLOOKUP($F365,categorieMat,3,FALSE),0)</f>
        <v>0</v>
      </c>
      <c r="O365" s="1461">
        <f>ROUND('geg ZO'!N206*VLOOKUP($F365,categorieMat,3,FALSE),0)</f>
        <v>0</v>
      </c>
      <c r="P365" s="1461">
        <f>ROUND('geg ZO'!O206*VLOOKUP($F365,categorieMat,3,FALSE),0)</f>
        <v>0</v>
      </c>
      <c r="Q365" s="1037"/>
      <c r="R365" s="539"/>
    </row>
    <row r="366" spans="2:18" ht="13.15" customHeight="1" x14ac:dyDescent="0.2">
      <c r="B366" s="26"/>
      <c r="C366" s="1037"/>
      <c r="D366" s="1000"/>
      <c r="E366" s="1037"/>
      <c r="F366" s="1000" t="str">
        <f t="shared" si="26"/>
        <v>categorie 1</v>
      </c>
      <c r="G366" s="1076" t="str">
        <f t="shared" si="26"/>
        <v>8jr eo</v>
      </c>
      <c r="H366" s="1037"/>
      <c r="I366" s="1461">
        <v>0</v>
      </c>
      <c r="J366" s="1461">
        <f>ROUND('geg ZO'!I207*VLOOKUP($F366,categorieMat8jreo,3,FALSE),0)</f>
        <v>0</v>
      </c>
      <c r="K366" s="1461">
        <f>ROUND('geg ZO'!J207*VLOOKUP($F366,categorieMat8jreo,3,FALSE),0)</f>
        <v>0</v>
      </c>
      <c r="L366" s="1461">
        <f>ROUND('geg ZO'!K207*VLOOKUP($F366,categorieMat8jreo,3,FALSE),0)</f>
        <v>0</v>
      </c>
      <c r="M366" s="1461">
        <f>ROUND('geg ZO'!L207*VLOOKUP($F366,categorieMat8jreo,3,FALSE),0)</f>
        <v>0</v>
      </c>
      <c r="N366" s="1461">
        <f>ROUND('geg ZO'!M207*VLOOKUP($F366,categorieMat8jreo,3,FALSE),0)</f>
        <v>0</v>
      </c>
      <c r="O366" s="1461">
        <f>ROUND('geg ZO'!N207*VLOOKUP($F366,categorieMat8jreo,3,FALSE),0)</f>
        <v>0</v>
      </c>
      <c r="P366" s="1461">
        <f>ROUND('geg ZO'!O207*VLOOKUP($F366,categorieMat8jreo,3,FALSE),0)</f>
        <v>0</v>
      </c>
      <c r="Q366" s="1037"/>
      <c r="R366" s="539"/>
    </row>
    <row r="367" spans="2:18" ht="13.15" customHeight="1" x14ac:dyDescent="0.2">
      <c r="B367" s="26"/>
      <c r="C367" s="1037"/>
      <c r="D367" s="1000"/>
      <c r="E367" s="1037"/>
      <c r="F367" s="1000" t="str">
        <f t="shared" si="26"/>
        <v>categorie 2</v>
      </c>
      <c r="G367" s="1076" t="str">
        <f t="shared" si="26"/>
        <v>8jr eo</v>
      </c>
      <c r="H367" s="1037"/>
      <c r="I367" s="1461">
        <v>0</v>
      </c>
      <c r="J367" s="1461">
        <f>ROUND('geg ZO'!I208*VLOOKUP($F367,categorieMat8jreo,3,FALSE),0)</f>
        <v>0</v>
      </c>
      <c r="K367" s="1461">
        <f>ROUND('geg ZO'!J208*VLOOKUP($F367,categorieMat8jreo,3,FALSE),0)</f>
        <v>0</v>
      </c>
      <c r="L367" s="1461">
        <f>ROUND('geg ZO'!K208*VLOOKUP($F367,categorieMat8jreo,3,FALSE),0)</f>
        <v>0</v>
      </c>
      <c r="M367" s="1461">
        <f>ROUND('geg ZO'!L208*VLOOKUP($F367,categorieMat8jreo,3,FALSE),0)</f>
        <v>0</v>
      </c>
      <c r="N367" s="1461">
        <f>ROUND('geg ZO'!M208*VLOOKUP($F367,categorieMat8jreo,3,FALSE),0)</f>
        <v>0</v>
      </c>
      <c r="O367" s="1461">
        <f>ROUND('geg ZO'!N208*VLOOKUP($F367,categorieMat8jreo,3,FALSE),0)</f>
        <v>0</v>
      </c>
      <c r="P367" s="1461">
        <f>ROUND('geg ZO'!O208*VLOOKUP($F367,categorieMat8jreo,3,FALSE),0)</f>
        <v>0</v>
      </c>
      <c r="Q367" s="1037"/>
      <c r="R367" s="539"/>
    </row>
    <row r="368" spans="2:18" ht="13.15" customHeight="1" x14ac:dyDescent="0.2">
      <c r="B368" s="26"/>
      <c r="C368" s="1037"/>
      <c r="D368" s="1000"/>
      <c r="E368" s="1037"/>
      <c r="F368" s="1000" t="str">
        <f t="shared" si="26"/>
        <v>categorie 3</v>
      </c>
      <c r="G368" s="1076" t="str">
        <f t="shared" si="26"/>
        <v>8jr eo</v>
      </c>
      <c r="H368" s="1037"/>
      <c r="I368" s="1461">
        <v>0</v>
      </c>
      <c r="J368" s="1461">
        <f>ROUND('geg ZO'!I209*VLOOKUP($F368,categorieMat8jreo,3,FALSE),0)</f>
        <v>0</v>
      </c>
      <c r="K368" s="1461">
        <f>ROUND('geg ZO'!J209*VLOOKUP($F368,categorieMat8jreo,3,FALSE),0)</f>
        <v>0</v>
      </c>
      <c r="L368" s="1461">
        <f>ROUND('geg ZO'!K209*VLOOKUP($F368,categorieMat8jreo,3,FALSE),0)</f>
        <v>0</v>
      </c>
      <c r="M368" s="1461">
        <f>ROUND('geg ZO'!L209*VLOOKUP($F368,categorieMat8jreo,3,FALSE),0)</f>
        <v>0</v>
      </c>
      <c r="N368" s="1461">
        <f>ROUND('geg ZO'!M209*VLOOKUP($F368,categorieMat8jreo,3,FALSE),0)</f>
        <v>0</v>
      </c>
      <c r="O368" s="1461">
        <f>ROUND('geg ZO'!N209*VLOOKUP($F368,categorieMat8jreo,3,FALSE),0)</f>
        <v>0</v>
      </c>
      <c r="P368" s="1461">
        <f>ROUND('geg ZO'!O209*VLOOKUP($F368,categorieMat8jreo,3,FALSE),0)</f>
        <v>0</v>
      </c>
      <c r="Q368" s="1037"/>
      <c r="R368" s="539"/>
    </row>
    <row r="369" spans="2:18" ht="13.15" customHeight="1" x14ac:dyDescent="0.2">
      <c r="B369" s="26"/>
      <c r="C369" s="1037"/>
      <c r="D369" s="1447" t="str">
        <f>+D167</f>
        <v>Naam SO 20</v>
      </c>
      <c r="E369" s="1037"/>
      <c r="F369" s="1000" t="str">
        <f t="shared" si="26"/>
        <v>categorie 1</v>
      </c>
      <c r="G369" s="1076" t="str">
        <f t="shared" si="26"/>
        <v>&lt; 8 jr</v>
      </c>
      <c r="H369" s="1037"/>
      <c r="I369" s="1461">
        <v>0</v>
      </c>
      <c r="J369" s="1461">
        <f>ROUND('geg ZO'!I212*VLOOKUP($F369,categorieMat,3,FALSE),0)</f>
        <v>0</v>
      </c>
      <c r="K369" s="1461">
        <f>ROUND('geg ZO'!J212*VLOOKUP($F369,categorieMat,3,FALSE),0)</f>
        <v>0</v>
      </c>
      <c r="L369" s="1461">
        <f>ROUND('geg ZO'!K212*VLOOKUP($F369,categorieMat,3,FALSE),0)</f>
        <v>0</v>
      </c>
      <c r="M369" s="1461">
        <f>ROUND('geg ZO'!L212*VLOOKUP($F369,categorieMat,3,FALSE),0)</f>
        <v>0</v>
      </c>
      <c r="N369" s="1461">
        <f>ROUND('geg ZO'!M212*VLOOKUP($F369,categorieMat,3,FALSE),0)</f>
        <v>0</v>
      </c>
      <c r="O369" s="1461">
        <f>ROUND('geg ZO'!N212*VLOOKUP($F369,categorieMat,3,FALSE),0)</f>
        <v>0</v>
      </c>
      <c r="P369" s="1461">
        <f>ROUND('geg ZO'!O212*VLOOKUP($F369,categorieMat,3,FALSE),0)</f>
        <v>0</v>
      </c>
      <c r="Q369" s="1037"/>
      <c r="R369" s="539"/>
    </row>
    <row r="370" spans="2:18" ht="13.15" customHeight="1" x14ac:dyDescent="0.2">
      <c r="B370" s="26"/>
      <c r="C370" s="1037"/>
      <c r="D370" s="1000"/>
      <c r="E370" s="1037"/>
      <c r="F370" s="1000" t="str">
        <f t="shared" si="26"/>
        <v>categorie 2</v>
      </c>
      <c r="G370" s="1076" t="str">
        <f t="shared" si="26"/>
        <v>&lt; 8 jr</v>
      </c>
      <c r="H370" s="1037"/>
      <c r="I370" s="1461">
        <v>0</v>
      </c>
      <c r="J370" s="1461">
        <f>ROUND('geg ZO'!I213*VLOOKUP($F370,categorieMat,3,FALSE),0)</f>
        <v>0</v>
      </c>
      <c r="K370" s="1461">
        <f>ROUND('geg ZO'!J213*VLOOKUP($F370,categorieMat,3,FALSE),0)</f>
        <v>0</v>
      </c>
      <c r="L370" s="1461">
        <f>ROUND('geg ZO'!K213*VLOOKUP($F370,categorieMat,3,FALSE),0)</f>
        <v>0</v>
      </c>
      <c r="M370" s="1461">
        <f>ROUND('geg ZO'!L213*VLOOKUP($F370,categorieMat,3,FALSE),0)</f>
        <v>0</v>
      </c>
      <c r="N370" s="1461">
        <f>ROUND('geg ZO'!M213*VLOOKUP($F370,categorieMat,3,FALSE),0)</f>
        <v>0</v>
      </c>
      <c r="O370" s="1461">
        <f>ROUND('geg ZO'!N213*VLOOKUP($F370,categorieMat,3,FALSE),0)</f>
        <v>0</v>
      </c>
      <c r="P370" s="1461">
        <f>ROUND('geg ZO'!O213*VLOOKUP($F370,categorieMat,3,FALSE),0)</f>
        <v>0</v>
      </c>
      <c r="Q370" s="1037"/>
      <c r="R370" s="539"/>
    </row>
    <row r="371" spans="2:18" ht="13.15" customHeight="1" x14ac:dyDescent="0.2">
      <c r="B371" s="26"/>
      <c r="C371" s="1037"/>
      <c r="D371" s="1000"/>
      <c r="E371" s="1037"/>
      <c r="F371" s="1000" t="str">
        <f t="shared" si="26"/>
        <v>categorie 3</v>
      </c>
      <c r="G371" s="1076" t="str">
        <f t="shared" si="26"/>
        <v>&lt; 8 jr</v>
      </c>
      <c r="H371" s="1037"/>
      <c r="I371" s="1461">
        <v>0</v>
      </c>
      <c r="J371" s="1461">
        <f>ROUND('geg ZO'!I214*VLOOKUP($F371,categorieMat,3,FALSE),0)</f>
        <v>0</v>
      </c>
      <c r="K371" s="1461">
        <f>ROUND('geg ZO'!J214*VLOOKUP($F371,categorieMat,3,FALSE),0)</f>
        <v>0</v>
      </c>
      <c r="L371" s="1461">
        <f>ROUND('geg ZO'!K214*VLOOKUP($F371,categorieMat,3,FALSE),0)</f>
        <v>0</v>
      </c>
      <c r="M371" s="1461">
        <f>ROUND('geg ZO'!L214*VLOOKUP($F371,categorieMat,3,FALSE),0)</f>
        <v>0</v>
      </c>
      <c r="N371" s="1461">
        <f>ROUND('geg ZO'!M214*VLOOKUP($F371,categorieMat,3,FALSE),0)</f>
        <v>0</v>
      </c>
      <c r="O371" s="1461">
        <f>ROUND('geg ZO'!N214*VLOOKUP($F371,categorieMat,3,FALSE),0)</f>
        <v>0</v>
      </c>
      <c r="P371" s="1461">
        <f>ROUND('geg ZO'!O214*VLOOKUP($F371,categorieMat,3,FALSE),0)</f>
        <v>0</v>
      </c>
      <c r="Q371" s="1037"/>
      <c r="R371" s="539"/>
    </row>
    <row r="372" spans="2:18" ht="13.15" customHeight="1" x14ac:dyDescent="0.2">
      <c r="B372" s="26"/>
      <c r="C372" s="1037"/>
      <c r="D372" s="1000"/>
      <c r="E372" s="1037"/>
      <c r="F372" s="1000" t="str">
        <f t="shared" si="26"/>
        <v>categorie 1</v>
      </c>
      <c r="G372" s="1076" t="str">
        <f t="shared" si="26"/>
        <v>8jr eo</v>
      </c>
      <c r="H372" s="1037"/>
      <c r="I372" s="1461">
        <v>0</v>
      </c>
      <c r="J372" s="1461">
        <f>ROUND('geg ZO'!I215*VLOOKUP($F372,categorieMat8jreo,3,FALSE),0)</f>
        <v>0</v>
      </c>
      <c r="K372" s="1461">
        <f>ROUND('geg ZO'!J215*VLOOKUP($F372,categorieMat8jreo,3,FALSE),0)</f>
        <v>0</v>
      </c>
      <c r="L372" s="1461">
        <f>ROUND('geg ZO'!K215*VLOOKUP($F372,categorieMat8jreo,3,FALSE),0)</f>
        <v>0</v>
      </c>
      <c r="M372" s="1461">
        <f>ROUND('geg ZO'!L215*VLOOKUP($F372,categorieMat8jreo,3,FALSE),0)</f>
        <v>0</v>
      </c>
      <c r="N372" s="1461">
        <f>ROUND('geg ZO'!M215*VLOOKUP($F372,categorieMat8jreo,3,FALSE),0)</f>
        <v>0</v>
      </c>
      <c r="O372" s="1461">
        <f>ROUND('geg ZO'!N215*VLOOKUP($F372,categorieMat8jreo,3,FALSE),0)</f>
        <v>0</v>
      </c>
      <c r="P372" s="1461">
        <f>ROUND('geg ZO'!O215*VLOOKUP($F372,categorieMat8jreo,3,FALSE),0)</f>
        <v>0</v>
      </c>
      <c r="Q372" s="1037"/>
      <c r="R372" s="539"/>
    </row>
    <row r="373" spans="2:18" ht="13.15" customHeight="1" x14ac:dyDescent="0.2">
      <c r="B373" s="26"/>
      <c r="C373" s="1037"/>
      <c r="D373" s="1000"/>
      <c r="E373" s="1037"/>
      <c r="F373" s="1000" t="str">
        <f t="shared" si="26"/>
        <v>categorie 2</v>
      </c>
      <c r="G373" s="1076" t="str">
        <f t="shared" si="26"/>
        <v>8jr eo</v>
      </c>
      <c r="H373" s="1037"/>
      <c r="I373" s="1461">
        <v>0</v>
      </c>
      <c r="J373" s="1461">
        <f>ROUND('geg ZO'!I216*VLOOKUP($F373,categorieMat8jreo,3,FALSE),0)</f>
        <v>0</v>
      </c>
      <c r="K373" s="1461">
        <f>ROUND('geg ZO'!J216*VLOOKUP($F373,categorieMat8jreo,3,FALSE),0)</f>
        <v>0</v>
      </c>
      <c r="L373" s="1461">
        <f>ROUND('geg ZO'!K216*VLOOKUP($F373,categorieMat8jreo,3,FALSE),0)</f>
        <v>0</v>
      </c>
      <c r="M373" s="1461">
        <f>ROUND('geg ZO'!L216*VLOOKUP($F373,categorieMat8jreo,3,FALSE),0)</f>
        <v>0</v>
      </c>
      <c r="N373" s="1461">
        <f>ROUND('geg ZO'!M216*VLOOKUP($F373,categorieMat8jreo,3,FALSE),0)</f>
        <v>0</v>
      </c>
      <c r="O373" s="1461">
        <f>ROUND('geg ZO'!N216*VLOOKUP($F373,categorieMat8jreo,3,FALSE),0)</f>
        <v>0</v>
      </c>
      <c r="P373" s="1461">
        <f>ROUND('geg ZO'!O216*VLOOKUP($F373,categorieMat8jreo,3,FALSE),0)</f>
        <v>0</v>
      </c>
      <c r="Q373" s="1037"/>
      <c r="R373" s="539"/>
    </row>
    <row r="374" spans="2:18" ht="13.15" customHeight="1" x14ac:dyDescent="0.2">
      <c r="B374" s="26"/>
      <c r="C374" s="1037"/>
      <c r="D374" s="1000"/>
      <c r="E374" s="1037"/>
      <c r="F374" s="1000" t="str">
        <f t="shared" si="26"/>
        <v>categorie 3</v>
      </c>
      <c r="G374" s="1076" t="str">
        <f t="shared" si="26"/>
        <v>8jr eo</v>
      </c>
      <c r="H374" s="1037"/>
      <c r="I374" s="1461">
        <v>0</v>
      </c>
      <c r="J374" s="1461">
        <f>ROUND('geg ZO'!I217*VLOOKUP($F374,categorieMat8jreo,3,FALSE),0)</f>
        <v>0</v>
      </c>
      <c r="K374" s="1461">
        <f>ROUND('geg ZO'!J217*VLOOKUP($F374,categorieMat8jreo,3,FALSE),0)</f>
        <v>0</v>
      </c>
      <c r="L374" s="1461">
        <f>ROUND('geg ZO'!K217*VLOOKUP($F374,categorieMat8jreo,3,FALSE),0)</f>
        <v>0</v>
      </c>
      <c r="M374" s="1461">
        <f>ROUND('geg ZO'!L217*VLOOKUP($F374,categorieMat8jreo,3,FALSE),0)</f>
        <v>0</v>
      </c>
      <c r="N374" s="1461">
        <f>ROUND('geg ZO'!M217*VLOOKUP($F374,categorieMat8jreo,3,FALSE),0)</f>
        <v>0</v>
      </c>
      <c r="O374" s="1461">
        <f>ROUND('geg ZO'!N217*VLOOKUP($F374,categorieMat8jreo,3,FALSE),0)</f>
        <v>0</v>
      </c>
      <c r="P374" s="1461">
        <f>ROUND('geg ZO'!O217*VLOOKUP($F374,categorieMat8jreo,3,FALSE),0)</f>
        <v>0</v>
      </c>
      <c r="Q374" s="1037"/>
      <c r="R374" s="539"/>
    </row>
    <row r="375" spans="2:18" ht="13.15" customHeight="1" x14ac:dyDescent="0.2">
      <c r="B375" s="26"/>
      <c r="C375" s="1037"/>
      <c r="D375" s="1447" t="str">
        <f>+D173</f>
        <v>Naam SO 21</v>
      </c>
      <c r="E375" s="1037"/>
      <c r="F375" s="1000" t="str">
        <f t="shared" si="26"/>
        <v>categorie 1</v>
      </c>
      <c r="G375" s="1076" t="str">
        <f t="shared" si="26"/>
        <v>&lt; 8 jr</v>
      </c>
      <c r="H375" s="1037"/>
      <c r="I375" s="1461">
        <v>0</v>
      </c>
      <c r="J375" s="1461">
        <f>ROUND('geg ZO'!I220*VLOOKUP($F375,categorieMat,3,FALSE),0)</f>
        <v>0</v>
      </c>
      <c r="K375" s="1461">
        <f>ROUND('geg ZO'!J220*VLOOKUP($F375,categorieMat,3,FALSE),0)</f>
        <v>0</v>
      </c>
      <c r="L375" s="1461">
        <f>ROUND('geg ZO'!K220*VLOOKUP($F375,categorieMat,3,FALSE),0)</f>
        <v>0</v>
      </c>
      <c r="M375" s="1461">
        <f>ROUND('geg ZO'!L220*VLOOKUP($F375,categorieMat,3,FALSE),0)</f>
        <v>0</v>
      </c>
      <c r="N375" s="1461">
        <f>ROUND('geg ZO'!M220*VLOOKUP($F375,categorieMat,3,FALSE),0)</f>
        <v>0</v>
      </c>
      <c r="O375" s="1461">
        <f>ROUND('geg ZO'!N220*VLOOKUP($F375,categorieMat,3,FALSE),0)</f>
        <v>0</v>
      </c>
      <c r="P375" s="1461">
        <f>ROUND('geg ZO'!O220*VLOOKUP($F375,categorieMat,3,FALSE),0)</f>
        <v>0</v>
      </c>
      <c r="Q375" s="1037"/>
      <c r="R375" s="539"/>
    </row>
    <row r="376" spans="2:18" ht="13.15" customHeight="1" x14ac:dyDescent="0.2">
      <c r="B376" s="26"/>
      <c r="C376" s="1037"/>
      <c r="D376" s="1000"/>
      <c r="E376" s="1037"/>
      <c r="F376" s="1000" t="str">
        <f t="shared" si="26"/>
        <v>categorie 2</v>
      </c>
      <c r="G376" s="1076" t="str">
        <f t="shared" si="26"/>
        <v>&lt; 8 jr</v>
      </c>
      <c r="H376" s="1037"/>
      <c r="I376" s="1461">
        <v>0</v>
      </c>
      <c r="J376" s="1461">
        <f>ROUND('geg ZO'!I221*VLOOKUP($F376,categorieMat,3,FALSE),0)</f>
        <v>0</v>
      </c>
      <c r="K376" s="1461">
        <f>ROUND('geg ZO'!J221*VLOOKUP($F376,categorieMat,3,FALSE),0)</f>
        <v>0</v>
      </c>
      <c r="L376" s="1461">
        <f>ROUND('geg ZO'!K221*VLOOKUP($F376,categorieMat,3,FALSE),0)</f>
        <v>0</v>
      </c>
      <c r="M376" s="1461">
        <f>ROUND('geg ZO'!L221*VLOOKUP($F376,categorieMat,3,FALSE),0)</f>
        <v>0</v>
      </c>
      <c r="N376" s="1461">
        <f>ROUND('geg ZO'!M221*VLOOKUP($F376,categorieMat,3,FALSE),0)</f>
        <v>0</v>
      </c>
      <c r="O376" s="1461">
        <f>ROUND('geg ZO'!N221*VLOOKUP($F376,categorieMat,3,FALSE),0)</f>
        <v>0</v>
      </c>
      <c r="P376" s="1461">
        <f>ROUND('geg ZO'!O221*VLOOKUP($F376,categorieMat,3,FALSE),0)</f>
        <v>0</v>
      </c>
      <c r="Q376" s="1037"/>
      <c r="R376" s="539"/>
    </row>
    <row r="377" spans="2:18" ht="13.15" customHeight="1" x14ac:dyDescent="0.2">
      <c r="B377" s="26"/>
      <c r="C377" s="1037"/>
      <c r="D377" s="1000"/>
      <c r="E377" s="1037"/>
      <c r="F377" s="1000" t="str">
        <f t="shared" si="26"/>
        <v>categorie 3</v>
      </c>
      <c r="G377" s="1076" t="str">
        <f t="shared" si="26"/>
        <v>&lt; 8 jr</v>
      </c>
      <c r="H377" s="1037"/>
      <c r="I377" s="1461">
        <v>0</v>
      </c>
      <c r="J377" s="1461">
        <f>ROUND('geg ZO'!I222*VLOOKUP($F377,categorieMat,3,FALSE),0)</f>
        <v>0</v>
      </c>
      <c r="K377" s="1461">
        <f>ROUND('geg ZO'!J222*VLOOKUP($F377,categorieMat,3,FALSE),0)</f>
        <v>0</v>
      </c>
      <c r="L377" s="1461">
        <f>ROUND('geg ZO'!K222*VLOOKUP($F377,categorieMat,3,FALSE),0)</f>
        <v>0</v>
      </c>
      <c r="M377" s="1461">
        <f>ROUND('geg ZO'!L222*VLOOKUP($F377,categorieMat,3,FALSE),0)</f>
        <v>0</v>
      </c>
      <c r="N377" s="1461">
        <f>ROUND('geg ZO'!M222*VLOOKUP($F377,categorieMat,3,FALSE),0)</f>
        <v>0</v>
      </c>
      <c r="O377" s="1461">
        <f>ROUND('geg ZO'!N222*VLOOKUP($F377,categorieMat,3,FALSE),0)</f>
        <v>0</v>
      </c>
      <c r="P377" s="1461">
        <f>ROUND('geg ZO'!O222*VLOOKUP($F377,categorieMat,3,FALSE),0)</f>
        <v>0</v>
      </c>
      <c r="Q377" s="1037"/>
      <c r="R377" s="539"/>
    </row>
    <row r="378" spans="2:18" ht="13.15" customHeight="1" x14ac:dyDescent="0.2">
      <c r="B378" s="26"/>
      <c r="C378" s="1037"/>
      <c r="D378" s="1000"/>
      <c r="E378" s="1037"/>
      <c r="F378" s="1000" t="str">
        <f t="shared" si="26"/>
        <v>categorie 1</v>
      </c>
      <c r="G378" s="1076" t="str">
        <f t="shared" si="26"/>
        <v>8jr eo</v>
      </c>
      <c r="H378" s="1037"/>
      <c r="I378" s="1461">
        <v>0</v>
      </c>
      <c r="J378" s="1461">
        <f>ROUND('geg ZO'!I223*VLOOKUP($F378,categorieMat8jreo,3,FALSE),0)</f>
        <v>0</v>
      </c>
      <c r="K378" s="1461">
        <f>ROUND('geg ZO'!J223*VLOOKUP($F378,categorieMat8jreo,3,FALSE),0)</f>
        <v>0</v>
      </c>
      <c r="L378" s="1461">
        <f>ROUND('geg ZO'!K223*VLOOKUP($F378,categorieMat8jreo,3,FALSE),0)</f>
        <v>0</v>
      </c>
      <c r="M378" s="1461">
        <f>ROUND('geg ZO'!L223*VLOOKUP($F378,categorieMat8jreo,3,FALSE),0)</f>
        <v>0</v>
      </c>
      <c r="N378" s="1461">
        <f>ROUND('geg ZO'!M223*VLOOKUP($F378,categorieMat8jreo,3,FALSE),0)</f>
        <v>0</v>
      </c>
      <c r="O378" s="1461">
        <f>ROUND('geg ZO'!N223*VLOOKUP($F378,categorieMat8jreo,3,FALSE),0)</f>
        <v>0</v>
      </c>
      <c r="P378" s="1461">
        <f>ROUND('geg ZO'!O223*VLOOKUP($F378,categorieMat8jreo,3,FALSE),0)</f>
        <v>0</v>
      </c>
      <c r="Q378" s="1037"/>
      <c r="R378" s="539"/>
    </row>
    <row r="379" spans="2:18" ht="13.15" customHeight="1" x14ac:dyDescent="0.2">
      <c r="B379" s="26"/>
      <c r="C379" s="1037"/>
      <c r="D379" s="1000"/>
      <c r="E379" s="1037"/>
      <c r="F379" s="1000" t="str">
        <f t="shared" si="26"/>
        <v>categorie 2</v>
      </c>
      <c r="G379" s="1076" t="str">
        <f t="shared" si="26"/>
        <v>8jr eo</v>
      </c>
      <c r="H379" s="1037"/>
      <c r="I379" s="1461">
        <v>0</v>
      </c>
      <c r="J379" s="1461">
        <f>ROUND('geg ZO'!I224*VLOOKUP($F379,categorieMat8jreo,3,FALSE),0)</f>
        <v>0</v>
      </c>
      <c r="K379" s="1461">
        <f>ROUND('geg ZO'!J224*VLOOKUP($F379,categorieMat8jreo,3,FALSE),0)</f>
        <v>0</v>
      </c>
      <c r="L379" s="1461">
        <f>ROUND('geg ZO'!K224*VLOOKUP($F379,categorieMat8jreo,3,FALSE),0)</f>
        <v>0</v>
      </c>
      <c r="M379" s="1461">
        <f>ROUND('geg ZO'!L224*VLOOKUP($F379,categorieMat8jreo,3,FALSE),0)</f>
        <v>0</v>
      </c>
      <c r="N379" s="1461">
        <f>ROUND('geg ZO'!M224*VLOOKUP($F379,categorieMat8jreo,3,FALSE),0)</f>
        <v>0</v>
      </c>
      <c r="O379" s="1461">
        <f>ROUND('geg ZO'!N224*VLOOKUP($F379,categorieMat8jreo,3,FALSE),0)</f>
        <v>0</v>
      </c>
      <c r="P379" s="1461">
        <f>ROUND('geg ZO'!O224*VLOOKUP($F379,categorieMat8jreo,3,FALSE),0)</f>
        <v>0</v>
      </c>
      <c r="Q379" s="1037"/>
      <c r="R379" s="539"/>
    </row>
    <row r="380" spans="2:18" ht="13.15" customHeight="1" x14ac:dyDescent="0.2">
      <c r="B380" s="26"/>
      <c r="C380" s="1037"/>
      <c r="D380" s="1000"/>
      <c r="E380" s="1037"/>
      <c r="F380" s="1000" t="str">
        <f t="shared" si="26"/>
        <v>categorie 3</v>
      </c>
      <c r="G380" s="1076" t="str">
        <f t="shared" si="26"/>
        <v>8jr eo</v>
      </c>
      <c r="H380" s="1037"/>
      <c r="I380" s="1461">
        <v>0</v>
      </c>
      <c r="J380" s="1461">
        <f>ROUND('geg ZO'!I225*VLOOKUP($F380,categorieMat8jreo,3,FALSE),0)</f>
        <v>0</v>
      </c>
      <c r="K380" s="1461">
        <f>ROUND('geg ZO'!J225*VLOOKUP($F380,categorieMat8jreo,3,FALSE),0)</f>
        <v>0</v>
      </c>
      <c r="L380" s="1461">
        <f>ROUND('geg ZO'!K225*VLOOKUP($F380,categorieMat8jreo,3,FALSE),0)</f>
        <v>0</v>
      </c>
      <c r="M380" s="1461">
        <f>ROUND('geg ZO'!L225*VLOOKUP($F380,categorieMat8jreo,3,FALSE),0)</f>
        <v>0</v>
      </c>
      <c r="N380" s="1461">
        <f>ROUND('geg ZO'!M225*VLOOKUP($F380,categorieMat8jreo,3,FALSE),0)</f>
        <v>0</v>
      </c>
      <c r="O380" s="1461">
        <f>ROUND('geg ZO'!N225*VLOOKUP($F380,categorieMat8jreo,3,FALSE),0)</f>
        <v>0</v>
      </c>
      <c r="P380" s="1461">
        <f>ROUND('geg ZO'!O225*VLOOKUP($F380,categorieMat8jreo,3,FALSE),0)</f>
        <v>0</v>
      </c>
      <c r="Q380" s="1037"/>
      <c r="R380" s="539"/>
    </row>
    <row r="381" spans="2:18" ht="13.15" customHeight="1" x14ac:dyDescent="0.2">
      <c r="B381" s="26"/>
      <c r="C381" s="1037"/>
      <c r="D381" s="1447" t="str">
        <f>+D179</f>
        <v>Naam SO 22</v>
      </c>
      <c r="E381" s="1037"/>
      <c r="F381" s="1000" t="str">
        <f t="shared" si="26"/>
        <v>categorie 1</v>
      </c>
      <c r="G381" s="1076" t="str">
        <f t="shared" si="26"/>
        <v>&lt; 8 jr</v>
      </c>
      <c r="H381" s="1037"/>
      <c r="I381" s="1461">
        <v>0</v>
      </c>
      <c r="J381" s="1461">
        <f>ROUND('geg ZO'!I228*VLOOKUP($F381,categorieMat,3,FALSE),0)</f>
        <v>0</v>
      </c>
      <c r="K381" s="1461">
        <f>ROUND('geg ZO'!J228*VLOOKUP($F381,categorieMat,3,FALSE),0)</f>
        <v>0</v>
      </c>
      <c r="L381" s="1461">
        <f>ROUND('geg ZO'!K228*VLOOKUP($F381,categorieMat,3,FALSE),0)</f>
        <v>0</v>
      </c>
      <c r="M381" s="1461">
        <f>ROUND('geg ZO'!L228*VLOOKUP($F381,categorieMat,3,FALSE),0)</f>
        <v>0</v>
      </c>
      <c r="N381" s="1461">
        <f>ROUND('geg ZO'!M228*VLOOKUP($F381,categorieMat,3,FALSE),0)</f>
        <v>0</v>
      </c>
      <c r="O381" s="1461">
        <f>ROUND('geg ZO'!N228*VLOOKUP($F381,categorieMat,3,FALSE),0)</f>
        <v>0</v>
      </c>
      <c r="P381" s="1461">
        <f>ROUND('geg ZO'!O228*VLOOKUP($F381,categorieMat,3,FALSE),0)</f>
        <v>0</v>
      </c>
      <c r="Q381" s="1037"/>
      <c r="R381" s="539"/>
    </row>
    <row r="382" spans="2:18" ht="13.15" customHeight="1" x14ac:dyDescent="0.2">
      <c r="B382" s="26"/>
      <c r="C382" s="1037"/>
      <c r="D382" s="1000"/>
      <c r="E382" s="1037"/>
      <c r="F382" s="1000" t="str">
        <f t="shared" si="26"/>
        <v>categorie 2</v>
      </c>
      <c r="G382" s="1076" t="str">
        <f t="shared" si="26"/>
        <v>&lt; 8 jr</v>
      </c>
      <c r="H382" s="1037"/>
      <c r="I382" s="1461">
        <v>0</v>
      </c>
      <c r="J382" s="1461">
        <f>ROUND('geg ZO'!I229*VLOOKUP($F382,categorieMat,3,FALSE),0)</f>
        <v>0</v>
      </c>
      <c r="K382" s="1461">
        <f>ROUND('geg ZO'!J229*VLOOKUP($F382,categorieMat,3,FALSE),0)</f>
        <v>0</v>
      </c>
      <c r="L382" s="1461">
        <f>ROUND('geg ZO'!K229*VLOOKUP($F382,categorieMat,3,FALSE),0)</f>
        <v>0</v>
      </c>
      <c r="M382" s="1461">
        <f>ROUND('geg ZO'!L229*VLOOKUP($F382,categorieMat,3,FALSE),0)</f>
        <v>0</v>
      </c>
      <c r="N382" s="1461">
        <f>ROUND('geg ZO'!M229*VLOOKUP($F382,categorieMat,3,FALSE),0)</f>
        <v>0</v>
      </c>
      <c r="O382" s="1461">
        <f>ROUND('geg ZO'!N229*VLOOKUP($F382,categorieMat,3,FALSE),0)</f>
        <v>0</v>
      </c>
      <c r="P382" s="1461">
        <f>ROUND('geg ZO'!O229*VLOOKUP($F382,categorieMat,3,FALSE),0)</f>
        <v>0</v>
      </c>
      <c r="Q382" s="1037"/>
      <c r="R382" s="539"/>
    </row>
    <row r="383" spans="2:18" ht="13.15" customHeight="1" x14ac:dyDescent="0.2">
      <c r="B383" s="26"/>
      <c r="C383" s="1037"/>
      <c r="D383" s="1000"/>
      <c r="E383" s="1037"/>
      <c r="F383" s="1000" t="str">
        <f t="shared" si="26"/>
        <v>categorie 3</v>
      </c>
      <c r="G383" s="1076" t="str">
        <f t="shared" si="26"/>
        <v>&lt; 8 jr</v>
      </c>
      <c r="H383" s="1037"/>
      <c r="I383" s="1461">
        <v>0</v>
      </c>
      <c r="J383" s="1461">
        <f>ROUND('geg ZO'!I230*VLOOKUP($F383,categorieMat,3,FALSE),0)</f>
        <v>0</v>
      </c>
      <c r="K383" s="1461">
        <f>ROUND('geg ZO'!J230*VLOOKUP($F383,categorieMat,3,FALSE),0)</f>
        <v>0</v>
      </c>
      <c r="L383" s="1461">
        <f>ROUND('geg ZO'!K230*VLOOKUP($F383,categorieMat,3,FALSE),0)</f>
        <v>0</v>
      </c>
      <c r="M383" s="1461">
        <f>ROUND('geg ZO'!L230*VLOOKUP($F383,categorieMat,3,FALSE),0)</f>
        <v>0</v>
      </c>
      <c r="N383" s="1461">
        <f>ROUND('geg ZO'!M230*VLOOKUP($F383,categorieMat,3,FALSE),0)</f>
        <v>0</v>
      </c>
      <c r="O383" s="1461">
        <f>ROUND('geg ZO'!N230*VLOOKUP($F383,categorieMat,3,FALSE),0)</f>
        <v>0</v>
      </c>
      <c r="P383" s="1461">
        <f>ROUND('geg ZO'!O230*VLOOKUP($F383,categorieMat,3,FALSE),0)</f>
        <v>0</v>
      </c>
      <c r="Q383" s="1037"/>
      <c r="R383" s="539"/>
    </row>
    <row r="384" spans="2:18" ht="13.15" customHeight="1" x14ac:dyDescent="0.2">
      <c r="B384" s="26"/>
      <c r="C384" s="1037"/>
      <c r="D384" s="1000"/>
      <c r="E384" s="1037"/>
      <c r="F384" s="1000" t="str">
        <f t="shared" si="26"/>
        <v>categorie 1</v>
      </c>
      <c r="G384" s="1076" t="str">
        <f t="shared" si="26"/>
        <v>8jr eo</v>
      </c>
      <c r="H384" s="1037"/>
      <c r="I384" s="1461">
        <v>0</v>
      </c>
      <c r="J384" s="1461">
        <f>ROUND('geg ZO'!I231*VLOOKUP($F384,categorieMat8jreo,3,FALSE),0)</f>
        <v>0</v>
      </c>
      <c r="K384" s="1461">
        <f>ROUND('geg ZO'!J231*VLOOKUP($F384,categorieMat8jreo,3,FALSE),0)</f>
        <v>0</v>
      </c>
      <c r="L384" s="1461">
        <f>ROUND('geg ZO'!K231*VLOOKUP($F384,categorieMat8jreo,3,FALSE),0)</f>
        <v>0</v>
      </c>
      <c r="M384" s="1461">
        <f>ROUND('geg ZO'!L231*VLOOKUP($F384,categorieMat8jreo,3,FALSE),0)</f>
        <v>0</v>
      </c>
      <c r="N384" s="1461">
        <f>ROUND('geg ZO'!M231*VLOOKUP($F384,categorieMat8jreo,3,FALSE),0)</f>
        <v>0</v>
      </c>
      <c r="O384" s="1461">
        <f>ROUND('geg ZO'!N231*VLOOKUP($F384,categorieMat8jreo,3,FALSE),0)</f>
        <v>0</v>
      </c>
      <c r="P384" s="1461">
        <f>ROUND('geg ZO'!O231*VLOOKUP($F384,categorieMat8jreo,3,FALSE),0)</f>
        <v>0</v>
      </c>
      <c r="Q384" s="1037"/>
      <c r="R384" s="539"/>
    </row>
    <row r="385" spans="2:18" ht="13.15" customHeight="1" x14ac:dyDescent="0.2">
      <c r="B385" s="26"/>
      <c r="C385" s="1037"/>
      <c r="D385" s="1000"/>
      <c r="E385" s="1037"/>
      <c r="F385" s="1000" t="str">
        <f t="shared" ref="F385:G404" si="27">+F183</f>
        <v>categorie 2</v>
      </c>
      <c r="G385" s="1076" t="str">
        <f t="shared" si="27"/>
        <v>8jr eo</v>
      </c>
      <c r="H385" s="1037"/>
      <c r="I385" s="1461">
        <v>0</v>
      </c>
      <c r="J385" s="1461">
        <f>ROUND('geg ZO'!I232*VLOOKUP($F385,categorieMat8jreo,3,FALSE),0)</f>
        <v>0</v>
      </c>
      <c r="K385" s="1461">
        <f>ROUND('geg ZO'!J232*VLOOKUP($F385,categorieMat8jreo,3,FALSE),0)</f>
        <v>0</v>
      </c>
      <c r="L385" s="1461">
        <f>ROUND('geg ZO'!K232*VLOOKUP($F385,categorieMat8jreo,3,FALSE),0)</f>
        <v>0</v>
      </c>
      <c r="M385" s="1461">
        <f>ROUND('geg ZO'!L232*VLOOKUP($F385,categorieMat8jreo,3,FALSE),0)</f>
        <v>0</v>
      </c>
      <c r="N385" s="1461">
        <f>ROUND('geg ZO'!M232*VLOOKUP($F385,categorieMat8jreo,3,FALSE),0)</f>
        <v>0</v>
      </c>
      <c r="O385" s="1461">
        <f>ROUND('geg ZO'!N232*VLOOKUP($F385,categorieMat8jreo,3,FALSE),0)</f>
        <v>0</v>
      </c>
      <c r="P385" s="1461">
        <f>ROUND('geg ZO'!O232*VLOOKUP($F385,categorieMat8jreo,3,FALSE),0)</f>
        <v>0</v>
      </c>
      <c r="Q385" s="1037"/>
      <c r="R385" s="539"/>
    </row>
    <row r="386" spans="2:18" ht="13.15" customHeight="1" x14ac:dyDescent="0.2">
      <c r="B386" s="26"/>
      <c r="C386" s="1037"/>
      <c r="D386" s="1000"/>
      <c r="E386" s="1037"/>
      <c r="F386" s="1000" t="str">
        <f t="shared" si="27"/>
        <v>categorie 3</v>
      </c>
      <c r="G386" s="1076" t="str">
        <f t="shared" si="27"/>
        <v>8jr eo</v>
      </c>
      <c r="H386" s="1037"/>
      <c r="I386" s="1461">
        <v>0</v>
      </c>
      <c r="J386" s="1461">
        <f>ROUND('geg ZO'!I233*VLOOKUP($F386,categorieMat8jreo,3,FALSE),0)</f>
        <v>0</v>
      </c>
      <c r="K386" s="1461">
        <f>ROUND('geg ZO'!J233*VLOOKUP($F386,categorieMat8jreo,3,FALSE),0)</f>
        <v>0</v>
      </c>
      <c r="L386" s="1461">
        <f>ROUND('geg ZO'!K233*VLOOKUP($F386,categorieMat8jreo,3,FALSE),0)</f>
        <v>0</v>
      </c>
      <c r="M386" s="1461">
        <f>ROUND('geg ZO'!L233*VLOOKUP($F386,categorieMat8jreo,3,FALSE),0)</f>
        <v>0</v>
      </c>
      <c r="N386" s="1461">
        <f>ROUND('geg ZO'!M233*VLOOKUP($F386,categorieMat8jreo,3,FALSE),0)</f>
        <v>0</v>
      </c>
      <c r="O386" s="1461">
        <f>ROUND('geg ZO'!N233*VLOOKUP($F386,categorieMat8jreo,3,FALSE),0)</f>
        <v>0</v>
      </c>
      <c r="P386" s="1461">
        <f>ROUND('geg ZO'!O233*VLOOKUP($F386,categorieMat8jreo,3,FALSE),0)</f>
        <v>0</v>
      </c>
      <c r="Q386" s="1037"/>
      <c r="R386" s="539"/>
    </row>
    <row r="387" spans="2:18" ht="13.15" customHeight="1" x14ac:dyDescent="0.2">
      <c r="B387" s="26"/>
      <c r="C387" s="1037"/>
      <c r="D387" s="1447" t="str">
        <f>+D185</f>
        <v>Naam SO 23</v>
      </c>
      <c r="E387" s="1037"/>
      <c r="F387" s="1000" t="str">
        <f t="shared" si="27"/>
        <v>categorie 1</v>
      </c>
      <c r="G387" s="1076" t="str">
        <f t="shared" si="27"/>
        <v>&lt; 8 jr</v>
      </c>
      <c r="H387" s="1037"/>
      <c r="I387" s="1461">
        <v>0</v>
      </c>
      <c r="J387" s="1461">
        <f>ROUND('geg ZO'!I236*VLOOKUP($F387,categorieMat,3,FALSE),0)</f>
        <v>0</v>
      </c>
      <c r="K387" s="1461">
        <f>ROUND('geg ZO'!J236*VLOOKUP($F387,categorieMat,3,FALSE),0)</f>
        <v>0</v>
      </c>
      <c r="L387" s="1461">
        <f>ROUND('geg ZO'!K236*VLOOKUP($F387,categorieMat,3,FALSE),0)</f>
        <v>0</v>
      </c>
      <c r="M387" s="1461">
        <f>ROUND('geg ZO'!L236*VLOOKUP($F387,categorieMat,3,FALSE),0)</f>
        <v>0</v>
      </c>
      <c r="N387" s="1461">
        <f>ROUND('geg ZO'!M236*VLOOKUP($F387,categorieMat,3,FALSE),0)</f>
        <v>0</v>
      </c>
      <c r="O387" s="1461">
        <f>ROUND('geg ZO'!N236*VLOOKUP($F387,categorieMat,3,FALSE),0)</f>
        <v>0</v>
      </c>
      <c r="P387" s="1461">
        <f>ROUND('geg ZO'!O236*VLOOKUP($F387,categorieMat,3,FALSE),0)</f>
        <v>0</v>
      </c>
      <c r="Q387" s="1037"/>
      <c r="R387" s="539"/>
    </row>
    <row r="388" spans="2:18" ht="13.15" customHeight="1" x14ac:dyDescent="0.2">
      <c r="B388" s="26"/>
      <c r="C388" s="1037"/>
      <c r="D388" s="1000"/>
      <c r="E388" s="1037"/>
      <c r="F388" s="1000" t="str">
        <f t="shared" si="27"/>
        <v>categorie 2</v>
      </c>
      <c r="G388" s="1076" t="str">
        <f t="shared" si="27"/>
        <v>&lt; 8 jr</v>
      </c>
      <c r="H388" s="1037"/>
      <c r="I388" s="1461">
        <v>0</v>
      </c>
      <c r="J388" s="1461">
        <f>ROUND('geg ZO'!I237*VLOOKUP($F388,categorieMat,3,FALSE),0)</f>
        <v>0</v>
      </c>
      <c r="K388" s="1461">
        <f>ROUND('geg ZO'!J237*VLOOKUP($F388,categorieMat,3,FALSE),0)</f>
        <v>0</v>
      </c>
      <c r="L388" s="1461">
        <f>ROUND('geg ZO'!K237*VLOOKUP($F388,categorieMat,3,FALSE),0)</f>
        <v>0</v>
      </c>
      <c r="M388" s="1461">
        <f>ROUND('geg ZO'!L237*VLOOKUP($F388,categorieMat,3,FALSE),0)</f>
        <v>0</v>
      </c>
      <c r="N388" s="1461">
        <f>ROUND('geg ZO'!M237*VLOOKUP($F388,categorieMat,3,FALSE),0)</f>
        <v>0</v>
      </c>
      <c r="O388" s="1461">
        <f>ROUND('geg ZO'!N237*VLOOKUP($F388,categorieMat,3,FALSE),0)</f>
        <v>0</v>
      </c>
      <c r="P388" s="1461">
        <f>ROUND('geg ZO'!O237*VLOOKUP($F388,categorieMat,3,FALSE),0)</f>
        <v>0</v>
      </c>
      <c r="Q388" s="1037"/>
      <c r="R388" s="539"/>
    </row>
    <row r="389" spans="2:18" ht="13.15" customHeight="1" x14ac:dyDescent="0.2">
      <c r="B389" s="26"/>
      <c r="C389" s="1037"/>
      <c r="D389" s="1000"/>
      <c r="E389" s="1037"/>
      <c r="F389" s="1000" t="str">
        <f t="shared" si="27"/>
        <v>categorie 3</v>
      </c>
      <c r="G389" s="1076" t="str">
        <f t="shared" si="27"/>
        <v>&lt; 8 jr</v>
      </c>
      <c r="H389" s="1037"/>
      <c r="I389" s="1461">
        <v>0</v>
      </c>
      <c r="J389" s="1461">
        <f>ROUND('geg ZO'!I238*VLOOKUP($F389,categorieMat,3,FALSE),0)</f>
        <v>0</v>
      </c>
      <c r="K389" s="1461">
        <f>ROUND('geg ZO'!J238*VLOOKUP($F389,categorieMat,3,FALSE),0)</f>
        <v>0</v>
      </c>
      <c r="L389" s="1461">
        <f>ROUND('geg ZO'!K238*VLOOKUP($F389,categorieMat,3,FALSE),0)</f>
        <v>0</v>
      </c>
      <c r="M389" s="1461">
        <f>ROUND('geg ZO'!L238*VLOOKUP($F389,categorieMat,3,FALSE),0)</f>
        <v>0</v>
      </c>
      <c r="N389" s="1461">
        <f>ROUND('geg ZO'!M238*VLOOKUP($F389,categorieMat,3,FALSE),0)</f>
        <v>0</v>
      </c>
      <c r="O389" s="1461">
        <f>ROUND('geg ZO'!N238*VLOOKUP($F389,categorieMat,3,FALSE),0)</f>
        <v>0</v>
      </c>
      <c r="P389" s="1461">
        <f>ROUND('geg ZO'!O238*VLOOKUP($F389,categorieMat,3,FALSE),0)</f>
        <v>0</v>
      </c>
      <c r="Q389" s="1037"/>
      <c r="R389" s="539"/>
    </row>
    <row r="390" spans="2:18" ht="13.15" customHeight="1" x14ac:dyDescent="0.2">
      <c r="B390" s="26"/>
      <c r="C390" s="1037"/>
      <c r="D390" s="1000"/>
      <c r="E390" s="1037"/>
      <c r="F390" s="1000" t="str">
        <f t="shared" si="27"/>
        <v>categorie 1</v>
      </c>
      <c r="G390" s="1076" t="str">
        <f t="shared" si="27"/>
        <v>8jr eo</v>
      </c>
      <c r="H390" s="1037"/>
      <c r="I390" s="1461">
        <v>0</v>
      </c>
      <c r="J390" s="1461">
        <f>ROUND('geg ZO'!I239*VLOOKUP($F390,categorieMat8jreo,3,FALSE),0)</f>
        <v>0</v>
      </c>
      <c r="K390" s="1461">
        <f>ROUND('geg ZO'!J239*VLOOKUP($F390,categorieMat8jreo,3,FALSE),0)</f>
        <v>0</v>
      </c>
      <c r="L390" s="1461">
        <f>ROUND('geg ZO'!K239*VLOOKUP($F390,categorieMat8jreo,3,FALSE),0)</f>
        <v>0</v>
      </c>
      <c r="M390" s="1461">
        <f>ROUND('geg ZO'!L239*VLOOKUP($F390,categorieMat8jreo,3,FALSE),0)</f>
        <v>0</v>
      </c>
      <c r="N390" s="1461">
        <f>ROUND('geg ZO'!M239*VLOOKUP($F390,categorieMat8jreo,3,FALSE),0)</f>
        <v>0</v>
      </c>
      <c r="O390" s="1461">
        <f>ROUND('geg ZO'!N239*VLOOKUP($F390,categorieMat8jreo,3,FALSE),0)</f>
        <v>0</v>
      </c>
      <c r="P390" s="1461">
        <f>ROUND('geg ZO'!O239*VLOOKUP($F390,categorieMat8jreo,3,FALSE),0)</f>
        <v>0</v>
      </c>
      <c r="Q390" s="1037"/>
      <c r="R390" s="539"/>
    </row>
    <row r="391" spans="2:18" ht="13.15" customHeight="1" x14ac:dyDescent="0.2">
      <c r="B391" s="26"/>
      <c r="C391" s="1037"/>
      <c r="D391" s="1000"/>
      <c r="E391" s="1037"/>
      <c r="F391" s="1000" t="str">
        <f t="shared" si="27"/>
        <v>categorie 2</v>
      </c>
      <c r="G391" s="1076" t="str">
        <f t="shared" si="27"/>
        <v>8jr eo</v>
      </c>
      <c r="H391" s="1037"/>
      <c r="I391" s="1461">
        <v>0</v>
      </c>
      <c r="J391" s="1461">
        <f>ROUND('geg ZO'!I240*VLOOKUP($F391,categorieMat8jreo,3,FALSE),0)</f>
        <v>0</v>
      </c>
      <c r="K391" s="1461">
        <f>ROUND('geg ZO'!J240*VLOOKUP($F391,categorieMat8jreo,3,FALSE),0)</f>
        <v>0</v>
      </c>
      <c r="L391" s="1461">
        <f>ROUND('geg ZO'!K240*VLOOKUP($F391,categorieMat8jreo,3,FALSE),0)</f>
        <v>0</v>
      </c>
      <c r="M391" s="1461">
        <f>ROUND('geg ZO'!L240*VLOOKUP($F391,categorieMat8jreo,3,FALSE),0)</f>
        <v>0</v>
      </c>
      <c r="N391" s="1461">
        <f>ROUND('geg ZO'!M240*VLOOKUP($F391,categorieMat8jreo,3,FALSE),0)</f>
        <v>0</v>
      </c>
      <c r="O391" s="1461">
        <f>ROUND('geg ZO'!N240*VLOOKUP($F391,categorieMat8jreo,3,FALSE),0)</f>
        <v>0</v>
      </c>
      <c r="P391" s="1461">
        <f>ROUND('geg ZO'!O240*VLOOKUP($F391,categorieMat8jreo,3,FALSE),0)</f>
        <v>0</v>
      </c>
      <c r="Q391" s="1037"/>
      <c r="R391" s="539"/>
    </row>
    <row r="392" spans="2:18" ht="13.15" customHeight="1" x14ac:dyDescent="0.2">
      <c r="B392" s="26"/>
      <c r="C392" s="1037"/>
      <c r="D392" s="1000"/>
      <c r="E392" s="1037"/>
      <c r="F392" s="1000" t="str">
        <f t="shared" si="27"/>
        <v>categorie 3</v>
      </c>
      <c r="G392" s="1076" t="str">
        <f t="shared" si="27"/>
        <v>8jr eo</v>
      </c>
      <c r="H392" s="1037"/>
      <c r="I392" s="1461">
        <v>0</v>
      </c>
      <c r="J392" s="1461">
        <f>ROUND('geg ZO'!I241*VLOOKUP($F392,categorieMat8jreo,3,FALSE),0)</f>
        <v>0</v>
      </c>
      <c r="K392" s="1461">
        <f>ROUND('geg ZO'!J241*VLOOKUP($F392,categorieMat8jreo,3,FALSE),0)</f>
        <v>0</v>
      </c>
      <c r="L392" s="1461">
        <f>ROUND('geg ZO'!K241*VLOOKUP($F392,categorieMat8jreo,3,FALSE),0)</f>
        <v>0</v>
      </c>
      <c r="M392" s="1461">
        <f>ROUND('geg ZO'!L241*VLOOKUP($F392,categorieMat8jreo,3,FALSE),0)</f>
        <v>0</v>
      </c>
      <c r="N392" s="1461">
        <f>ROUND('geg ZO'!M241*VLOOKUP($F392,categorieMat8jreo,3,FALSE),0)</f>
        <v>0</v>
      </c>
      <c r="O392" s="1461">
        <f>ROUND('geg ZO'!N241*VLOOKUP($F392,categorieMat8jreo,3,FALSE),0)</f>
        <v>0</v>
      </c>
      <c r="P392" s="1461">
        <f>ROUND('geg ZO'!O241*VLOOKUP($F392,categorieMat8jreo,3,FALSE),0)</f>
        <v>0</v>
      </c>
      <c r="Q392" s="1037"/>
      <c r="R392" s="539"/>
    </row>
    <row r="393" spans="2:18" ht="13.15" customHeight="1" x14ac:dyDescent="0.2">
      <c r="B393" s="26"/>
      <c r="C393" s="1037"/>
      <c r="D393" s="1447" t="str">
        <f>+D191</f>
        <v>Naam SO 24</v>
      </c>
      <c r="E393" s="1037"/>
      <c r="F393" s="1000" t="str">
        <f t="shared" si="27"/>
        <v>categorie 1</v>
      </c>
      <c r="G393" s="1076" t="str">
        <f t="shared" si="27"/>
        <v>&lt; 8 jr</v>
      </c>
      <c r="H393" s="1037"/>
      <c r="I393" s="1461">
        <v>0</v>
      </c>
      <c r="J393" s="1461">
        <f>ROUND('geg ZO'!I244*VLOOKUP($F393,categorieMat,3,FALSE),0)</f>
        <v>0</v>
      </c>
      <c r="K393" s="1461">
        <f>ROUND('geg ZO'!J244*VLOOKUP($F393,categorieMat,3,FALSE),0)</f>
        <v>0</v>
      </c>
      <c r="L393" s="1461">
        <f>ROUND('geg ZO'!K244*VLOOKUP($F393,categorieMat,3,FALSE),0)</f>
        <v>0</v>
      </c>
      <c r="M393" s="1461">
        <f>ROUND('geg ZO'!L244*VLOOKUP($F393,categorieMat,3,FALSE),0)</f>
        <v>0</v>
      </c>
      <c r="N393" s="1461">
        <f>ROUND('geg ZO'!M244*VLOOKUP($F393,categorieMat,3,FALSE),0)</f>
        <v>0</v>
      </c>
      <c r="O393" s="1461">
        <f>ROUND('geg ZO'!N244*VLOOKUP($F393,categorieMat,3,FALSE),0)</f>
        <v>0</v>
      </c>
      <c r="P393" s="1461">
        <f>ROUND('geg ZO'!O244*VLOOKUP($F393,categorieMat,3,FALSE),0)</f>
        <v>0</v>
      </c>
      <c r="Q393" s="1037"/>
      <c r="R393" s="539"/>
    </row>
    <row r="394" spans="2:18" ht="13.15" customHeight="1" x14ac:dyDescent="0.2">
      <c r="B394" s="26"/>
      <c r="C394" s="1037"/>
      <c r="D394" s="1000"/>
      <c r="E394" s="1037"/>
      <c r="F394" s="1000" t="str">
        <f t="shared" si="27"/>
        <v>categorie 2</v>
      </c>
      <c r="G394" s="1076" t="str">
        <f t="shared" si="27"/>
        <v>&lt; 8 jr</v>
      </c>
      <c r="H394" s="1037"/>
      <c r="I394" s="1461">
        <v>0</v>
      </c>
      <c r="J394" s="1461">
        <f>ROUND('geg ZO'!I245*VLOOKUP($F394,categorieMat,3,FALSE),0)</f>
        <v>0</v>
      </c>
      <c r="K394" s="1461">
        <f>ROUND('geg ZO'!J245*VLOOKUP($F394,categorieMat,3,FALSE),0)</f>
        <v>0</v>
      </c>
      <c r="L394" s="1461">
        <f>ROUND('geg ZO'!K245*VLOOKUP($F394,categorieMat,3,FALSE),0)</f>
        <v>0</v>
      </c>
      <c r="M394" s="1461">
        <f>ROUND('geg ZO'!L245*VLOOKUP($F394,categorieMat,3,FALSE),0)</f>
        <v>0</v>
      </c>
      <c r="N394" s="1461">
        <f>ROUND('geg ZO'!M245*VLOOKUP($F394,categorieMat,3,FALSE),0)</f>
        <v>0</v>
      </c>
      <c r="O394" s="1461">
        <f>ROUND('geg ZO'!N245*VLOOKUP($F394,categorieMat,3,FALSE),0)</f>
        <v>0</v>
      </c>
      <c r="P394" s="1461">
        <f>ROUND('geg ZO'!O245*VLOOKUP($F394,categorieMat,3,FALSE),0)</f>
        <v>0</v>
      </c>
      <c r="Q394" s="1037"/>
      <c r="R394" s="539"/>
    </row>
    <row r="395" spans="2:18" ht="13.15" customHeight="1" x14ac:dyDescent="0.2">
      <c r="B395" s="26"/>
      <c r="C395" s="1037"/>
      <c r="D395" s="1000"/>
      <c r="E395" s="1037"/>
      <c r="F395" s="1000" t="str">
        <f t="shared" si="27"/>
        <v>categorie 3</v>
      </c>
      <c r="G395" s="1076" t="str">
        <f t="shared" si="27"/>
        <v>&lt; 8 jr</v>
      </c>
      <c r="H395" s="1037"/>
      <c r="I395" s="1461">
        <v>0</v>
      </c>
      <c r="J395" s="1461">
        <f>ROUND('geg ZO'!I246*VLOOKUP($F395,categorieMat,3,FALSE),0)</f>
        <v>0</v>
      </c>
      <c r="K395" s="1461">
        <f>ROUND('geg ZO'!J246*VLOOKUP($F395,categorieMat,3,FALSE),0)</f>
        <v>0</v>
      </c>
      <c r="L395" s="1461">
        <f>ROUND('geg ZO'!K246*VLOOKUP($F395,categorieMat,3,FALSE),0)</f>
        <v>0</v>
      </c>
      <c r="M395" s="1461">
        <f>ROUND('geg ZO'!L246*VLOOKUP($F395,categorieMat,3,FALSE),0)</f>
        <v>0</v>
      </c>
      <c r="N395" s="1461">
        <f>ROUND('geg ZO'!M246*VLOOKUP($F395,categorieMat,3,FALSE),0)</f>
        <v>0</v>
      </c>
      <c r="O395" s="1461">
        <f>ROUND('geg ZO'!N246*VLOOKUP($F395,categorieMat,3,FALSE),0)</f>
        <v>0</v>
      </c>
      <c r="P395" s="1461">
        <f>ROUND('geg ZO'!O246*VLOOKUP($F395,categorieMat,3,FALSE),0)</f>
        <v>0</v>
      </c>
      <c r="Q395" s="1037"/>
      <c r="R395" s="539"/>
    </row>
    <row r="396" spans="2:18" ht="13.15" customHeight="1" x14ac:dyDescent="0.2">
      <c r="B396" s="26"/>
      <c r="C396" s="1037"/>
      <c r="D396" s="1000"/>
      <c r="E396" s="1037"/>
      <c r="F396" s="1000" t="str">
        <f t="shared" si="27"/>
        <v>categorie 1</v>
      </c>
      <c r="G396" s="1076" t="str">
        <f t="shared" si="27"/>
        <v>8jr eo</v>
      </c>
      <c r="H396" s="1037"/>
      <c r="I396" s="1461">
        <v>0</v>
      </c>
      <c r="J396" s="1461">
        <f>ROUND('geg ZO'!I247*VLOOKUP($F396,categorieMat8jreo,3,FALSE),0)</f>
        <v>0</v>
      </c>
      <c r="K396" s="1461">
        <f>ROUND('geg ZO'!J247*VLOOKUP($F396,categorieMat8jreo,3,FALSE),0)</f>
        <v>0</v>
      </c>
      <c r="L396" s="1461">
        <f>ROUND('geg ZO'!K247*VLOOKUP($F396,categorieMat8jreo,3,FALSE),0)</f>
        <v>0</v>
      </c>
      <c r="M396" s="1461">
        <f>ROUND('geg ZO'!L247*VLOOKUP($F396,categorieMat8jreo,3,FALSE),0)</f>
        <v>0</v>
      </c>
      <c r="N396" s="1461">
        <f>ROUND('geg ZO'!M247*VLOOKUP($F396,categorieMat8jreo,3,FALSE),0)</f>
        <v>0</v>
      </c>
      <c r="O396" s="1461">
        <f>ROUND('geg ZO'!N247*VLOOKUP($F396,categorieMat8jreo,3,FALSE),0)</f>
        <v>0</v>
      </c>
      <c r="P396" s="1461">
        <f>ROUND('geg ZO'!O247*VLOOKUP($F396,categorieMat8jreo,3,FALSE),0)</f>
        <v>0</v>
      </c>
      <c r="Q396" s="1037"/>
      <c r="R396" s="539"/>
    </row>
    <row r="397" spans="2:18" ht="13.15" customHeight="1" x14ac:dyDescent="0.2">
      <c r="B397" s="26"/>
      <c r="C397" s="1037"/>
      <c r="D397" s="1000"/>
      <c r="E397" s="1037"/>
      <c r="F397" s="1000" t="str">
        <f t="shared" si="27"/>
        <v>categorie 2</v>
      </c>
      <c r="G397" s="1076" t="str">
        <f t="shared" si="27"/>
        <v>8jr eo</v>
      </c>
      <c r="H397" s="1037"/>
      <c r="I397" s="1461">
        <v>0</v>
      </c>
      <c r="J397" s="1461">
        <f>ROUND('geg ZO'!I248*VLOOKUP($F397,categorieMat8jreo,3,FALSE),0)</f>
        <v>0</v>
      </c>
      <c r="K397" s="1461">
        <f>ROUND('geg ZO'!J248*VLOOKUP($F397,categorieMat8jreo,3,FALSE),0)</f>
        <v>0</v>
      </c>
      <c r="L397" s="1461">
        <f>ROUND('geg ZO'!K248*VLOOKUP($F397,categorieMat8jreo,3,FALSE),0)</f>
        <v>0</v>
      </c>
      <c r="M397" s="1461">
        <f>ROUND('geg ZO'!L248*VLOOKUP($F397,categorieMat8jreo,3,FALSE),0)</f>
        <v>0</v>
      </c>
      <c r="N397" s="1461">
        <f>ROUND('geg ZO'!M248*VLOOKUP($F397,categorieMat8jreo,3,FALSE),0)</f>
        <v>0</v>
      </c>
      <c r="O397" s="1461">
        <f>ROUND('geg ZO'!N248*VLOOKUP($F397,categorieMat8jreo,3,FALSE),0)</f>
        <v>0</v>
      </c>
      <c r="P397" s="1461">
        <f>ROUND('geg ZO'!O248*VLOOKUP($F397,categorieMat8jreo,3,FALSE),0)</f>
        <v>0</v>
      </c>
      <c r="Q397" s="1037"/>
      <c r="R397" s="539"/>
    </row>
    <row r="398" spans="2:18" ht="13.15" customHeight="1" x14ac:dyDescent="0.2">
      <c r="B398" s="26"/>
      <c r="C398" s="1037"/>
      <c r="D398" s="1000"/>
      <c r="E398" s="1037"/>
      <c r="F398" s="1000" t="str">
        <f t="shared" si="27"/>
        <v>categorie 3</v>
      </c>
      <c r="G398" s="1076" t="str">
        <f t="shared" si="27"/>
        <v>8jr eo</v>
      </c>
      <c r="H398" s="1037"/>
      <c r="I398" s="1461">
        <v>0</v>
      </c>
      <c r="J398" s="1461">
        <f>ROUND('geg ZO'!I249*VLOOKUP($F398,categorieMat8jreo,3,FALSE),0)</f>
        <v>0</v>
      </c>
      <c r="K398" s="1461">
        <f>ROUND('geg ZO'!J249*VLOOKUP($F398,categorieMat8jreo,3,FALSE),0)</f>
        <v>0</v>
      </c>
      <c r="L398" s="1461">
        <f>ROUND('geg ZO'!K249*VLOOKUP($F398,categorieMat8jreo,3,FALSE),0)</f>
        <v>0</v>
      </c>
      <c r="M398" s="1461">
        <f>ROUND('geg ZO'!L249*VLOOKUP($F398,categorieMat8jreo,3,FALSE),0)</f>
        <v>0</v>
      </c>
      <c r="N398" s="1461">
        <f>ROUND('geg ZO'!M249*VLOOKUP($F398,categorieMat8jreo,3,FALSE),0)</f>
        <v>0</v>
      </c>
      <c r="O398" s="1461">
        <f>ROUND('geg ZO'!N249*VLOOKUP($F398,categorieMat8jreo,3,FALSE),0)</f>
        <v>0</v>
      </c>
      <c r="P398" s="1461">
        <f>ROUND('geg ZO'!O249*VLOOKUP($F398,categorieMat8jreo,3,FALSE),0)</f>
        <v>0</v>
      </c>
      <c r="Q398" s="1037"/>
      <c r="R398" s="539"/>
    </row>
    <row r="399" spans="2:18" ht="13.15" customHeight="1" x14ac:dyDescent="0.2">
      <c r="B399" s="26"/>
      <c r="C399" s="1037"/>
      <c r="D399" s="1447" t="str">
        <f>+D197</f>
        <v>Naam SO 25</v>
      </c>
      <c r="E399" s="1037"/>
      <c r="F399" s="1000" t="str">
        <f t="shared" si="27"/>
        <v>categorie 1</v>
      </c>
      <c r="G399" s="1076" t="str">
        <f t="shared" si="27"/>
        <v>&lt; 8 jr</v>
      </c>
      <c r="H399" s="1037"/>
      <c r="I399" s="1461">
        <v>0</v>
      </c>
      <c r="J399" s="1461">
        <f>ROUND('geg ZO'!I252*VLOOKUP($F399,categorieMat,3,FALSE),0)</f>
        <v>0</v>
      </c>
      <c r="K399" s="1461">
        <f>ROUND('geg ZO'!J252*VLOOKUP($F399,categorieMat,3,FALSE),0)</f>
        <v>0</v>
      </c>
      <c r="L399" s="1461">
        <f>ROUND('geg ZO'!K252*VLOOKUP($F399,categorieMat,3,FALSE),0)</f>
        <v>0</v>
      </c>
      <c r="M399" s="1461">
        <f>ROUND('geg ZO'!L252*VLOOKUP($F399,categorieMat,3,FALSE),0)</f>
        <v>0</v>
      </c>
      <c r="N399" s="1461">
        <f>ROUND('geg ZO'!M252*VLOOKUP($F399,categorieMat,3,FALSE),0)</f>
        <v>0</v>
      </c>
      <c r="O399" s="1461">
        <f>ROUND('geg ZO'!N252*VLOOKUP($F399,categorieMat,3,FALSE),0)</f>
        <v>0</v>
      </c>
      <c r="P399" s="1461">
        <f>ROUND('geg ZO'!O252*VLOOKUP($F399,categorieMat,3,FALSE),0)</f>
        <v>0</v>
      </c>
      <c r="Q399" s="1037"/>
      <c r="R399" s="539"/>
    </row>
    <row r="400" spans="2:18" ht="13.15" customHeight="1" x14ac:dyDescent="0.2">
      <c r="B400" s="26"/>
      <c r="C400" s="1037"/>
      <c r="D400" s="1000"/>
      <c r="E400" s="1037"/>
      <c r="F400" s="1000" t="str">
        <f t="shared" si="27"/>
        <v>categorie 2</v>
      </c>
      <c r="G400" s="1076" t="str">
        <f t="shared" si="27"/>
        <v>&lt; 8 jr</v>
      </c>
      <c r="H400" s="1037"/>
      <c r="I400" s="1461">
        <v>0</v>
      </c>
      <c r="J400" s="1461">
        <f>ROUND('geg ZO'!I253*VLOOKUP($F400,categorieMat,3,FALSE),0)</f>
        <v>0</v>
      </c>
      <c r="K400" s="1461">
        <f>ROUND('geg ZO'!J253*VLOOKUP($F400,categorieMat,3,FALSE),0)</f>
        <v>0</v>
      </c>
      <c r="L400" s="1461">
        <f>ROUND('geg ZO'!K253*VLOOKUP($F400,categorieMat,3,FALSE),0)</f>
        <v>0</v>
      </c>
      <c r="M400" s="1461">
        <f>ROUND('geg ZO'!L253*VLOOKUP($F400,categorieMat,3,FALSE),0)</f>
        <v>0</v>
      </c>
      <c r="N400" s="1461">
        <f>ROUND('geg ZO'!M253*VLOOKUP($F400,categorieMat,3,FALSE),0)</f>
        <v>0</v>
      </c>
      <c r="O400" s="1461">
        <f>ROUND('geg ZO'!N253*VLOOKUP($F400,categorieMat,3,FALSE),0)</f>
        <v>0</v>
      </c>
      <c r="P400" s="1461">
        <f>ROUND('geg ZO'!O253*VLOOKUP($F400,categorieMat,3,FALSE),0)</f>
        <v>0</v>
      </c>
      <c r="Q400" s="1037"/>
      <c r="R400" s="539"/>
    </row>
    <row r="401" spans="2:18" ht="13.15" customHeight="1" x14ac:dyDescent="0.2">
      <c r="B401" s="26"/>
      <c r="C401" s="1037"/>
      <c r="D401" s="1000"/>
      <c r="E401" s="1037"/>
      <c r="F401" s="1000" t="str">
        <f t="shared" si="27"/>
        <v>categorie 3</v>
      </c>
      <c r="G401" s="1076" t="str">
        <f t="shared" si="27"/>
        <v>&lt; 8 jr</v>
      </c>
      <c r="H401" s="1037"/>
      <c r="I401" s="1461">
        <v>0</v>
      </c>
      <c r="J401" s="1461">
        <f>ROUND('geg ZO'!I254*VLOOKUP($F401,categorieMat,3,FALSE),0)</f>
        <v>0</v>
      </c>
      <c r="K401" s="1461">
        <f>ROUND('geg ZO'!J254*VLOOKUP($F401,categorieMat,3,FALSE),0)</f>
        <v>0</v>
      </c>
      <c r="L401" s="1461">
        <f>ROUND('geg ZO'!K254*VLOOKUP($F401,categorieMat,3,FALSE),0)</f>
        <v>0</v>
      </c>
      <c r="M401" s="1461">
        <f>ROUND('geg ZO'!L254*VLOOKUP($F401,categorieMat,3,FALSE),0)</f>
        <v>0</v>
      </c>
      <c r="N401" s="1461">
        <f>ROUND('geg ZO'!M254*VLOOKUP($F401,categorieMat,3,FALSE),0)</f>
        <v>0</v>
      </c>
      <c r="O401" s="1461">
        <f>ROUND('geg ZO'!N254*VLOOKUP($F401,categorieMat,3,FALSE),0)</f>
        <v>0</v>
      </c>
      <c r="P401" s="1461">
        <f>ROUND('geg ZO'!O254*VLOOKUP($F401,categorieMat,3,FALSE),0)</f>
        <v>0</v>
      </c>
      <c r="Q401" s="1037"/>
      <c r="R401" s="539"/>
    </row>
    <row r="402" spans="2:18" ht="13.15" customHeight="1" x14ac:dyDescent="0.2">
      <c r="B402" s="26"/>
      <c r="C402" s="1037"/>
      <c r="D402" s="1000"/>
      <c r="E402" s="1037"/>
      <c r="F402" s="1000" t="str">
        <f t="shared" si="27"/>
        <v>categorie 1</v>
      </c>
      <c r="G402" s="1076" t="str">
        <f t="shared" si="27"/>
        <v>8jr eo</v>
      </c>
      <c r="H402" s="1037"/>
      <c r="I402" s="1461">
        <v>0</v>
      </c>
      <c r="J402" s="1461">
        <f>ROUND('geg ZO'!I255*VLOOKUP($F402,categorieMat8jreo,3,FALSE),0)</f>
        <v>0</v>
      </c>
      <c r="K402" s="1461">
        <f>ROUND('geg ZO'!J255*VLOOKUP($F402,categorieMat8jreo,3,FALSE),0)</f>
        <v>0</v>
      </c>
      <c r="L402" s="1461">
        <f>ROUND('geg ZO'!K255*VLOOKUP($F402,categorieMat8jreo,3,FALSE),0)</f>
        <v>0</v>
      </c>
      <c r="M402" s="1461">
        <f>ROUND('geg ZO'!L255*VLOOKUP($F402,categorieMat8jreo,3,FALSE),0)</f>
        <v>0</v>
      </c>
      <c r="N402" s="1461">
        <f>ROUND('geg ZO'!M255*VLOOKUP($F402,categorieMat8jreo,3,FALSE),0)</f>
        <v>0</v>
      </c>
      <c r="O402" s="1461">
        <f>ROUND('geg ZO'!N255*VLOOKUP($F402,categorieMat8jreo,3,FALSE),0)</f>
        <v>0</v>
      </c>
      <c r="P402" s="1461">
        <f>ROUND('geg ZO'!O255*VLOOKUP($F402,categorieMat8jreo,3,FALSE),0)</f>
        <v>0</v>
      </c>
      <c r="Q402" s="1037"/>
      <c r="R402" s="539"/>
    </row>
    <row r="403" spans="2:18" ht="13.15" customHeight="1" x14ac:dyDescent="0.2">
      <c r="B403" s="26"/>
      <c r="C403" s="1037"/>
      <c r="D403" s="1000"/>
      <c r="E403" s="1037"/>
      <c r="F403" s="1000" t="str">
        <f t="shared" si="27"/>
        <v>categorie 2</v>
      </c>
      <c r="G403" s="1076" t="str">
        <f t="shared" si="27"/>
        <v>8jr eo</v>
      </c>
      <c r="H403" s="1037"/>
      <c r="I403" s="1461">
        <v>0</v>
      </c>
      <c r="J403" s="1461">
        <f>ROUND('geg ZO'!I256*VLOOKUP($F403,categorieMat8jreo,3,FALSE),0)</f>
        <v>0</v>
      </c>
      <c r="K403" s="1461">
        <f>ROUND('geg ZO'!J256*VLOOKUP($F403,categorieMat8jreo,3,FALSE),0)</f>
        <v>0</v>
      </c>
      <c r="L403" s="1461">
        <f>ROUND('geg ZO'!K256*VLOOKUP($F403,categorieMat8jreo,3,FALSE),0)</f>
        <v>0</v>
      </c>
      <c r="M403" s="1461">
        <f>ROUND('geg ZO'!L256*VLOOKUP($F403,categorieMat8jreo,3,FALSE),0)</f>
        <v>0</v>
      </c>
      <c r="N403" s="1461">
        <f>ROUND('geg ZO'!M256*VLOOKUP($F403,categorieMat8jreo,3,FALSE),0)</f>
        <v>0</v>
      </c>
      <c r="O403" s="1461">
        <f>ROUND('geg ZO'!N256*VLOOKUP($F403,categorieMat8jreo,3,FALSE),0)</f>
        <v>0</v>
      </c>
      <c r="P403" s="1461">
        <f>ROUND('geg ZO'!O256*VLOOKUP($F403,categorieMat8jreo,3,FALSE),0)</f>
        <v>0</v>
      </c>
      <c r="Q403" s="1037"/>
      <c r="R403" s="539"/>
    </row>
    <row r="404" spans="2:18" ht="13.15" customHeight="1" x14ac:dyDescent="0.2">
      <c r="B404" s="26"/>
      <c r="C404" s="1037"/>
      <c r="D404" s="1000"/>
      <c r="E404" s="1037"/>
      <c r="F404" s="1000" t="str">
        <f t="shared" si="27"/>
        <v>categorie 3</v>
      </c>
      <c r="G404" s="1076" t="str">
        <f t="shared" si="27"/>
        <v>8jr eo</v>
      </c>
      <c r="H404" s="1037"/>
      <c r="I404" s="1461">
        <v>0</v>
      </c>
      <c r="J404" s="1461">
        <f>ROUND('geg ZO'!I257*VLOOKUP($F404,categorieMat8jreo,3,FALSE),0)</f>
        <v>0</v>
      </c>
      <c r="K404" s="1461">
        <f>ROUND('geg ZO'!J257*VLOOKUP($F404,categorieMat8jreo,3,FALSE),0)</f>
        <v>0</v>
      </c>
      <c r="L404" s="1461">
        <f>ROUND('geg ZO'!K257*VLOOKUP($F404,categorieMat8jreo,3,FALSE),0)</f>
        <v>0</v>
      </c>
      <c r="M404" s="1461">
        <f>ROUND('geg ZO'!L257*VLOOKUP($F404,categorieMat8jreo,3,FALSE),0)</f>
        <v>0</v>
      </c>
      <c r="N404" s="1461">
        <f>ROUND('geg ZO'!M257*VLOOKUP($F404,categorieMat8jreo,3,FALSE),0)</f>
        <v>0</v>
      </c>
      <c r="O404" s="1461">
        <f>ROUND('geg ZO'!N257*VLOOKUP($F404,categorieMat8jreo,3,FALSE),0)</f>
        <v>0</v>
      </c>
      <c r="P404" s="1461">
        <f>ROUND('geg ZO'!O257*VLOOKUP($F404,categorieMat8jreo,3,FALSE),0)</f>
        <v>0</v>
      </c>
      <c r="Q404" s="1037"/>
      <c r="R404" s="539"/>
    </row>
    <row r="405" spans="2:18" ht="13.15" customHeight="1" x14ac:dyDescent="0.2">
      <c r="B405" s="26"/>
      <c r="C405" s="1037"/>
      <c r="D405" s="1447" t="str">
        <f>+D203</f>
        <v>Naam SO 26</v>
      </c>
      <c r="E405" s="1037"/>
      <c r="F405" s="1000" t="str">
        <f t="shared" ref="F405:G424" si="28">+F203</f>
        <v>categorie 1</v>
      </c>
      <c r="G405" s="1076" t="str">
        <f t="shared" si="28"/>
        <v>&lt; 8 jr</v>
      </c>
      <c r="H405" s="1037"/>
      <c r="I405" s="1461">
        <v>0</v>
      </c>
      <c r="J405" s="1461">
        <f>ROUND('geg ZO'!I260*VLOOKUP($F405,categorieMat,3,FALSE),0)</f>
        <v>0</v>
      </c>
      <c r="K405" s="1461">
        <f>ROUND('geg ZO'!J260*VLOOKUP($F405,categorieMat,3,FALSE),0)</f>
        <v>0</v>
      </c>
      <c r="L405" s="1461">
        <f>ROUND('geg ZO'!K260*VLOOKUP($F405,categorieMat,3,FALSE),0)</f>
        <v>0</v>
      </c>
      <c r="M405" s="1461">
        <f>ROUND('geg ZO'!L260*VLOOKUP($F405,categorieMat,3,FALSE),0)</f>
        <v>0</v>
      </c>
      <c r="N405" s="1461">
        <f>ROUND('geg ZO'!M260*VLOOKUP($F405,categorieMat,3,FALSE),0)</f>
        <v>0</v>
      </c>
      <c r="O405" s="1461">
        <f>ROUND('geg ZO'!N260*VLOOKUP($F405,categorieMat,3,FALSE),0)</f>
        <v>0</v>
      </c>
      <c r="P405" s="1461">
        <f>ROUND('geg ZO'!O260*VLOOKUP($F405,categorieMat,3,FALSE),0)</f>
        <v>0</v>
      </c>
      <c r="Q405" s="1037"/>
      <c r="R405" s="539"/>
    </row>
    <row r="406" spans="2:18" ht="13.15" customHeight="1" x14ac:dyDescent="0.2">
      <c r="B406" s="26"/>
      <c r="C406" s="1037"/>
      <c r="D406" s="1000"/>
      <c r="E406" s="1037"/>
      <c r="F406" s="1000" t="str">
        <f t="shared" si="28"/>
        <v>categorie 2</v>
      </c>
      <c r="G406" s="1076" t="str">
        <f t="shared" si="28"/>
        <v>&lt; 8 jr</v>
      </c>
      <c r="H406" s="1037"/>
      <c r="I406" s="1461">
        <v>0</v>
      </c>
      <c r="J406" s="1461">
        <f>ROUND('geg ZO'!I261*VLOOKUP($F406,categorieMat,3,FALSE),0)</f>
        <v>0</v>
      </c>
      <c r="K406" s="1461">
        <f>ROUND('geg ZO'!J261*VLOOKUP($F406,categorieMat,3,FALSE),0)</f>
        <v>0</v>
      </c>
      <c r="L406" s="1461">
        <f>ROUND('geg ZO'!K261*VLOOKUP($F406,categorieMat,3,FALSE),0)</f>
        <v>0</v>
      </c>
      <c r="M406" s="1461">
        <f>ROUND('geg ZO'!L261*VLOOKUP($F406,categorieMat,3,FALSE),0)</f>
        <v>0</v>
      </c>
      <c r="N406" s="1461">
        <f>ROUND('geg ZO'!M261*VLOOKUP($F406,categorieMat,3,FALSE),0)</f>
        <v>0</v>
      </c>
      <c r="O406" s="1461">
        <f>ROUND('geg ZO'!N261*VLOOKUP($F406,categorieMat,3,FALSE),0)</f>
        <v>0</v>
      </c>
      <c r="P406" s="1461">
        <f>ROUND('geg ZO'!O261*VLOOKUP($F406,categorieMat,3,FALSE),0)</f>
        <v>0</v>
      </c>
      <c r="Q406" s="1037"/>
      <c r="R406" s="539"/>
    </row>
    <row r="407" spans="2:18" ht="13.15" customHeight="1" x14ac:dyDescent="0.2">
      <c r="B407" s="26"/>
      <c r="C407" s="1037"/>
      <c r="D407" s="1000"/>
      <c r="E407" s="1037"/>
      <c r="F407" s="1000" t="str">
        <f t="shared" si="28"/>
        <v>categorie 3</v>
      </c>
      <c r="G407" s="1076" t="str">
        <f t="shared" si="28"/>
        <v>&lt; 8 jr</v>
      </c>
      <c r="H407" s="1037"/>
      <c r="I407" s="1461">
        <v>0</v>
      </c>
      <c r="J407" s="1461">
        <f>ROUND('geg ZO'!I262*VLOOKUP($F407,categorieMat,3,FALSE),0)</f>
        <v>0</v>
      </c>
      <c r="K407" s="1461">
        <f>ROUND('geg ZO'!J262*VLOOKUP($F407,categorieMat,3,FALSE),0)</f>
        <v>0</v>
      </c>
      <c r="L407" s="1461">
        <f>ROUND('geg ZO'!K262*VLOOKUP($F407,categorieMat,3,FALSE),0)</f>
        <v>0</v>
      </c>
      <c r="M407" s="1461">
        <f>ROUND('geg ZO'!L262*VLOOKUP($F407,categorieMat,3,FALSE),0)</f>
        <v>0</v>
      </c>
      <c r="N407" s="1461">
        <f>ROUND('geg ZO'!M262*VLOOKUP($F407,categorieMat,3,FALSE),0)</f>
        <v>0</v>
      </c>
      <c r="O407" s="1461">
        <f>ROUND('geg ZO'!N262*VLOOKUP($F407,categorieMat,3,FALSE),0)</f>
        <v>0</v>
      </c>
      <c r="P407" s="1461">
        <f>ROUND('geg ZO'!O262*VLOOKUP($F407,categorieMat,3,FALSE),0)</f>
        <v>0</v>
      </c>
      <c r="Q407" s="1037"/>
      <c r="R407" s="539"/>
    </row>
    <row r="408" spans="2:18" ht="13.15" customHeight="1" x14ac:dyDescent="0.2">
      <c r="B408" s="26"/>
      <c r="C408" s="1037"/>
      <c r="D408" s="1000"/>
      <c r="E408" s="1037"/>
      <c r="F408" s="1000" t="str">
        <f t="shared" si="28"/>
        <v>categorie 1</v>
      </c>
      <c r="G408" s="1076" t="str">
        <f t="shared" si="28"/>
        <v>8jr eo</v>
      </c>
      <c r="H408" s="1037"/>
      <c r="I408" s="1461">
        <v>0</v>
      </c>
      <c r="J408" s="1461">
        <f>ROUND('geg ZO'!I263*VLOOKUP($F408,categorieMat8jreo,3,FALSE),0)</f>
        <v>0</v>
      </c>
      <c r="K408" s="1461">
        <f>ROUND('geg ZO'!J263*VLOOKUP($F408,categorieMat8jreo,3,FALSE),0)</f>
        <v>0</v>
      </c>
      <c r="L408" s="1461">
        <f>ROUND('geg ZO'!K263*VLOOKUP($F408,categorieMat8jreo,3,FALSE),0)</f>
        <v>0</v>
      </c>
      <c r="M408" s="1461">
        <f>ROUND('geg ZO'!L263*VLOOKUP($F408,categorieMat8jreo,3,FALSE),0)</f>
        <v>0</v>
      </c>
      <c r="N408" s="1461">
        <f>ROUND('geg ZO'!M263*VLOOKUP($F408,categorieMat8jreo,3,FALSE),0)</f>
        <v>0</v>
      </c>
      <c r="O408" s="1461">
        <f>ROUND('geg ZO'!N263*VLOOKUP($F408,categorieMat8jreo,3,FALSE),0)</f>
        <v>0</v>
      </c>
      <c r="P408" s="1461">
        <f>ROUND('geg ZO'!O263*VLOOKUP($F408,categorieMat8jreo,3,FALSE),0)</f>
        <v>0</v>
      </c>
      <c r="Q408" s="1037"/>
      <c r="R408" s="539"/>
    </row>
    <row r="409" spans="2:18" ht="13.15" customHeight="1" x14ac:dyDescent="0.2">
      <c r="B409" s="26"/>
      <c r="C409" s="1037"/>
      <c r="D409" s="1000"/>
      <c r="E409" s="1037"/>
      <c r="F409" s="1000" t="str">
        <f t="shared" si="28"/>
        <v>categorie 2</v>
      </c>
      <c r="G409" s="1076" t="str">
        <f t="shared" si="28"/>
        <v>8jr eo</v>
      </c>
      <c r="H409" s="1037"/>
      <c r="I409" s="1461">
        <v>0</v>
      </c>
      <c r="J409" s="1461">
        <f>ROUND('geg ZO'!I264*VLOOKUP($F409,categorieMat8jreo,3,FALSE),0)</f>
        <v>0</v>
      </c>
      <c r="K409" s="1461">
        <f>ROUND('geg ZO'!J264*VLOOKUP($F409,categorieMat8jreo,3,FALSE),0)</f>
        <v>0</v>
      </c>
      <c r="L409" s="1461">
        <f>ROUND('geg ZO'!K264*VLOOKUP($F409,categorieMat8jreo,3,FALSE),0)</f>
        <v>0</v>
      </c>
      <c r="M409" s="1461">
        <f>ROUND('geg ZO'!L264*VLOOKUP($F409,categorieMat8jreo,3,FALSE),0)</f>
        <v>0</v>
      </c>
      <c r="N409" s="1461">
        <f>ROUND('geg ZO'!M264*VLOOKUP($F409,categorieMat8jreo,3,FALSE),0)</f>
        <v>0</v>
      </c>
      <c r="O409" s="1461">
        <f>ROUND('geg ZO'!N264*VLOOKUP($F409,categorieMat8jreo,3,FALSE),0)</f>
        <v>0</v>
      </c>
      <c r="P409" s="1461">
        <f>ROUND('geg ZO'!O264*VLOOKUP($F409,categorieMat8jreo,3,FALSE),0)</f>
        <v>0</v>
      </c>
      <c r="Q409" s="1037"/>
      <c r="R409" s="539"/>
    </row>
    <row r="410" spans="2:18" ht="13.15" customHeight="1" x14ac:dyDescent="0.2">
      <c r="B410" s="26"/>
      <c r="C410" s="1037"/>
      <c r="D410" s="1000"/>
      <c r="E410" s="1037"/>
      <c r="F410" s="1000" t="str">
        <f t="shared" si="28"/>
        <v>categorie 3</v>
      </c>
      <c r="G410" s="1076" t="str">
        <f t="shared" si="28"/>
        <v>8jr eo</v>
      </c>
      <c r="H410" s="1037"/>
      <c r="I410" s="1461">
        <v>0</v>
      </c>
      <c r="J410" s="1461">
        <f>ROUND('geg ZO'!I265*VLOOKUP($F410,categorieMat8jreo,3,FALSE),0)</f>
        <v>0</v>
      </c>
      <c r="K410" s="1461">
        <f>ROUND('geg ZO'!J265*VLOOKUP($F410,categorieMat8jreo,3,FALSE),0)</f>
        <v>0</v>
      </c>
      <c r="L410" s="1461">
        <f>ROUND('geg ZO'!K265*VLOOKUP($F410,categorieMat8jreo,3,FALSE),0)</f>
        <v>0</v>
      </c>
      <c r="M410" s="1461">
        <f>ROUND('geg ZO'!L265*VLOOKUP($F410,categorieMat8jreo,3,FALSE),0)</f>
        <v>0</v>
      </c>
      <c r="N410" s="1461">
        <f>ROUND('geg ZO'!M265*VLOOKUP($F410,categorieMat8jreo,3,FALSE),0)</f>
        <v>0</v>
      </c>
      <c r="O410" s="1461">
        <f>ROUND('geg ZO'!N265*VLOOKUP($F410,categorieMat8jreo,3,FALSE),0)</f>
        <v>0</v>
      </c>
      <c r="P410" s="1461">
        <f>ROUND('geg ZO'!O265*VLOOKUP($F410,categorieMat8jreo,3,FALSE),0)</f>
        <v>0</v>
      </c>
      <c r="Q410" s="1037"/>
      <c r="R410" s="539"/>
    </row>
    <row r="411" spans="2:18" ht="13.15" customHeight="1" x14ac:dyDescent="0.2">
      <c r="B411" s="26"/>
      <c r="C411" s="1037"/>
      <c r="D411" s="1447" t="str">
        <f>+D209</f>
        <v>Naam SO 27</v>
      </c>
      <c r="E411" s="1037"/>
      <c r="F411" s="1000" t="str">
        <f t="shared" si="28"/>
        <v>categorie 1</v>
      </c>
      <c r="G411" s="1076" t="str">
        <f t="shared" si="28"/>
        <v>&lt; 8 jr</v>
      </c>
      <c r="H411" s="1037"/>
      <c r="I411" s="1461">
        <v>0</v>
      </c>
      <c r="J411" s="1461">
        <f>ROUND('geg ZO'!I268*VLOOKUP($F411,categorieMat,3,FALSE),0)</f>
        <v>0</v>
      </c>
      <c r="K411" s="1461">
        <f>ROUND('geg ZO'!J268*VLOOKUP($F411,categorieMat,3,FALSE),0)</f>
        <v>0</v>
      </c>
      <c r="L411" s="1461">
        <f>ROUND('geg ZO'!K268*VLOOKUP($F411,categorieMat,3,FALSE),0)</f>
        <v>0</v>
      </c>
      <c r="M411" s="1461">
        <f>ROUND('geg ZO'!L268*VLOOKUP($F411,categorieMat,3,FALSE),0)</f>
        <v>0</v>
      </c>
      <c r="N411" s="1461">
        <f>ROUND('geg ZO'!M268*VLOOKUP($F411,categorieMat,3,FALSE),0)</f>
        <v>0</v>
      </c>
      <c r="O411" s="1461">
        <f>ROUND('geg ZO'!N268*VLOOKUP($F411,categorieMat,3,FALSE),0)</f>
        <v>0</v>
      </c>
      <c r="P411" s="1461">
        <f>ROUND('geg ZO'!O268*VLOOKUP($F411,categorieMat,3,FALSE),0)</f>
        <v>0</v>
      </c>
      <c r="Q411" s="1037"/>
      <c r="R411" s="539"/>
    </row>
    <row r="412" spans="2:18" ht="13.15" customHeight="1" x14ac:dyDescent="0.2">
      <c r="B412" s="26"/>
      <c r="C412" s="1037"/>
      <c r="D412" s="1000"/>
      <c r="E412" s="1037"/>
      <c r="F412" s="1000" t="str">
        <f t="shared" si="28"/>
        <v>categorie 2</v>
      </c>
      <c r="G412" s="1076" t="str">
        <f t="shared" si="28"/>
        <v>&lt; 8 jr</v>
      </c>
      <c r="H412" s="1037"/>
      <c r="I412" s="1461">
        <v>0</v>
      </c>
      <c r="J412" s="1461">
        <f>ROUND('geg ZO'!I269*VLOOKUP($F412,categorieMat,3,FALSE),0)</f>
        <v>0</v>
      </c>
      <c r="K412" s="1461">
        <f>ROUND('geg ZO'!J269*VLOOKUP($F412,categorieMat,3,FALSE),0)</f>
        <v>0</v>
      </c>
      <c r="L412" s="1461">
        <f>ROUND('geg ZO'!K269*VLOOKUP($F412,categorieMat,3,FALSE),0)</f>
        <v>0</v>
      </c>
      <c r="M412" s="1461">
        <f>ROUND('geg ZO'!L269*VLOOKUP($F412,categorieMat,3,FALSE),0)</f>
        <v>0</v>
      </c>
      <c r="N412" s="1461">
        <f>ROUND('geg ZO'!M269*VLOOKUP($F412,categorieMat,3,FALSE),0)</f>
        <v>0</v>
      </c>
      <c r="O412" s="1461">
        <f>ROUND('geg ZO'!N269*VLOOKUP($F412,categorieMat,3,FALSE),0)</f>
        <v>0</v>
      </c>
      <c r="P412" s="1461">
        <f>ROUND('geg ZO'!O269*VLOOKUP($F412,categorieMat,3,FALSE),0)</f>
        <v>0</v>
      </c>
      <c r="Q412" s="1037"/>
      <c r="R412" s="539"/>
    </row>
    <row r="413" spans="2:18" ht="13.15" customHeight="1" x14ac:dyDescent="0.2">
      <c r="B413" s="26"/>
      <c r="C413" s="1037"/>
      <c r="D413" s="1000"/>
      <c r="E413" s="1037"/>
      <c r="F413" s="1000" t="str">
        <f t="shared" si="28"/>
        <v>categorie 3</v>
      </c>
      <c r="G413" s="1076" t="str">
        <f t="shared" si="28"/>
        <v>&lt; 8 jr</v>
      </c>
      <c r="H413" s="1037"/>
      <c r="I413" s="1461">
        <v>0</v>
      </c>
      <c r="J413" s="1461">
        <f>ROUND('geg ZO'!I270*VLOOKUP($F413,categorieMat,3,FALSE),0)</f>
        <v>0</v>
      </c>
      <c r="K413" s="1461">
        <f>ROUND('geg ZO'!J270*VLOOKUP($F413,categorieMat,3,FALSE),0)</f>
        <v>0</v>
      </c>
      <c r="L413" s="1461">
        <f>ROUND('geg ZO'!K270*VLOOKUP($F413,categorieMat,3,FALSE),0)</f>
        <v>0</v>
      </c>
      <c r="M413" s="1461">
        <f>ROUND('geg ZO'!L270*VLOOKUP($F413,categorieMat,3,FALSE),0)</f>
        <v>0</v>
      </c>
      <c r="N413" s="1461">
        <f>ROUND('geg ZO'!M270*VLOOKUP($F413,categorieMat,3,FALSE),0)</f>
        <v>0</v>
      </c>
      <c r="O413" s="1461">
        <f>ROUND('geg ZO'!N270*VLOOKUP($F413,categorieMat,3,FALSE),0)</f>
        <v>0</v>
      </c>
      <c r="P413" s="1461">
        <f>ROUND('geg ZO'!O270*VLOOKUP($F413,categorieMat,3,FALSE),0)</f>
        <v>0</v>
      </c>
      <c r="Q413" s="1037"/>
      <c r="R413" s="539"/>
    </row>
    <row r="414" spans="2:18" ht="13.15" customHeight="1" x14ac:dyDescent="0.2">
      <c r="B414" s="26"/>
      <c r="C414" s="1037"/>
      <c r="D414" s="1000"/>
      <c r="E414" s="1037"/>
      <c r="F414" s="1000" t="str">
        <f t="shared" si="28"/>
        <v>categorie 1</v>
      </c>
      <c r="G414" s="1076" t="str">
        <f t="shared" si="28"/>
        <v>8jr eo</v>
      </c>
      <c r="H414" s="1037"/>
      <c r="I414" s="1461">
        <v>0</v>
      </c>
      <c r="J414" s="1461">
        <f>ROUND('geg ZO'!I271*VLOOKUP($F414,categorieMat8jreo,3,FALSE),0)</f>
        <v>0</v>
      </c>
      <c r="K414" s="1461">
        <f>ROUND('geg ZO'!J271*VLOOKUP($F414,categorieMat8jreo,3,FALSE),0)</f>
        <v>0</v>
      </c>
      <c r="L414" s="1461">
        <f>ROUND('geg ZO'!K271*VLOOKUP($F414,categorieMat8jreo,3,FALSE),0)</f>
        <v>0</v>
      </c>
      <c r="M414" s="1461">
        <f>ROUND('geg ZO'!L271*VLOOKUP($F414,categorieMat8jreo,3,FALSE),0)</f>
        <v>0</v>
      </c>
      <c r="N414" s="1461">
        <f>ROUND('geg ZO'!M271*VLOOKUP($F414,categorieMat8jreo,3,FALSE),0)</f>
        <v>0</v>
      </c>
      <c r="O414" s="1461">
        <f>ROUND('geg ZO'!N271*VLOOKUP($F414,categorieMat8jreo,3,FALSE),0)</f>
        <v>0</v>
      </c>
      <c r="P414" s="1461">
        <f>ROUND('geg ZO'!O271*VLOOKUP($F414,categorieMat8jreo,3,FALSE),0)</f>
        <v>0</v>
      </c>
      <c r="Q414" s="1037"/>
      <c r="R414" s="539"/>
    </row>
    <row r="415" spans="2:18" ht="13.15" customHeight="1" x14ac:dyDescent="0.2">
      <c r="B415" s="26"/>
      <c r="C415" s="1037"/>
      <c r="D415" s="1000"/>
      <c r="E415" s="1037"/>
      <c r="F415" s="1000" t="str">
        <f t="shared" si="28"/>
        <v>categorie 2</v>
      </c>
      <c r="G415" s="1076" t="str">
        <f t="shared" si="28"/>
        <v>8jr eo</v>
      </c>
      <c r="H415" s="1037"/>
      <c r="I415" s="1461">
        <v>0</v>
      </c>
      <c r="J415" s="1461">
        <f>ROUND('geg ZO'!I272*VLOOKUP($F415,categorieMat8jreo,3,FALSE),0)</f>
        <v>0</v>
      </c>
      <c r="K415" s="1461">
        <f>ROUND('geg ZO'!J272*VLOOKUP($F415,categorieMat8jreo,3,FALSE),0)</f>
        <v>0</v>
      </c>
      <c r="L415" s="1461">
        <f>ROUND('geg ZO'!K272*VLOOKUP($F415,categorieMat8jreo,3,FALSE),0)</f>
        <v>0</v>
      </c>
      <c r="M415" s="1461">
        <f>ROUND('geg ZO'!L272*VLOOKUP($F415,categorieMat8jreo,3,FALSE),0)</f>
        <v>0</v>
      </c>
      <c r="N415" s="1461">
        <f>ROUND('geg ZO'!M272*VLOOKUP($F415,categorieMat8jreo,3,FALSE),0)</f>
        <v>0</v>
      </c>
      <c r="O415" s="1461">
        <f>ROUND('geg ZO'!N272*VLOOKUP($F415,categorieMat8jreo,3,FALSE),0)</f>
        <v>0</v>
      </c>
      <c r="P415" s="1461">
        <f>ROUND('geg ZO'!O272*VLOOKUP($F415,categorieMat8jreo,3,FALSE),0)</f>
        <v>0</v>
      </c>
      <c r="Q415" s="1037"/>
      <c r="R415" s="539"/>
    </row>
    <row r="416" spans="2:18" ht="13.15" customHeight="1" x14ac:dyDescent="0.2">
      <c r="B416" s="26"/>
      <c r="C416" s="1037"/>
      <c r="D416" s="1000"/>
      <c r="E416" s="1037"/>
      <c r="F416" s="1000" t="str">
        <f t="shared" si="28"/>
        <v>categorie 3</v>
      </c>
      <c r="G416" s="1076" t="str">
        <f t="shared" si="28"/>
        <v>8jr eo</v>
      </c>
      <c r="H416" s="1037"/>
      <c r="I416" s="1461">
        <v>0</v>
      </c>
      <c r="J416" s="1461">
        <f>ROUND('geg ZO'!I273*VLOOKUP($F416,categorieMat8jreo,3,FALSE),0)</f>
        <v>0</v>
      </c>
      <c r="K416" s="1461">
        <f>ROUND('geg ZO'!J273*VLOOKUP($F416,categorieMat8jreo,3,FALSE),0)</f>
        <v>0</v>
      </c>
      <c r="L416" s="1461">
        <f>ROUND('geg ZO'!K273*VLOOKUP($F416,categorieMat8jreo,3,FALSE),0)</f>
        <v>0</v>
      </c>
      <c r="M416" s="1461">
        <f>ROUND('geg ZO'!L273*VLOOKUP($F416,categorieMat8jreo,3,FALSE),0)</f>
        <v>0</v>
      </c>
      <c r="N416" s="1461">
        <f>ROUND('geg ZO'!M273*VLOOKUP($F416,categorieMat8jreo,3,FALSE),0)</f>
        <v>0</v>
      </c>
      <c r="O416" s="1461">
        <f>ROUND('geg ZO'!N273*VLOOKUP($F416,categorieMat8jreo,3,FALSE),0)</f>
        <v>0</v>
      </c>
      <c r="P416" s="1461">
        <f>ROUND('geg ZO'!O273*VLOOKUP($F416,categorieMat8jreo,3,FALSE),0)</f>
        <v>0</v>
      </c>
      <c r="Q416" s="1037"/>
      <c r="R416" s="539"/>
    </row>
    <row r="417" spans="2:47" ht="13.15" customHeight="1" x14ac:dyDescent="0.2">
      <c r="B417" s="26"/>
      <c r="C417" s="1037"/>
      <c r="D417" s="1447" t="str">
        <f>+D215</f>
        <v>Naam SO 28</v>
      </c>
      <c r="E417" s="1037"/>
      <c r="F417" s="1000" t="str">
        <f t="shared" si="28"/>
        <v>categorie 1</v>
      </c>
      <c r="G417" s="1076" t="str">
        <f t="shared" si="28"/>
        <v>&lt; 8 jr</v>
      </c>
      <c r="H417" s="1037"/>
      <c r="I417" s="1461">
        <v>0</v>
      </c>
      <c r="J417" s="1461">
        <f>ROUND('geg ZO'!I276*VLOOKUP($F417,categorieMat,3,FALSE),0)</f>
        <v>0</v>
      </c>
      <c r="K417" s="1461">
        <f>ROUND('geg ZO'!J276*VLOOKUP($F417,categorieMat,3,FALSE),0)</f>
        <v>0</v>
      </c>
      <c r="L417" s="1461">
        <f>ROUND('geg ZO'!K276*VLOOKUP($F417,categorieMat,3,FALSE),0)</f>
        <v>0</v>
      </c>
      <c r="M417" s="1461">
        <f>ROUND('geg ZO'!L276*VLOOKUP($F417,categorieMat,3,FALSE),0)</f>
        <v>0</v>
      </c>
      <c r="N417" s="1461">
        <f>ROUND('geg ZO'!M276*VLOOKUP($F417,categorieMat,3,FALSE),0)</f>
        <v>0</v>
      </c>
      <c r="O417" s="1461">
        <f>ROUND('geg ZO'!N276*VLOOKUP($F417,categorieMat,3,FALSE),0)</f>
        <v>0</v>
      </c>
      <c r="P417" s="1461">
        <f>ROUND('geg ZO'!O276*VLOOKUP($F417,categorieMat,3,FALSE),0)</f>
        <v>0</v>
      </c>
      <c r="Q417" s="1037"/>
      <c r="R417" s="539"/>
      <c r="AI417" s="693"/>
    </row>
    <row r="418" spans="2:47" ht="13.15" customHeight="1" x14ac:dyDescent="0.2">
      <c r="B418" s="26"/>
      <c r="C418" s="1037"/>
      <c r="D418" s="1000"/>
      <c r="E418" s="1037"/>
      <c r="F418" s="1000" t="str">
        <f t="shared" si="28"/>
        <v>categorie 2</v>
      </c>
      <c r="G418" s="1076" t="str">
        <f t="shared" si="28"/>
        <v>&lt; 8 jr</v>
      </c>
      <c r="H418" s="1037"/>
      <c r="I418" s="1461">
        <v>0</v>
      </c>
      <c r="J418" s="1461">
        <f>ROUND('geg ZO'!I277*VLOOKUP($F418,categorieMat,3,FALSE),0)</f>
        <v>0</v>
      </c>
      <c r="K418" s="1461">
        <f>ROUND('geg ZO'!J277*VLOOKUP($F418,categorieMat,3,FALSE),0)</f>
        <v>0</v>
      </c>
      <c r="L418" s="1461">
        <f>ROUND('geg ZO'!K277*VLOOKUP($F418,categorieMat,3,FALSE),0)</f>
        <v>0</v>
      </c>
      <c r="M418" s="1461">
        <f>ROUND('geg ZO'!L277*VLOOKUP($F418,categorieMat,3,FALSE),0)</f>
        <v>0</v>
      </c>
      <c r="N418" s="1461">
        <f>ROUND('geg ZO'!M277*VLOOKUP($F418,categorieMat,3,FALSE),0)</f>
        <v>0</v>
      </c>
      <c r="O418" s="1461">
        <f>ROUND('geg ZO'!N277*VLOOKUP($F418,categorieMat,3,FALSE),0)</f>
        <v>0</v>
      </c>
      <c r="P418" s="1461">
        <f>ROUND('geg ZO'!O277*VLOOKUP($F418,categorieMat,3,FALSE),0)</f>
        <v>0</v>
      </c>
      <c r="Q418" s="1037"/>
      <c r="R418" s="539"/>
      <c r="AI418" s="694"/>
    </row>
    <row r="419" spans="2:47" ht="13.15" customHeight="1" x14ac:dyDescent="0.2">
      <c r="B419" s="26"/>
      <c r="C419" s="1037"/>
      <c r="D419" s="1000"/>
      <c r="E419" s="1037"/>
      <c r="F419" s="1000" t="str">
        <f t="shared" si="28"/>
        <v>categorie 3</v>
      </c>
      <c r="G419" s="1076" t="str">
        <f t="shared" si="28"/>
        <v>&lt; 8 jr</v>
      </c>
      <c r="H419" s="1037"/>
      <c r="I419" s="1461">
        <v>0</v>
      </c>
      <c r="J419" s="1461">
        <f>ROUND('geg ZO'!I278*VLOOKUP($F419,categorieMat,3,FALSE),0)</f>
        <v>0</v>
      </c>
      <c r="K419" s="1461">
        <f>ROUND('geg ZO'!J278*VLOOKUP($F419,categorieMat,3,FALSE),0)</f>
        <v>0</v>
      </c>
      <c r="L419" s="1461">
        <f>ROUND('geg ZO'!K278*VLOOKUP($F419,categorieMat,3,FALSE),0)</f>
        <v>0</v>
      </c>
      <c r="M419" s="1461">
        <f>ROUND('geg ZO'!L278*VLOOKUP($F419,categorieMat,3,FALSE),0)</f>
        <v>0</v>
      </c>
      <c r="N419" s="1461">
        <f>ROUND('geg ZO'!M278*VLOOKUP($F419,categorieMat,3,FALSE),0)</f>
        <v>0</v>
      </c>
      <c r="O419" s="1461">
        <f>ROUND('geg ZO'!N278*VLOOKUP($F419,categorieMat,3,FALSE),0)</f>
        <v>0</v>
      </c>
      <c r="P419" s="1461">
        <f>ROUND('geg ZO'!O278*VLOOKUP($F419,categorieMat,3,FALSE),0)</f>
        <v>0</v>
      </c>
      <c r="Q419" s="1037"/>
      <c r="R419" s="539"/>
      <c r="AH419" s="695"/>
      <c r="AI419" s="693"/>
      <c r="AU419" s="287"/>
    </row>
    <row r="420" spans="2:47" ht="13.15" customHeight="1" x14ac:dyDescent="0.2">
      <c r="B420" s="26"/>
      <c r="C420" s="1037"/>
      <c r="D420" s="1000"/>
      <c r="E420" s="1037"/>
      <c r="F420" s="1000" t="str">
        <f t="shared" si="28"/>
        <v>categorie 1</v>
      </c>
      <c r="G420" s="1076" t="str">
        <f t="shared" si="28"/>
        <v>8jr eo</v>
      </c>
      <c r="H420" s="1037"/>
      <c r="I420" s="1461">
        <v>0</v>
      </c>
      <c r="J420" s="1461">
        <f>ROUND('geg ZO'!I279*VLOOKUP($F420,categorieMat8jreo,3,FALSE),0)</f>
        <v>0</v>
      </c>
      <c r="K420" s="1461">
        <f>ROUND('geg ZO'!J279*VLOOKUP($F420,categorieMat8jreo,3,FALSE),0)</f>
        <v>0</v>
      </c>
      <c r="L420" s="1461">
        <f>ROUND('geg ZO'!K279*VLOOKUP($F420,categorieMat8jreo,3,FALSE),0)</f>
        <v>0</v>
      </c>
      <c r="M420" s="1461">
        <f>ROUND('geg ZO'!L279*VLOOKUP($F420,categorieMat8jreo,3,FALSE),0)</f>
        <v>0</v>
      </c>
      <c r="N420" s="1461">
        <f>ROUND('geg ZO'!M279*VLOOKUP($F420,categorieMat8jreo,3,FALSE),0)</f>
        <v>0</v>
      </c>
      <c r="O420" s="1461">
        <f>ROUND('geg ZO'!N279*VLOOKUP($F420,categorieMat8jreo,3,FALSE),0)</f>
        <v>0</v>
      </c>
      <c r="P420" s="1461">
        <f>ROUND('geg ZO'!O279*VLOOKUP($F420,categorieMat8jreo,3,FALSE),0)</f>
        <v>0</v>
      </c>
      <c r="Q420" s="1037"/>
      <c r="R420" s="539"/>
      <c r="AH420" s="695"/>
      <c r="AI420" s="696"/>
      <c r="AU420" s="287"/>
    </row>
    <row r="421" spans="2:47" ht="13.15" customHeight="1" x14ac:dyDescent="0.2">
      <c r="B421" s="26"/>
      <c r="C421" s="1037"/>
      <c r="D421" s="1000"/>
      <c r="E421" s="1037"/>
      <c r="F421" s="1000" t="str">
        <f t="shared" si="28"/>
        <v>categorie 2</v>
      </c>
      <c r="G421" s="1076" t="str">
        <f t="shared" si="28"/>
        <v>8jr eo</v>
      </c>
      <c r="H421" s="1037"/>
      <c r="I421" s="1461">
        <v>0</v>
      </c>
      <c r="J421" s="1461">
        <f>ROUND('geg ZO'!I280*VLOOKUP($F421,categorieMat8jreo,3,FALSE),0)</f>
        <v>0</v>
      </c>
      <c r="K421" s="1461">
        <f>ROUND('geg ZO'!J280*VLOOKUP($F421,categorieMat8jreo,3,FALSE),0)</f>
        <v>0</v>
      </c>
      <c r="L421" s="1461">
        <f>ROUND('geg ZO'!K280*VLOOKUP($F421,categorieMat8jreo,3,FALSE),0)</f>
        <v>0</v>
      </c>
      <c r="M421" s="1461">
        <f>ROUND('geg ZO'!L280*VLOOKUP($F421,categorieMat8jreo,3,FALSE),0)</f>
        <v>0</v>
      </c>
      <c r="N421" s="1461">
        <f>ROUND('geg ZO'!M280*VLOOKUP($F421,categorieMat8jreo,3,FALSE),0)</f>
        <v>0</v>
      </c>
      <c r="O421" s="1461">
        <f>ROUND('geg ZO'!N280*VLOOKUP($F421,categorieMat8jreo,3,FALSE),0)</f>
        <v>0</v>
      </c>
      <c r="P421" s="1461">
        <f>ROUND('geg ZO'!O280*VLOOKUP($F421,categorieMat8jreo,3,FALSE),0)</f>
        <v>0</v>
      </c>
      <c r="Q421" s="1037"/>
      <c r="R421" s="539"/>
      <c r="AH421" s="695"/>
      <c r="AI421" s="693"/>
    </row>
    <row r="422" spans="2:47" ht="13.15" customHeight="1" x14ac:dyDescent="0.2">
      <c r="B422" s="26"/>
      <c r="C422" s="1037"/>
      <c r="D422" s="1000"/>
      <c r="E422" s="1037"/>
      <c r="F422" s="1000" t="str">
        <f t="shared" si="28"/>
        <v>categorie 3</v>
      </c>
      <c r="G422" s="1076" t="str">
        <f t="shared" si="28"/>
        <v>8jr eo</v>
      </c>
      <c r="H422" s="1037"/>
      <c r="I422" s="1461">
        <v>0</v>
      </c>
      <c r="J422" s="1461">
        <f>ROUND('geg ZO'!I281*VLOOKUP($F422,categorieMat8jreo,3,FALSE),0)</f>
        <v>0</v>
      </c>
      <c r="K422" s="1461">
        <f>ROUND('geg ZO'!J281*VLOOKUP($F422,categorieMat8jreo,3,FALSE),0)</f>
        <v>0</v>
      </c>
      <c r="L422" s="1461">
        <f>ROUND('geg ZO'!K281*VLOOKUP($F422,categorieMat8jreo,3,FALSE),0)</f>
        <v>0</v>
      </c>
      <c r="M422" s="1461">
        <f>ROUND('geg ZO'!L281*VLOOKUP($F422,categorieMat8jreo,3,FALSE),0)</f>
        <v>0</v>
      </c>
      <c r="N422" s="1461">
        <f>ROUND('geg ZO'!M281*VLOOKUP($F422,categorieMat8jreo,3,FALSE),0)</f>
        <v>0</v>
      </c>
      <c r="O422" s="1461">
        <f>ROUND('geg ZO'!N281*VLOOKUP($F422,categorieMat8jreo,3,FALSE),0)</f>
        <v>0</v>
      </c>
      <c r="P422" s="1461">
        <f>ROUND('geg ZO'!O281*VLOOKUP($F422,categorieMat8jreo,3,FALSE),0)</f>
        <v>0</v>
      </c>
      <c r="Q422" s="1037"/>
      <c r="R422" s="539"/>
      <c r="AI422" s="693"/>
    </row>
    <row r="423" spans="2:47" ht="13.15" customHeight="1" x14ac:dyDescent="0.2">
      <c r="B423" s="26"/>
      <c r="C423" s="1037"/>
      <c r="D423" s="1447" t="str">
        <f>+D221</f>
        <v>Naam SO 29</v>
      </c>
      <c r="E423" s="1037"/>
      <c r="F423" s="1000" t="str">
        <f t="shared" si="28"/>
        <v>categorie 1</v>
      </c>
      <c r="G423" s="1076" t="str">
        <f t="shared" si="28"/>
        <v>&lt; 8 jr</v>
      </c>
      <c r="H423" s="1037"/>
      <c r="I423" s="1461">
        <v>0</v>
      </c>
      <c r="J423" s="1461">
        <f>ROUND('geg ZO'!I284*VLOOKUP($F423,categorieMat,3,FALSE),0)</f>
        <v>0</v>
      </c>
      <c r="K423" s="1461">
        <f>ROUND('geg ZO'!J284*VLOOKUP($F423,categorieMat,3,FALSE),0)</f>
        <v>0</v>
      </c>
      <c r="L423" s="1461">
        <f>ROUND('geg ZO'!K284*VLOOKUP($F423,categorieMat,3,FALSE),0)</f>
        <v>0</v>
      </c>
      <c r="M423" s="1461">
        <f>ROUND('geg ZO'!L284*VLOOKUP($F423,categorieMat,3,FALSE),0)</f>
        <v>0</v>
      </c>
      <c r="N423" s="1461">
        <f>ROUND('geg ZO'!M284*VLOOKUP($F423,categorieMat,3,FALSE),0)</f>
        <v>0</v>
      </c>
      <c r="O423" s="1461">
        <f>ROUND('geg ZO'!N284*VLOOKUP($F423,categorieMat,3,FALSE),0)</f>
        <v>0</v>
      </c>
      <c r="P423" s="1461">
        <f>ROUND('geg ZO'!O284*VLOOKUP($F423,categorieMat,3,FALSE),0)</f>
        <v>0</v>
      </c>
      <c r="Q423" s="1037"/>
      <c r="R423" s="539"/>
    </row>
    <row r="424" spans="2:47" ht="13.15" customHeight="1" x14ac:dyDescent="0.2">
      <c r="B424" s="26"/>
      <c r="C424" s="1037"/>
      <c r="D424" s="1000"/>
      <c r="E424" s="1037"/>
      <c r="F424" s="1000" t="str">
        <f t="shared" si="28"/>
        <v>categorie 2</v>
      </c>
      <c r="G424" s="1076" t="str">
        <f t="shared" si="28"/>
        <v>&lt; 8 jr</v>
      </c>
      <c r="H424" s="1037"/>
      <c r="I424" s="1461">
        <v>0</v>
      </c>
      <c r="J424" s="1461">
        <f>ROUND('geg ZO'!I285*VLOOKUP($F424,categorieMat,3,FALSE),0)</f>
        <v>0</v>
      </c>
      <c r="K424" s="1461">
        <f>ROUND('geg ZO'!J285*VLOOKUP($F424,categorieMat,3,FALSE),0)</f>
        <v>0</v>
      </c>
      <c r="L424" s="1461">
        <f>ROUND('geg ZO'!K285*VLOOKUP($F424,categorieMat,3,FALSE),0)</f>
        <v>0</v>
      </c>
      <c r="M424" s="1461">
        <f>ROUND('geg ZO'!L285*VLOOKUP($F424,categorieMat,3,FALSE),0)</f>
        <v>0</v>
      </c>
      <c r="N424" s="1461">
        <f>ROUND('geg ZO'!M285*VLOOKUP($F424,categorieMat,3,FALSE),0)</f>
        <v>0</v>
      </c>
      <c r="O424" s="1461">
        <f>ROUND('geg ZO'!N285*VLOOKUP($F424,categorieMat,3,FALSE),0)</f>
        <v>0</v>
      </c>
      <c r="P424" s="1461">
        <f>ROUND('geg ZO'!O285*VLOOKUP($F424,categorieMat,3,FALSE),0)</f>
        <v>0</v>
      </c>
      <c r="Q424" s="1037"/>
      <c r="R424" s="539"/>
    </row>
    <row r="425" spans="2:47" ht="13.15" customHeight="1" x14ac:dyDescent="0.2">
      <c r="B425" s="26"/>
      <c r="C425" s="1037"/>
      <c r="D425" s="1000"/>
      <c r="E425" s="1037"/>
      <c r="F425" s="1000" t="str">
        <f t="shared" ref="F425:G434" si="29">+F223</f>
        <v>categorie 3</v>
      </c>
      <c r="G425" s="1076" t="str">
        <f t="shared" si="29"/>
        <v>&lt; 8 jr</v>
      </c>
      <c r="H425" s="1037"/>
      <c r="I425" s="1461">
        <v>0</v>
      </c>
      <c r="J425" s="1461">
        <f>ROUND('geg ZO'!I286*VLOOKUP($F425,categorieMat,3,FALSE),0)</f>
        <v>0</v>
      </c>
      <c r="K425" s="1461">
        <f>ROUND('geg ZO'!J286*VLOOKUP($F425,categorieMat,3,FALSE),0)</f>
        <v>0</v>
      </c>
      <c r="L425" s="1461">
        <f>ROUND('geg ZO'!K286*VLOOKUP($F425,categorieMat,3,FALSE),0)</f>
        <v>0</v>
      </c>
      <c r="M425" s="1461">
        <f>ROUND('geg ZO'!L286*VLOOKUP($F425,categorieMat,3,FALSE),0)</f>
        <v>0</v>
      </c>
      <c r="N425" s="1461">
        <f>ROUND('geg ZO'!M286*VLOOKUP($F425,categorieMat,3,FALSE),0)</f>
        <v>0</v>
      </c>
      <c r="O425" s="1461">
        <f>ROUND('geg ZO'!N286*VLOOKUP($F425,categorieMat,3,FALSE),0)</f>
        <v>0</v>
      </c>
      <c r="P425" s="1461">
        <f>ROUND('geg ZO'!O286*VLOOKUP($F425,categorieMat,3,FALSE),0)</f>
        <v>0</v>
      </c>
      <c r="Q425" s="1037"/>
      <c r="R425" s="539"/>
    </row>
    <row r="426" spans="2:47" ht="13.15" customHeight="1" x14ac:dyDescent="0.2">
      <c r="B426" s="26"/>
      <c r="C426" s="1037"/>
      <c r="D426" s="1000"/>
      <c r="E426" s="1037"/>
      <c r="F426" s="1000" t="str">
        <f t="shared" si="29"/>
        <v>categorie 1</v>
      </c>
      <c r="G426" s="1076" t="str">
        <f t="shared" si="29"/>
        <v>8jr eo</v>
      </c>
      <c r="H426" s="1037"/>
      <c r="I426" s="1461">
        <v>0</v>
      </c>
      <c r="J426" s="1461">
        <f>ROUND('geg ZO'!I287*VLOOKUP($F426,categorieMat8jreo,3,FALSE),0)</f>
        <v>0</v>
      </c>
      <c r="K426" s="1461">
        <f>ROUND('geg ZO'!J287*VLOOKUP($F426,categorieMat8jreo,3,FALSE),0)</f>
        <v>0</v>
      </c>
      <c r="L426" s="1461">
        <f>ROUND('geg ZO'!K287*VLOOKUP($F426,categorieMat8jreo,3,FALSE),0)</f>
        <v>0</v>
      </c>
      <c r="M426" s="1461">
        <f>ROUND('geg ZO'!L287*VLOOKUP($F426,categorieMat8jreo,3,FALSE),0)</f>
        <v>0</v>
      </c>
      <c r="N426" s="1461">
        <f>ROUND('geg ZO'!M287*VLOOKUP($F426,categorieMat8jreo,3,FALSE),0)</f>
        <v>0</v>
      </c>
      <c r="O426" s="1461">
        <f>ROUND('geg ZO'!N287*VLOOKUP($F426,categorieMat8jreo,3,FALSE),0)</f>
        <v>0</v>
      </c>
      <c r="P426" s="1461">
        <f>ROUND('geg ZO'!O287*VLOOKUP($F426,categorieMat8jreo,3,FALSE),0)</f>
        <v>0</v>
      </c>
      <c r="Q426" s="1037"/>
      <c r="R426" s="539"/>
    </row>
    <row r="427" spans="2:47" ht="13.15" customHeight="1" x14ac:dyDescent="0.2">
      <c r="B427" s="26"/>
      <c r="C427" s="1037"/>
      <c r="D427" s="1000"/>
      <c r="E427" s="1037"/>
      <c r="F427" s="1000" t="str">
        <f t="shared" si="29"/>
        <v>categorie 2</v>
      </c>
      <c r="G427" s="1076" t="str">
        <f t="shared" si="29"/>
        <v>8jr eo</v>
      </c>
      <c r="H427" s="1037"/>
      <c r="I427" s="1461">
        <v>0</v>
      </c>
      <c r="J427" s="1461">
        <f>ROUND('geg ZO'!I288*VLOOKUP($F427,categorieMat8jreo,3,FALSE),0)</f>
        <v>0</v>
      </c>
      <c r="K427" s="1461">
        <f>ROUND('geg ZO'!J288*VLOOKUP($F427,categorieMat8jreo,3,FALSE),0)</f>
        <v>0</v>
      </c>
      <c r="L427" s="1461">
        <f>ROUND('geg ZO'!K288*VLOOKUP($F427,categorieMat8jreo,3,FALSE),0)</f>
        <v>0</v>
      </c>
      <c r="M427" s="1461">
        <f>ROUND('geg ZO'!L288*VLOOKUP($F427,categorieMat8jreo,3,FALSE),0)</f>
        <v>0</v>
      </c>
      <c r="N427" s="1461">
        <f>ROUND('geg ZO'!M288*VLOOKUP($F427,categorieMat8jreo,3,FALSE),0)</f>
        <v>0</v>
      </c>
      <c r="O427" s="1461">
        <f>ROUND('geg ZO'!N288*VLOOKUP($F427,categorieMat8jreo,3,FALSE),0)</f>
        <v>0</v>
      </c>
      <c r="P427" s="1461">
        <f>ROUND('geg ZO'!O288*VLOOKUP($F427,categorieMat8jreo,3,FALSE),0)</f>
        <v>0</v>
      </c>
      <c r="Q427" s="1037"/>
      <c r="R427" s="539"/>
    </row>
    <row r="428" spans="2:47" ht="13.15" customHeight="1" x14ac:dyDescent="0.2">
      <c r="B428" s="26"/>
      <c r="C428" s="1037"/>
      <c r="D428" s="1000"/>
      <c r="E428" s="1037"/>
      <c r="F428" s="1000" t="str">
        <f t="shared" si="29"/>
        <v>categorie 3</v>
      </c>
      <c r="G428" s="1076" t="str">
        <f t="shared" si="29"/>
        <v>8jr eo</v>
      </c>
      <c r="H428" s="1037"/>
      <c r="I428" s="1461">
        <v>0</v>
      </c>
      <c r="J428" s="1461">
        <f>ROUND('geg ZO'!I289*VLOOKUP($F428,categorieMat8jreo,3,FALSE),0)</f>
        <v>0</v>
      </c>
      <c r="K428" s="1461">
        <f>ROUND('geg ZO'!J289*VLOOKUP($F428,categorieMat8jreo,3,FALSE),0)</f>
        <v>0</v>
      </c>
      <c r="L428" s="1461">
        <f>ROUND('geg ZO'!K289*VLOOKUP($F428,categorieMat8jreo,3,FALSE),0)</f>
        <v>0</v>
      </c>
      <c r="M428" s="1461">
        <f>ROUND('geg ZO'!L289*VLOOKUP($F428,categorieMat8jreo,3,FALSE),0)</f>
        <v>0</v>
      </c>
      <c r="N428" s="1461">
        <f>ROUND('geg ZO'!M289*VLOOKUP($F428,categorieMat8jreo,3,FALSE),0)</f>
        <v>0</v>
      </c>
      <c r="O428" s="1461">
        <f>ROUND('geg ZO'!N289*VLOOKUP($F428,categorieMat8jreo,3,FALSE),0)</f>
        <v>0</v>
      </c>
      <c r="P428" s="1461">
        <f>ROUND('geg ZO'!O289*VLOOKUP($F428,categorieMat8jreo,3,FALSE),0)</f>
        <v>0</v>
      </c>
      <c r="Q428" s="1037"/>
      <c r="R428" s="539"/>
      <c r="AJ428" s="526"/>
      <c r="AK428" s="526"/>
      <c r="AL428" s="526"/>
      <c r="AM428" s="697"/>
      <c r="AN428" s="697"/>
      <c r="AO428" s="697"/>
      <c r="AP428" s="697"/>
      <c r="AQ428" s="697"/>
      <c r="AR428" s="526"/>
      <c r="AS428" s="526"/>
    </row>
    <row r="429" spans="2:47" ht="13.15" customHeight="1" x14ac:dyDescent="0.2">
      <c r="B429" s="26"/>
      <c r="C429" s="1037"/>
      <c r="D429" s="1447" t="str">
        <f>+D227</f>
        <v>Naam SO 30</v>
      </c>
      <c r="E429" s="1037"/>
      <c r="F429" s="1000" t="str">
        <f t="shared" si="29"/>
        <v>categorie 1</v>
      </c>
      <c r="G429" s="1076" t="str">
        <f t="shared" si="29"/>
        <v>&lt; 8 jr</v>
      </c>
      <c r="H429" s="1037"/>
      <c r="I429" s="1461">
        <v>0</v>
      </c>
      <c r="J429" s="1461">
        <f>ROUND('geg ZO'!I292*VLOOKUP($F429,categorieMat,3,FALSE),0)</f>
        <v>0</v>
      </c>
      <c r="K429" s="1461">
        <f>ROUND('geg ZO'!J292*VLOOKUP($F429,categorieMat,3,FALSE),0)</f>
        <v>0</v>
      </c>
      <c r="L429" s="1461">
        <f>ROUND('geg ZO'!K292*VLOOKUP($F429,categorieMat,3,FALSE),0)</f>
        <v>0</v>
      </c>
      <c r="M429" s="1461">
        <f>ROUND('geg ZO'!L292*VLOOKUP($F429,categorieMat,3,FALSE),0)</f>
        <v>0</v>
      </c>
      <c r="N429" s="1461">
        <f>ROUND('geg ZO'!M292*VLOOKUP($F429,categorieMat,3,FALSE),0)</f>
        <v>0</v>
      </c>
      <c r="O429" s="1461">
        <f>ROUND('geg ZO'!N292*VLOOKUP($F429,categorieMat,3,FALSE),0)</f>
        <v>0</v>
      </c>
      <c r="P429" s="1461">
        <f>ROUND('geg ZO'!O292*VLOOKUP($F429,categorieMat,3,FALSE),0)</f>
        <v>0</v>
      </c>
      <c r="Q429" s="1037"/>
      <c r="R429" s="539"/>
      <c r="AJ429" s="526"/>
      <c r="AK429" s="526"/>
      <c r="AL429" s="526"/>
      <c r="AM429" s="697"/>
      <c r="AN429" s="697"/>
      <c r="AO429" s="697"/>
      <c r="AP429" s="697"/>
      <c r="AQ429" s="697"/>
      <c r="AR429" s="526"/>
      <c r="AS429" s="526"/>
    </row>
    <row r="430" spans="2:47" ht="13.15" customHeight="1" x14ac:dyDescent="0.2">
      <c r="B430" s="26"/>
      <c r="C430" s="1037"/>
      <c r="D430" s="1056"/>
      <c r="E430" s="1037"/>
      <c r="F430" s="1000" t="str">
        <f t="shared" si="29"/>
        <v>categorie 2</v>
      </c>
      <c r="G430" s="1076" t="str">
        <f t="shared" si="29"/>
        <v>&lt; 8 jr</v>
      </c>
      <c r="H430" s="1037"/>
      <c r="I430" s="1461">
        <v>0</v>
      </c>
      <c r="J430" s="1461">
        <f>ROUND('geg ZO'!I293*VLOOKUP($F430,categorieMat,3,FALSE),0)</f>
        <v>0</v>
      </c>
      <c r="K430" s="1461">
        <f>ROUND('geg ZO'!J293*VLOOKUP($F430,categorieMat,3,FALSE),0)</f>
        <v>0</v>
      </c>
      <c r="L430" s="1461">
        <f>ROUND('geg ZO'!K293*VLOOKUP($F430,categorieMat,3,FALSE),0)</f>
        <v>0</v>
      </c>
      <c r="M430" s="1461">
        <f>ROUND('geg ZO'!L293*VLOOKUP($F430,categorieMat,3,FALSE),0)</f>
        <v>0</v>
      </c>
      <c r="N430" s="1461">
        <f>ROUND('geg ZO'!M293*VLOOKUP($F430,categorieMat,3,FALSE),0)</f>
        <v>0</v>
      </c>
      <c r="O430" s="1461">
        <f>ROUND('geg ZO'!N293*VLOOKUP($F430,categorieMat,3,FALSE),0)</f>
        <v>0</v>
      </c>
      <c r="P430" s="1461">
        <f>ROUND('geg ZO'!O293*VLOOKUP($F430,categorieMat,3,FALSE),0)</f>
        <v>0</v>
      </c>
      <c r="Q430" s="1037"/>
      <c r="R430" s="539"/>
      <c r="AJ430" s="526"/>
      <c r="AK430" s="526"/>
      <c r="AL430" s="526"/>
      <c r="AM430" s="697"/>
      <c r="AN430" s="697"/>
      <c r="AO430" s="697"/>
      <c r="AP430" s="697"/>
      <c r="AQ430" s="697"/>
      <c r="AR430" s="526"/>
      <c r="AS430" s="526"/>
    </row>
    <row r="431" spans="2:47" ht="13.15" customHeight="1" x14ac:dyDescent="0.2">
      <c r="B431" s="26"/>
      <c r="C431" s="1037"/>
      <c r="D431" s="1056"/>
      <c r="E431" s="1037"/>
      <c r="F431" s="1000" t="str">
        <f t="shared" si="29"/>
        <v>categorie 3</v>
      </c>
      <c r="G431" s="1076" t="str">
        <f t="shared" si="29"/>
        <v>&lt; 8 jr</v>
      </c>
      <c r="H431" s="1037"/>
      <c r="I431" s="1461">
        <v>0</v>
      </c>
      <c r="J431" s="1461">
        <f>ROUND('geg ZO'!I294*VLOOKUP($F431,categorieMat,3,FALSE),0)</f>
        <v>0</v>
      </c>
      <c r="K431" s="1461">
        <f>ROUND('geg ZO'!J294*VLOOKUP($F431,categorieMat,3,FALSE),0)</f>
        <v>0</v>
      </c>
      <c r="L431" s="1461">
        <f>ROUND('geg ZO'!K294*VLOOKUP($F431,categorieMat,3,FALSE),0)</f>
        <v>0</v>
      </c>
      <c r="M431" s="1461">
        <f>ROUND('geg ZO'!L294*VLOOKUP($F431,categorieMat,3,FALSE),0)</f>
        <v>0</v>
      </c>
      <c r="N431" s="1461">
        <f>ROUND('geg ZO'!M294*VLOOKUP($F431,categorieMat,3,FALSE),0)</f>
        <v>0</v>
      </c>
      <c r="O431" s="1461">
        <f>ROUND('geg ZO'!N294*VLOOKUP($F431,categorieMat,3,FALSE),0)</f>
        <v>0</v>
      </c>
      <c r="P431" s="1461">
        <f>ROUND('geg ZO'!O294*VLOOKUP($F431,categorieMat,3,FALSE),0)</f>
        <v>0</v>
      </c>
      <c r="Q431" s="1037"/>
      <c r="R431" s="539"/>
      <c r="AJ431" s="526"/>
      <c r="AK431" s="526"/>
      <c r="AL431" s="526"/>
      <c r="AM431" s="697"/>
      <c r="AN431" s="697"/>
      <c r="AO431" s="697"/>
      <c r="AP431" s="697"/>
      <c r="AQ431" s="697"/>
      <c r="AR431" s="526"/>
      <c r="AS431" s="526"/>
    </row>
    <row r="432" spans="2:47" ht="13.15" customHeight="1" x14ac:dyDescent="0.2">
      <c r="B432" s="26"/>
      <c r="C432" s="1037"/>
      <c r="D432" s="1056"/>
      <c r="E432" s="1037"/>
      <c r="F432" s="1000" t="str">
        <f t="shared" si="29"/>
        <v>categorie 1</v>
      </c>
      <c r="G432" s="1076" t="str">
        <f t="shared" si="29"/>
        <v>8jr eo</v>
      </c>
      <c r="H432" s="1037"/>
      <c r="I432" s="1461">
        <v>0</v>
      </c>
      <c r="J432" s="1461">
        <f>ROUND('geg ZO'!I295*VLOOKUP($F432,categorieMat8jreo,3,FALSE),0)</f>
        <v>0</v>
      </c>
      <c r="K432" s="1461">
        <f>ROUND('geg ZO'!J295*VLOOKUP($F432,categorieMat8jreo,3,FALSE),0)</f>
        <v>0</v>
      </c>
      <c r="L432" s="1461">
        <f>ROUND('geg ZO'!K295*VLOOKUP($F432,categorieMat8jreo,3,FALSE),0)</f>
        <v>0</v>
      </c>
      <c r="M432" s="1461">
        <f>ROUND('geg ZO'!L295*VLOOKUP($F432,categorieMat8jreo,3,FALSE),0)</f>
        <v>0</v>
      </c>
      <c r="N432" s="1461">
        <f>ROUND('geg ZO'!M295*VLOOKUP($F432,categorieMat8jreo,3,FALSE),0)</f>
        <v>0</v>
      </c>
      <c r="O432" s="1461">
        <f>ROUND('geg ZO'!N295*VLOOKUP($F432,categorieMat8jreo,3,FALSE),0)</f>
        <v>0</v>
      </c>
      <c r="P432" s="1461">
        <f>ROUND('geg ZO'!O295*VLOOKUP($F432,categorieMat8jreo,3,FALSE),0)</f>
        <v>0</v>
      </c>
      <c r="Q432" s="1037"/>
      <c r="R432" s="539"/>
      <c r="AJ432" s="526"/>
      <c r="AK432" s="526"/>
      <c r="AL432" s="526"/>
      <c r="AM432" s="697"/>
      <c r="AN432" s="697"/>
      <c r="AO432" s="697"/>
      <c r="AP432" s="697"/>
      <c r="AQ432" s="697"/>
      <c r="AR432" s="526"/>
      <c r="AS432" s="526"/>
    </row>
    <row r="433" spans="1:45" ht="13.15" customHeight="1" x14ac:dyDescent="0.2">
      <c r="B433" s="26"/>
      <c r="C433" s="1037"/>
      <c r="D433" s="1056"/>
      <c r="E433" s="1037"/>
      <c r="F433" s="1000" t="str">
        <f t="shared" si="29"/>
        <v>categorie 2</v>
      </c>
      <c r="G433" s="1076" t="str">
        <f t="shared" si="29"/>
        <v>8jr eo</v>
      </c>
      <c r="H433" s="1037"/>
      <c r="I433" s="1461">
        <v>0</v>
      </c>
      <c r="J433" s="1461">
        <f>ROUND('geg ZO'!I296*VLOOKUP($F433,categorieMat8jreo,3,FALSE),0)</f>
        <v>0</v>
      </c>
      <c r="K433" s="1461">
        <f>ROUND('geg ZO'!J296*VLOOKUP($F433,categorieMat8jreo,3,FALSE),0)</f>
        <v>0</v>
      </c>
      <c r="L433" s="1461">
        <f>ROUND('geg ZO'!K296*VLOOKUP($F433,categorieMat8jreo,3,FALSE),0)</f>
        <v>0</v>
      </c>
      <c r="M433" s="1461">
        <f>ROUND('geg ZO'!L296*VLOOKUP($F433,categorieMat8jreo,3,FALSE),0)</f>
        <v>0</v>
      </c>
      <c r="N433" s="1461">
        <f>ROUND('geg ZO'!M296*VLOOKUP($F433,categorieMat8jreo,3,FALSE),0)</f>
        <v>0</v>
      </c>
      <c r="O433" s="1461">
        <f>ROUND('geg ZO'!N296*VLOOKUP($F433,categorieMat8jreo,3,FALSE),0)</f>
        <v>0</v>
      </c>
      <c r="P433" s="1461">
        <f>ROUND('geg ZO'!O296*VLOOKUP($F433,categorieMat8jreo,3,FALSE),0)</f>
        <v>0</v>
      </c>
      <c r="Q433" s="1037"/>
      <c r="R433" s="539"/>
      <c r="AJ433" s="526"/>
      <c r="AK433" s="526"/>
      <c r="AL433" s="526"/>
      <c r="AM433" s="697"/>
      <c r="AN433" s="697"/>
      <c r="AO433" s="697"/>
      <c r="AP433" s="697"/>
      <c r="AQ433" s="697"/>
      <c r="AR433" s="526"/>
      <c r="AS433" s="526"/>
    </row>
    <row r="434" spans="1:45" ht="13.15" customHeight="1" x14ac:dyDescent="0.2">
      <c r="B434" s="26"/>
      <c r="C434" s="1037"/>
      <c r="D434" s="1056"/>
      <c r="E434" s="1037"/>
      <c r="F434" s="1000" t="str">
        <f t="shared" si="29"/>
        <v>categorie 3</v>
      </c>
      <c r="G434" s="1076" t="str">
        <f t="shared" si="29"/>
        <v>8jr eo</v>
      </c>
      <c r="H434" s="1037"/>
      <c r="I434" s="1461">
        <v>0</v>
      </c>
      <c r="J434" s="1461">
        <f>ROUND('geg ZO'!I297*VLOOKUP($F434,categorieMat8jreo,3,FALSE),0)</f>
        <v>0</v>
      </c>
      <c r="K434" s="1461">
        <f>ROUND('geg ZO'!J297*VLOOKUP($F434,categorieMat8jreo,3,FALSE),0)</f>
        <v>0</v>
      </c>
      <c r="L434" s="1461">
        <f>ROUND('geg ZO'!K297*VLOOKUP($F434,categorieMat8jreo,3,FALSE),0)</f>
        <v>0</v>
      </c>
      <c r="M434" s="1461">
        <f>ROUND('geg ZO'!L297*VLOOKUP($F434,categorieMat8jreo,3,FALSE),0)</f>
        <v>0</v>
      </c>
      <c r="N434" s="1461">
        <f>ROUND('geg ZO'!M297*VLOOKUP($F434,categorieMat8jreo,3,FALSE),0)</f>
        <v>0</v>
      </c>
      <c r="O434" s="1461">
        <f>ROUND('geg ZO'!N297*VLOOKUP($F434,categorieMat8jreo,3,FALSE),0)</f>
        <v>0</v>
      </c>
      <c r="P434" s="1461">
        <f>ROUND('geg ZO'!O297*VLOOKUP($F434,categorieMat8jreo,3,FALSE),0)</f>
        <v>0</v>
      </c>
      <c r="Q434" s="1037"/>
      <c r="R434" s="539"/>
      <c r="AJ434" s="526"/>
      <c r="AK434" s="526"/>
      <c r="AL434" s="526"/>
      <c r="AM434" s="697"/>
      <c r="AN434" s="697"/>
      <c r="AO434" s="697"/>
      <c r="AP434" s="697"/>
      <c r="AQ434" s="697"/>
      <c r="AR434" s="526"/>
      <c r="AS434" s="526"/>
    </row>
    <row r="435" spans="1:45" ht="13.15" customHeight="1" x14ac:dyDescent="0.2">
      <c r="B435" s="26"/>
      <c r="C435" s="1037"/>
      <c r="D435" s="1038"/>
      <c r="E435" s="1037"/>
      <c r="F435" s="1038"/>
      <c r="G435" s="1038"/>
      <c r="H435" s="1037"/>
      <c r="I435" s="1453"/>
      <c r="J435" s="1169"/>
      <c r="K435" s="1169"/>
      <c r="L435" s="1169"/>
      <c r="M435" s="1169"/>
      <c r="N435" s="1169"/>
      <c r="O435" s="1169"/>
      <c r="P435" s="1169"/>
      <c r="Q435" s="1037"/>
      <c r="R435" s="539"/>
      <c r="AJ435" s="526"/>
      <c r="AK435" s="526"/>
      <c r="AL435" s="526"/>
      <c r="AM435" s="697"/>
      <c r="AN435" s="697"/>
      <c r="AO435" s="697"/>
      <c r="AP435" s="697"/>
      <c r="AQ435" s="697"/>
      <c r="AR435" s="526"/>
      <c r="AS435" s="526"/>
    </row>
    <row r="436" spans="1:45" ht="13.15" customHeight="1" x14ac:dyDescent="0.2">
      <c r="B436" s="26"/>
      <c r="C436" s="1037"/>
      <c r="D436" s="1038" t="s">
        <v>21</v>
      </c>
      <c r="E436" s="1037"/>
      <c r="F436" s="1037"/>
      <c r="G436" s="1037"/>
      <c r="H436" s="1037"/>
      <c r="I436" s="1448">
        <f t="shared" ref="I436:O436" si="30">SUM(I246:I335) +SUM(I345:I434)</f>
        <v>0</v>
      </c>
      <c r="J436" s="1448">
        <f t="shared" si="30"/>
        <v>0</v>
      </c>
      <c r="K436" s="1448">
        <f t="shared" si="30"/>
        <v>0</v>
      </c>
      <c r="L436" s="1448">
        <f t="shared" si="30"/>
        <v>0</v>
      </c>
      <c r="M436" s="1448">
        <f t="shared" si="30"/>
        <v>0</v>
      </c>
      <c r="N436" s="1448">
        <f t="shared" si="30"/>
        <v>0</v>
      </c>
      <c r="O436" s="1448">
        <f t="shared" si="30"/>
        <v>0</v>
      </c>
      <c r="P436" s="1448">
        <f t="shared" ref="P436" si="31">SUM(P246:P335) +SUM(P345:P434)</f>
        <v>0</v>
      </c>
      <c r="Q436" s="1037"/>
      <c r="R436" s="539"/>
      <c r="AJ436" s="526"/>
      <c r="AK436" s="526"/>
      <c r="AL436" s="526"/>
      <c r="AM436" s="697"/>
      <c r="AN436" s="697"/>
      <c r="AO436" s="697"/>
      <c r="AP436" s="697"/>
      <c r="AQ436" s="697"/>
      <c r="AR436" s="526"/>
      <c r="AS436" s="526"/>
    </row>
    <row r="437" spans="1:45" ht="13.15" customHeight="1" x14ac:dyDescent="0.2">
      <c r="B437" s="26"/>
      <c r="C437" s="1037"/>
      <c r="D437" s="1037"/>
      <c r="E437" s="1037"/>
      <c r="F437" s="1037"/>
      <c r="G437" s="1037"/>
      <c r="H437" s="1037"/>
      <c r="I437" s="1184"/>
      <c r="J437" s="1184"/>
      <c r="K437" s="1184"/>
      <c r="L437" s="1184"/>
      <c r="M437" s="1184"/>
      <c r="N437" s="1184"/>
      <c r="O437" s="1184"/>
      <c r="P437" s="1184"/>
      <c r="Q437" s="1037"/>
      <c r="R437" s="539"/>
      <c r="AJ437" s="526"/>
      <c r="AK437" s="526"/>
      <c r="AL437" s="526"/>
      <c r="AM437" s="697"/>
      <c r="AN437" s="697"/>
      <c r="AO437" s="697"/>
      <c r="AP437" s="697"/>
      <c r="AQ437" s="697"/>
      <c r="AR437" s="526"/>
      <c r="AS437" s="526"/>
    </row>
    <row r="438" spans="1:45" ht="13.15" customHeight="1" x14ac:dyDescent="0.2">
      <c r="B438" s="26"/>
      <c r="C438" s="27"/>
      <c r="D438" s="27"/>
      <c r="E438" s="27"/>
      <c r="F438" s="27"/>
      <c r="G438" s="27"/>
      <c r="H438" s="27"/>
      <c r="I438" s="191"/>
      <c r="J438" s="191"/>
      <c r="K438" s="191"/>
      <c r="L438" s="191"/>
      <c r="M438" s="191"/>
      <c r="N438" s="191"/>
      <c r="O438" s="191"/>
      <c r="P438" s="191"/>
      <c r="Q438" s="27"/>
      <c r="R438" s="30"/>
      <c r="AJ438" s="526"/>
      <c r="AK438" s="526"/>
      <c r="AL438" s="526"/>
      <c r="AM438" s="697"/>
      <c r="AN438" s="697"/>
      <c r="AO438" s="697"/>
      <c r="AP438" s="697"/>
      <c r="AQ438" s="697"/>
      <c r="AR438" s="526"/>
      <c r="AS438" s="526"/>
    </row>
    <row r="439" spans="1:45" ht="13.15" customHeight="1" x14ac:dyDescent="0.2">
      <c r="B439" s="211"/>
      <c r="C439" s="194"/>
      <c r="D439" s="194"/>
      <c r="E439" s="194"/>
      <c r="F439" s="194"/>
      <c r="G439" s="194"/>
      <c r="H439" s="194"/>
      <c r="I439" s="195"/>
      <c r="J439" s="195"/>
      <c r="K439" s="195"/>
      <c r="L439" s="195"/>
      <c r="M439" s="195"/>
      <c r="N439" s="195"/>
      <c r="O439" s="195"/>
      <c r="P439" s="195"/>
      <c r="Q439" s="194"/>
      <c r="R439" s="213"/>
    </row>
    <row r="440" spans="1:45" s="523" customFormat="1" ht="13.15" customHeight="1" x14ac:dyDescent="0.2"/>
    <row r="441" spans="1:45" s="523" customFormat="1" ht="13.15" customHeight="1" x14ac:dyDescent="0.2">
      <c r="A441" s="532"/>
    </row>
    <row r="442" spans="1:45" s="532" customFormat="1" ht="13.15" customHeight="1" x14ac:dyDescent="0.2">
      <c r="A442" s="523"/>
      <c r="B442" s="523"/>
      <c r="C442" s="523"/>
      <c r="D442" s="523"/>
      <c r="E442" s="523"/>
      <c r="F442" s="523"/>
      <c r="G442" s="523"/>
      <c r="H442" s="523"/>
      <c r="I442" s="523"/>
      <c r="J442" s="523"/>
      <c r="K442" s="523"/>
      <c r="L442" s="523"/>
      <c r="M442" s="523"/>
      <c r="N442" s="523"/>
      <c r="O442" s="523"/>
      <c r="P442" s="523"/>
      <c r="Q442" s="523"/>
      <c r="R442" s="523"/>
      <c r="U442" s="523"/>
      <c r="V442" s="523"/>
      <c r="W442" s="523"/>
      <c r="X442" s="523"/>
      <c r="Y442" s="523"/>
      <c r="Z442" s="523"/>
      <c r="AA442" s="523"/>
      <c r="AB442" s="523"/>
      <c r="AC442" s="523"/>
      <c r="AD442" s="523"/>
      <c r="AE442" s="523"/>
      <c r="AF442" s="523"/>
      <c r="AG442" s="523"/>
    </row>
    <row r="443" spans="1:45" s="523" customFormat="1" ht="13.15" customHeight="1" x14ac:dyDescent="0.2"/>
    <row r="444" spans="1:45" s="523" customFormat="1" ht="13.15" customHeight="1" x14ac:dyDescent="0.2"/>
    <row r="445" spans="1:45" s="523" customFormat="1" ht="13.15" customHeight="1" x14ac:dyDescent="0.2"/>
    <row r="446" spans="1:45" s="523" customFormat="1" ht="13.15" customHeight="1" x14ac:dyDescent="0.2"/>
    <row r="447" spans="1:45" s="523" customFormat="1" ht="13.15" customHeight="1" x14ac:dyDescent="0.2">
      <c r="B447" s="526"/>
      <c r="C447" s="526"/>
      <c r="D447" s="526"/>
      <c r="E447" s="526"/>
      <c r="F447" s="526"/>
      <c r="G447" s="526"/>
      <c r="H447" s="526"/>
      <c r="I447" s="690"/>
      <c r="J447" s="690"/>
      <c r="K447" s="690"/>
      <c r="L447" s="690"/>
      <c r="M447" s="690"/>
      <c r="N447" s="690"/>
      <c r="O447" s="690"/>
      <c r="P447" s="690"/>
      <c r="Q447" s="526"/>
      <c r="R447" s="526"/>
      <c r="S447" s="526"/>
      <c r="T447" s="526"/>
    </row>
    <row r="448" spans="1:45" s="523" customFormat="1" ht="13.15" customHeight="1" x14ac:dyDescent="0.2">
      <c r="B448" s="526"/>
      <c r="C448" s="526"/>
      <c r="D448" s="691"/>
      <c r="E448" s="526"/>
      <c r="F448" s="526"/>
      <c r="G448" s="526"/>
      <c r="H448" s="526"/>
      <c r="I448" s="690"/>
      <c r="J448" s="690"/>
      <c r="K448" s="690"/>
      <c r="L448" s="690"/>
      <c r="M448" s="690"/>
      <c r="N448" s="690"/>
      <c r="O448" s="690"/>
      <c r="P448" s="690"/>
      <c r="Q448" s="526"/>
      <c r="R448" s="526"/>
      <c r="S448" s="526"/>
      <c r="T448" s="526"/>
    </row>
    <row r="449" spans="2:20" s="523" customFormat="1" ht="13.15" customHeight="1" x14ac:dyDescent="0.2">
      <c r="B449" s="526"/>
      <c r="C449" s="526"/>
      <c r="D449" s="691"/>
      <c r="E449" s="526"/>
      <c r="F449" s="526"/>
      <c r="G449" s="526"/>
      <c r="H449" s="526"/>
      <c r="I449" s="690"/>
      <c r="J449" s="690"/>
      <c r="K449" s="690"/>
      <c r="L449" s="690"/>
      <c r="M449" s="690"/>
      <c r="N449" s="690"/>
      <c r="O449" s="690"/>
      <c r="P449" s="690"/>
      <c r="Q449" s="526"/>
      <c r="R449" s="526"/>
      <c r="S449" s="526"/>
      <c r="T449" s="526"/>
    </row>
    <row r="450" spans="2:20" s="523" customFormat="1" ht="13.15" customHeight="1" x14ac:dyDescent="0.2">
      <c r="B450" s="526"/>
      <c r="C450" s="526"/>
      <c r="D450" s="691"/>
      <c r="E450" s="526"/>
      <c r="F450" s="526"/>
      <c r="G450" s="526"/>
      <c r="H450" s="526"/>
      <c r="I450" s="690"/>
      <c r="J450" s="690"/>
      <c r="K450" s="690"/>
      <c r="L450" s="690"/>
      <c r="M450" s="690"/>
      <c r="N450" s="690"/>
      <c r="O450" s="690"/>
      <c r="P450" s="690"/>
      <c r="Q450" s="526"/>
      <c r="R450" s="526"/>
      <c r="S450" s="526"/>
      <c r="T450" s="526"/>
    </row>
    <row r="451" spans="2:20" s="523" customFormat="1" ht="13.15" customHeight="1" x14ac:dyDescent="0.2">
      <c r="B451" s="526"/>
      <c r="C451" s="526"/>
      <c r="D451" s="691"/>
      <c r="E451" s="526"/>
      <c r="F451" s="526"/>
      <c r="G451" s="526"/>
      <c r="H451" s="526"/>
      <c r="I451" s="690"/>
      <c r="J451" s="690"/>
      <c r="K451" s="690"/>
      <c r="L451" s="690"/>
      <c r="M451" s="690"/>
      <c r="N451" s="690"/>
      <c r="O451" s="690"/>
      <c r="P451" s="690"/>
      <c r="Q451" s="526"/>
      <c r="R451" s="526"/>
      <c r="S451" s="526"/>
      <c r="T451" s="526"/>
    </row>
    <row r="452" spans="2:20" s="523" customFormat="1" ht="13.15" customHeight="1" x14ac:dyDescent="0.2">
      <c r="B452" s="526"/>
      <c r="C452" s="526"/>
      <c r="D452" s="691"/>
      <c r="E452" s="526"/>
      <c r="F452" s="526"/>
      <c r="G452" s="526"/>
      <c r="H452" s="526"/>
      <c r="I452" s="690"/>
      <c r="J452" s="690"/>
      <c r="K452" s="690"/>
      <c r="L452" s="690"/>
      <c r="M452" s="690"/>
      <c r="N452" s="690"/>
      <c r="O452" s="690"/>
      <c r="P452" s="690"/>
      <c r="Q452" s="526"/>
      <c r="R452" s="526"/>
      <c r="S452" s="526"/>
      <c r="T452" s="526"/>
    </row>
    <row r="453" spans="2:20" s="523" customFormat="1" ht="13.15" customHeight="1" x14ac:dyDescent="0.2">
      <c r="B453" s="526"/>
      <c r="C453" s="526"/>
      <c r="D453" s="526"/>
      <c r="E453" s="526"/>
      <c r="F453" s="526"/>
      <c r="G453" s="526"/>
      <c r="H453" s="526"/>
      <c r="I453" s="690"/>
      <c r="J453" s="690"/>
      <c r="K453" s="690"/>
      <c r="L453" s="690"/>
      <c r="M453" s="690"/>
      <c r="N453" s="690"/>
      <c r="O453" s="690"/>
      <c r="P453" s="690"/>
      <c r="Q453" s="526"/>
      <c r="R453" s="526"/>
      <c r="S453" s="526"/>
      <c r="T453" s="526"/>
    </row>
    <row r="454" spans="2:20" s="523" customFormat="1" ht="13.15" customHeight="1" x14ac:dyDescent="0.2">
      <c r="B454" s="526"/>
      <c r="C454" s="526"/>
      <c r="D454" s="691"/>
      <c r="E454" s="526"/>
      <c r="F454" s="526"/>
      <c r="G454" s="526"/>
      <c r="H454" s="526"/>
      <c r="I454" s="690"/>
      <c r="J454" s="690"/>
      <c r="K454" s="690"/>
      <c r="L454" s="690"/>
      <c r="M454" s="690"/>
      <c r="N454" s="690"/>
      <c r="O454" s="690"/>
      <c r="P454" s="690"/>
      <c r="Q454" s="526"/>
      <c r="R454" s="526"/>
      <c r="S454" s="526"/>
      <c r="T454" s="526"/>
    </row>
    <row r="455" spans="2:20" s="523" customFormat="1" ht="13.15" customHeight="1" x14ac:dyDescent="0.2">
      <c r="B455" s="526"/>
      <c r="C455" s="526"/>
      <c r="D455" s="691"/>
      <c r="E455" s="526"/>
      <c r="F455" s="526"/>
      <c r="G455" s="526"/>
      <c r="H455" s="526"/>
      <c r="I455" s="690"/>
      <c r="J455" s="690"/>
      <c r="K455" s="690"/>
      <c r="L455" s="690"/>
      <c r="M455" s="690"/>
      <c r="N455" s="690"/>
      <c r="O455" s="690"/>
      <c r="P455" s="690"/>
      <c r="Q455" s="526"/>
      <c r="R455" s="526"/>
      <c r="S455" s="526"/>
      <c r="T455" s="526"/>
    </row>
    <row r="456" spans="2:20" s="523" customFormat="1" ht="13.15" customHeight="1" x14ac:dyDescent="0.2">
      <c r="B456" s="526"/>
      <c r="C456" s="526"/>
      <c r="D456" s="691"/>
      <c r="E456" s="526"/>
      <c r="F456" s="526"/>
      <c r="G456" s="526"/>
      <c r="H456" s="526"/>
      <c r="I456" s="690"/>
      <c r="J456" s="690"/>
      <c r="K456" s="690"/>
      <c r="L456" s="690"/>
      <c r="M456" s="690"/>
      <c r="N456" s="690"/>
      <c r="O456" s="690"/>
      <c r="P456" s="690"/>
      <c r="Q456" s="526"/>
      <c r="R456" s="526"/>
      <c r="S456" s="526"/>
      <c r="T456" s="526"/>
    </row>
    <row r="457" spans="2:20" s="523" customFormat="1" ht="13.15" customHeight="1" x14ac:dyDescent="0.2">
      <c r="B457" s="526"/>
      <c r="C457" s="526"/>
      <c r="D457" s="526"/>
      <c r="E457" s="526"/>
      <c r="F457" s="526"/>
      <c r="G457" s="526"/>
      <c r="H457" s="526"/>
      <c r="I457" s="690"/>
      <c r="J457" s="690"/>
      <c r="K457" s="690"/>
      <c r="L457" s="690"/>
      <c r="M457" s="690"/>
      <c r="N457" s="690"/>
      <c r="O457" s="690"/>
      <c r="P457" s="690"/>
      <c r="Q457" s="526"/>
      <c r="R457" s="526"/>
      <c r="S457" s="526"/>
      <c r="T457" s="526"/>
    </row>
    <row r="458" spans="2:20" s="523" customFormat="1" ht="13.15" customHeight="1" x14ac:dyDescent="0.2">
      <c r="I458" s="692"/>
      <c r="J458" s="692"/>
      <c r="K458" s="692"/>
      <c r="L458" s="692"/>
      <c r="M458" s="692"/>
      <c r="N458" s="692"/>
      <c r="O458" s="692"/>
      <c r="P458" s="692"/>
    </row>
    <row r="459" spans="2:20" s="523" customFormat="1" ht="13.15" customHeight="1" x14ac:dyDescent="0.2">
      <c r="I459" s="692"/>
      <c r="J459" s="692"/>
      <c r="K459" s="692"/>
      <c r="L459" s="692"/>
      <c r="M459" s="692"/>
      <c r="N459" s="692"/>
      <c r="O459" s="692"/>
      <c r="P459" s="692"/>
    </row>
    <row r="460" spans="2:20" s="523" customFormat="1" ht="13.15" customHeight="1" x14ac:dyDescent="0.2">
      <c r="I460" s="692"/>
      <c r="J460" s="692"/>
      <c r="K460" s="692"/>
      <c r="L460" s="692"/>
      <c r="M460" s="692"/>
      <c r="N460" s="692"/>
      <c r="O460" s="692"/>
      <c r="P460" s="692"/>
    </row>
    <row r="461" spans="2:20" s="523" customFormat="1" ht="13.15" customHeight="1" x14ac:dyDescent="0.2">
      <c r="I461" s="692"/>
      <c r="J461" s="692"/>
      <c r="K461" s="692"/>
      <c r="L461" s="692"/>
      <c r="M461" s="692"/>
      <c r="N461" s="692"/>
      <c r="O461" s="692"/>
      <c r="P461" s="692"/>
    </row>
    <row r="462" spans="2:20" s="523" customFormat="1" ht="13.15" customHeight="1" x14ac:dyDescent="0.2">
      <c r="I462" s="692"/>
      <c r="J462" s="692"/>
      <c r="K462" s="692"/>
      <c r="L462" s="692"/>
      <c r="M462" s="692"/>
      <c r="N462" s="692"/>
      <c r="O462" s="692"/>
      <c r="P462" s="692"/>
    </row>
    <row r="463" spans="2:20" s="523" customFormat="1" ht="13.15" customHeight="1" x14ac:dyDescent="0.2">
      <c r="I463" s="692"/>
      <c r="J463" s="692"/>
      <c r="K463" s="692"/>
      <c r="L463" s="692"/>
      <c r="M463" s="692"/>
      <c r="N463" s="692"/>
      <c r="O463" s="692"/>
      <c r="P463" s="692"/>
    </row>
    <row r="464" spans="2:20" s="523" customFormat="1" ht="13.15" customHeight="1" x14ac:dyDescent="0.2">
      <c r="I464" s="692"/>
      <c r="J464" s="692"/>
      <c r="K464" s="692"/>
      <c r="L464" s="692"/>
      <c r="M464" s="692"/>
      <c r="N464" s="692"/>
      <c r="O464" s="692"/>
      <c r="P464" s="692"/>
    </row>
    <row r="465" spans="9:16" s="523" customFormat="1" ht="13.15" customHeight="1" x14ac:dyDescent="0.2">
      <c r="I465" s="692"/>
      <c r="J465" s="692"/>
      <c r="K465" s="692"/>
      <c r="L465" s="692"/>
      <c r="M465" s="692"/>
      <c r="N465" s="692"/>
      <c r="O465" s="692"/>
      <c r="P465" s="692"/>
    </row>
    <row r="466" spans="9:16" s="523" customFormat="1" ht="13.15" customHeight="1" x14ac:dyDescent="0.2">
      <c r="I466" s="692"/>
      <c r="J466" s="692"/>
      <c r="K466" s="692"/>
      <c r="L466" s="692"/>
      <c r="M466" s="692"/>
      <c r="N466" s="692"/>
      <c r="O466" s="692"/>
      <c r="P466" s="692"/>
    </row>
    <row r="467" spans="9:16" s="523" customFormat="1" ht="13.15" customHeight="1" x14ac:dyDescent="0.2">
      <c r="I467" s="692"/>
      <c r="J467" s="692"/>
      <c r="K467" s="692"/>
      <c r="L467" s="692"/>
      <c r="M467" s="692"/>
      <c r="N467" s="692"/>
      <c r="O467" s="692"/>
      <c r="P467" s="692"/>
    </row>
    <row r="468" spans="9:16" s="523" customFormat="1" ht="13.15" customHeight="1" x14ac:dyDescent="0.2">
      <c r="I468" s="692"/>
      <c r="J468" s="692"/>
      <c r="K468" s="692"/>
      <c r="L468" s="692"/>
      <c r="M468" s="692"/>
      <c r="N468" s="692"/>
      <c r="O468" s="692"/>
      <c r="P468" s="692"/>
    </row>
    <row r="469" spans="9:16" s="523" customFormat="1" ht="13.15" customHeight="1" x14ac:dyDescent="0.2">
      <c r="I469" s="692"/>
      <c r="J469" s="692"/>
      <c r="K469" s="692"/>
      <c r="L469" s="692"/>
      <c r="M469" s="692"/>
      <c r="N469" s="692"/>
      <c r="O469" s="692"/>
      <c r="P469" s="692"/>
    </row>
    <row r="470" spans="9:16" s="523" customFormat="1" ht="13.15" customHeight="1" x14ac:dyDescent="0.2">
      <c r="I470" s="692"/>
      <c r="J470" s="692"/>
      <c r="K470" s="692"/>
      <c r="L470" s="692"/>
      <c r="M470" s="692"/>
      <c r="N470" s="692"/>
      <c r="O470" s="692"/>
      <c r="P470" s="692"/>
    </row>
    <row r="471" spans="9:16" s="523" customFormat="1" ht="13.15" customHeight="1" x14ac:dyDescent="0.2">
      <c r="I471" s="692"/>
      <c r="J471" s="692"/>
      <c r="K471" s="692"/>
      <c r="L471" s="692"/>
      <c r="M471" s="692"/>
      <c r="N471" s="692"/>
      <c r="O471" s="692"/>
      <c r="P471" s="692"/>
    </row>
    <row r="472" spans="9:16" s="523" customFormat="1" ht="13.15" customHeight="1" x14ac:dyDescent="0.2">
      <c r="I472" s="692"/>
      <c r="J472" s="692"/>
      <c r="K472" s="692"/>
      <c r="L472" s="692"/>
      <c r="M472" s="692"/>
      <c r="N472" s="692"/>
      <c r="O472" s="692"/>
      <c r="P472" s="692"/>
    </row>
    <row r="473" spans="9:16" s="523" customFormat="1" ht="13.15" customHeight="1" x14ac:dyDescent="0.2">
      <c r="I473" s="692"/>
      <c r="J473" s="692"/>
      <c r="K473" s="692"/>
      <c r="L473" s="692"/>
      <c r="M473" s="692"/>
      <c r="N473" s="692"/>
      <c r="O473" s="692"/>
      <c r="P473" s="692"/>
    </row>
    <row r="474" spans="9:16" s="523" customFormat="1" ht="13.15" customHeight="1" x14ac:dyDescent="0.2">
      <c r="I474" s="692"/>
      <c r="J474" s="692"/>
      <c r="K474" s="692"/>
      <c r="L474" s="692"/>
      <c r="M474" s="692"/>
      <c r="N474" s="692"/>
      <c r="O474" s="692"/>
      <c r="P474" s="692"/>
    </row>
    <row r="475" spans="9:16" s="523" customFormat="1" ht="13.15" customHeight="1" x14ac:dyDescent="0.2">
      <c r="I475" s="692"/>
      <c r="J475" s="692"/>
      <c r="K475" s="692"/>
      <c r="L475" s="692"/>
      <c r="M475" s="692"/>
      <c r="N475" s="692"/>
      <c r="O475" s="692"/>
      <c r="P475" s="692"/>
    </row>
    <row r="476" spans="9:16" s="523" customFormat="1" ht="13.15" customHeight="1" x14ac:dyDescent="0.2">
      <c r="I476" s="692"/>
      <c r="J476" s="692"/>
      <c r="K476" s="692"/>
      <c r="L476" s="692"/>
      <c r="M476" s="692"/>
      <c r="N476" s="692"/>
      <c r="O476" s="692"/>
      <c r="P476" s="692"/>
    </row>
    <row r="477" spans="9:16" s="523" customFormat="1" ht="13.15" customHeight="1" x14ac:dyDescent="0.2">
      <c r="I477" s="692"/>
      <c r="J477" s="692"/>
      <c r="K477" s="692"/>
      <c r="L477" s="692"/>
      <c r="M477" s="692"/>
      <c r="N477" s="692"/>
      <c r="O477" s="692"/>
      <c r="P477" s="692"/>
    </row>
    <row r="478" spans="9:16" s="523" customFormat="1" ht="13.15" customHeight="1" x14ac:dyDescent="0.2">
      <c r="I478" s="692"/>
      <c r="J478" s="692"/>
      <c r="K478" s="692"/>
      <c r="L478" s="692"/>
      <c r="M478" s="692"/>
      <c r="N478" s="692"/>
      <c r="O478" s="692"/>
      <c r="P478" s="692"/>
    </row>
    <row r="479" spans="9:16" s="523" customFormat="1" ht="13.15" customHeight="1" x14ac:dyDescent="0.2">
      <c r="I479" s="692"/>
      <c r="J479" s="692"/>
      <c r="K479" s="692"/>
      <c r="L479" s="692"/>
      <c r="M479" s="692"/>
      <c r="N479" s="692"/>
      <c r="O479" s="692"/>
      <c r="P479" s="692"/>
    </row>
    <row r="480" spans="9:16" s="523" customFormat="1" ht="13.15" customHeight="1" x14ac:dyDescent="0.2">
      <c r="I480" s="692"/>
      <c r="J480" s="692"/>
      <c r="K480" s="692"/>
      <c r="L480" s="692"/>
      <c r="M480" s="692"/>
      <c r="N480" s="692"/>
      <c r="O480" s="692"/>
      <c r="P480" s="692"/>
    </row>
    <row r="481" spans="9:16" s="523" customFormat="1" ht="13.15" customHeight="1" x14ac:dyDescent="0.2">
      <c r="I481" s="692"/>
      <c r="J481" s="692"/>
      <c r="K481" s="692"/>
      <c r="L481" s="692"/>
      <c r="M481" s="692"/>
      <c r="N481" s="692"/>
      <c r="O481" s="692"/>
      <c r="P481" s="692"/>
    </row>
    <row r="482" spans="9:16" s="523" customFormat="1" ht="13.15" customHeight="1" x14ac:dyDescent="0.2">
      <c r="I482" s="692"/>
      <c r="J482" s="692"/>
      <c r="K482" s="692"/>
      <c r="L482" s="692"/>
      <c r="M482" s="692"/>
      <c r="N482" s="692"/>
      <c r="O482" s="692"/>
      <c r="P482" s="692"/>
    </row>
    <row r="483" spans="9:16" s="523" customFormat="1" ht="13.15" customHeight="1" x14ac:dyDescent="0.2">
      <c r="I483" s="692"/>
      <c r="J483" s="692"/>
      <c r="K483" s="692"/>
      <c r="L483" s="692"/>
      <c r="M483" s="692"/>
      <c r="N483" s="692"/>
      <c r="O483" s="692"/>
      <c r="P483" s="692"/>
    </row>
    <row r="484" spans="9:16" s="523" customFormat="1" ht="13.15" customHeight="1" x14ac:dyDescent="0.2">
      <c r="I484" s="692"/>
      <c r="J484" s="692"/>
      <c r="K484" s="692"/>
      <c r="L484" s="692"/>
      <c r="M484" s="692"/>
      <c r="N484" s="692"/>
      <c r="O484" s="692"/>
      <c r="P484" s="692"/>
    </row>
    <row r="485" spans="9:16" s="523" customFormat="1" ht="13.15" customHeight="1" x14ac:dyDescent="0.2">
      <c r="I485" s="692"/>
      <c r="J485" s="692"/>
      <c r="K485" s="692"/>
      <c r="L485" s="692"/>
      <c r="M485" s="692"/>
      <c r="N485" s="692"/>
      <c r="O485" s="692"/>
      <c r="P485" s="692"/>
    </row>
    <row r="486" spans="9:16" s="523" customFormat="1" ht="13.15" customHeight="1" x14ac:dyDescent="0.2">
      <c r="I486" s="692"/>
      <c r="J486" s="692"/>
      <c r="K486" s="692"/>
      <c r="L486" s="692"/>
      <c r="M486" s="692"/>
      <c r="N486" s="692"/>
      <c r="O486" s="692"/>
      <c r="P486" s="692"/>
    </row>
    <row r="487" spans="9:16" s="523" customFormat="1" ht="13.15" customHeight="1" x14ac:dyDescent="0.2">
      <c r="I487" s="692"/>
      <c r="J487" s="692"/>
      <c r="K487" s="692"/>
      <c r="L487" s="692"/>
      <c r="M487" s="692"/>
      <c r="N487" s="692"/>
      <c r="O487" s="692"/>
      <c r="P487" s="692"/>
    </row>
    <row r="488" spans="9:16" s="523" customFormat="1" ht="13.15" customHeight="1" x14ac:dyDescent="0.2">
      <c r="I488" s="692"/>
      <c r="J488" s="692"/>
      <c r="K488" s="692"/>
      <c r="L488" s="692"/>
      <c r="M488" s="692"/>
      <c r="N488" s="692"/>
      <c r="O488" s="692"/>
      <c r="P488" s="692"/>
    </row>
    <row r="489" spans="9:16" s="523" customFormat="1" ht="13.15" customHeight="1" x14ac:dyDescent="0.2">
      <c r="I489" s="692"/>
      <c r="J489" s="692"/>
      <c r="K489" s="692"/>
      <c r="L489" s="692"/>
      <c r="M489" s="692"/>
      <c r="N489" s="692"/>
      <c r="O489" s="692"/>
      <c r="P489" s="692"/>
    </row>
    <row r="490" spans="9:16" s="523" customFormat="1" ht="13.15" customHeight="1" x14ac:dyDescent="0.2">
      <c r="I490" s="692"/>
      <c r="J490" s="692"/>
      <c r="K490" s="692"/>
      <c r="L490" s="692"/>
      <c r="M490" s="692"/>
      <c r="N490" s="692"/>
      <c r="O490" s="692"/>
      <c r="P490" s="692"/>
    </row>
    <row r="491" spans="9:16" s="523" customFormat="1" ht="13.15" customHeight="1" x14ac:dyDescent="0.2">
      <c r="I491" s="692"/>
      <c r="J491" s="692"/>
      <c r="K491" s="692"/>
      <c r="L491" s="692"/>
      <c r="M491" s="692"/>
      <c r="N491" s="692"/>
      <c r="O491" s="692"/>
      <c r="P491" s="692"/>
    </row>
    <row r="492" spans="9:16" s="523" customFormat="1" ht="13.15" customHeight="1" x14ac:dyDescent="0.2">
      <c r="I492" s="692"/>
      <c r="J492" s="692"/>
      <c r="K492" s="692"/>
      <c r="L492" s="692"/>
      <c r="M492" s="692"/>
      <c r="N492" s="692"/>
      <c r="O492" s="692"/>
      <c r="P492" s="692"/>
    </row>
    <row r="493" spans="9:16" s="523" customFormat="1" ht="13.15" customHeight="1" x14ac:dyDescent="0.2">
      <c r="I493" s="692"/>
      <c r="J493" s="692"/>
      <c r="K493" s="692"/>
      <c r="L493" s="692"/>
      <c r="M493" s="692"/>
      <c r="N493" s="692"/>
      <c r="O493" s="692"/>
      <c r="P493" s="692"/>
    </row>
    <row r="494" spans="9:16" s="523" customFormat="1" ht="13.15" customHeight="1" x14ac:dyDescent="0.2">
      <c r="I494" s="692"/>
      <c r="J494" s="692"/>
      <c r="K494" s="692"/>
      <c r="L494" s="692"/>
      <c r="M494" s="692"/>
      <c r="N494" s="692"/>
      <c r="O494" s="692"/>
      <c r="P494" s="692"/>
    </row>
    <row r="495" spans="9:16" s="523" customFormat="1" ht="13.15" customHeight="1" x14ac:dyDescent="0.2">
      <c r="I495" s="692"/>
      <c r="J495" s="692"/>
      <c r="K495" s="692"/>
      <c r="L495" s="692"/>
      <c r="M495" s="692"/>
      <c r="N495" s="692"/>
      <c r="O495" s="692"/>
      <c r="P495" s="692"/>
    </row>
    <row r="496" spans="9:16" s="523" customFormat="1" ht="13.15" customHeight="1" x14ac:dyDescent="0.2">
      <c r="I496" s="692"/>
      <c r="J496" s="692"/>
      <c r="K496" s="692"/>
      <c r="L496" s="692"/>
      <c r="M496" s="692"/>
      <c r="N496" s="692"/>
      <c r="O496" s="692"/>
      <c r="P496" s="692"/>
    </row>
    <row r="497" spans="9:16" s="523" customFormat="1" ht="13.15" customHeight="1" x14ac:dyDescent="0.2">
      <c r="I497" s="692"/>
      <c r="J497" s="692"/>
      <c r="K497" s="692"/>
      <c r="L497" s="692"/>
      <c r="M497" s="692"/>
      <c r="N497" s="692"/>
      <c r="O497" s="692"/>
      <c r="P497" s="692"/>
    </row>
    <row r="498" spans="9:16" s="523" customFormat="1" ht="13.15" customHeight="1" x14ac:dyDescent="0.2">
      <c r="I498" s="692"/>
      <c r="J498" s="692"/>
      <c r="K498" s="692"/>
      <c r="L498" s="692"/>
      <c r="M498" s="692"/>
      <c r="N498" s="692"/>
      <c r="O498" s="692"/>
      <c r="P498" s="692"/>
    </row>
    <row r="499" spans="9:16" s="523" customFormat="1" ht="13.15" customHeight="1" x14ac:dyDescent="0.2">
      <c r="I499" s="692"/>
      <c r="J499" s="692"/>
      <c r="K499" s="692"/>
      <c r="L499" s="692"/>
      <c r="M499" s="692"/>
      <c r="N499" s="692"/>
      <c r="O499" s="692"/>
      <c r="P499" s="692"/>
    </row>
    <row r="500" spans="9:16" s="523" customFormat="1" ht="13.15" customHeight="1" x14ac:dyDescent="0.2">
      <c r="I500" s="692"/>
      <c r="J500" s="692"/>
      <c r="K500" s="692"/>
      <c r="L500" s="692"/>
      <c r="M500" s="692"/>
      <c r="N500" s="692"/>
      <c r="O500" s="692"/>
      <c r="P500" s="692"/>
    </row>
    <row r="501" spans="9:16" s="523" customFormat="1" ht="13.15" customHeight="1" x14ac:dyDescent="0.2">
      <c r="I501" s="692"/>
      <c r="J501" s="692"/>
      <c r="K501" s="692"/>
      <c r="L501" s="692"/>
      <c r="M501" s="692"/>
      <c r="N501" s="692"/>
      <c r="O501" s="692"/>
      <c r="P501" s="692"/>
    </row>
    <row r="502" spans="9:16" s="523" customFormat="1" ht="13.15" customHeight="1" x14ac:dyDescent="0.2">
      <c r="I502" s="692"/>
      <c r="J502" s="692"/>
      <c r="K502" s="692"/>
      <c r="L502" s="692"/>
      <c r="M502" s="692"/>
      <c r="N502" s="692"/>
      <c r="O502" s="692"/>
      <c r="P502" s="692"/>
    </row>
    <row r="503" spans="9:16" s="523" customFormat="1" ht="13.15" customHeight="1" x14ac:dyDescent="0.2">
      <c r="I503" s="692"/>
      <c r="J503" s="692"/>
      <c r="K503" s="692"/>
      <c r="L503" s="692"/>
      <c r="M503" s="692"/>
      <c r="N503" s="692"/>
      <c r="O503" s="692"/>
      <c r="P503" s="692"/>
    </row>
    <row r="504" spans="9:16" s="523" customFormat="1" ht="13.15" customHeight="1" x14ac:dyDescent="0.2">
      <c r="I504" s="692"/>
      <c r="J504" s="692"/>
      <c r="K504" s="692"/>
      <c r="L504" s="692"/>
      <c r="M504" s="692"/>
      <c r="N504" s="692"/>
      <c r="O504" s="692"/>
      <c r="P504" s="692"/>
    </row>
    <row r="505" spans="9:16" s="523" customFormat="1" ht="13.15" customHeight="1" x14ac:dyDescent="0.2">
      <c r="I505" s="692"/>
      <c r="J505" s="692"/>
      <c r="K505" s="692"/>
      <c r="L505" s="692"/>
      <c r="M505" s="692"/>
      <c r="N505" s="692"/>
      <c r="O505" s="692"/>
      <c r="P505" s="692"/>
    </row>
    <row r="506" spans="9:16" s="523" customFormat="1" ht="13.15" customHeight="1" x14ac:dyDescent="0.2">
      <c r="I506" s="692"/>
      <c r="J506" s="692"/>
      <c r="K506" s="692"/>
      <c r="L506" s="692"/>
      <c r="M506" s="692"/>
      <c r="N506" s="692"/>
      <c r="O506" s="692"/>
      <c r="P506" s="692"/>
    </row>
    <row r="507" spans="9:16" s="523" customFormat="1" ht="13.15" customHeight="1" x14ac:dyDescent="0.2">
      <c r="I507" s="692"/>
      <c r="J507" s="692"/>
      <c r="K507" s="692"/>
      <c r="L507" s="692"/>
      <c r="M507" s="692"/>
      <c r="N507" s="692"/>
      <c r="O507" s="692"/>
      <c r="P507" s="692"/>
    </row>
    <row r="508" spans="9:16" s="523" customFormat="1" ht="13.15" customHeight="1" x14ac:dyDescent="0.2">
      <c r="I508" s="692"/>
      <c r="J508" s="692"/>
      <c r="K508" s="692"/>
      <c r="L508" s="692"/>
      <c r="M508" s="692"/>
      <c r="N508" s="692"/>
      <c r="O508" s="692"/>
      <c r="P508" s="692"/>
    </row>
    <row r="509" spans="9:16" s="523" customFormat="1" ht="13.15" customHeight="1" x14ac:dyDescent="0.2">
      <c r="I509" s="692"/>
      <c r="J509" s="692"/>
      <c r="K509" s="692"/>
      <c r="L509" s="692"/>
      <c r="M509" s="692"/>
      <c r="N509" s="692"/>
      <c r="O509" s="692"/>
      <c r="P509" s="692"/>
    </row>
    <row r="510" spans="9:16" s="523" customFormat="1" ht="13.15" customHeight="1" x14ac:dyDescent="0.2">
      <c r="I510" s="692"/>
      <c r="J510" s="692"/>
      <c r="K510" s="692"/>
      <c r="L510" s="692"/>
      <c r="M510" s="692"/>
      <c r="N510" s="692"/>
      <c r="O510" s="692"/>
      <c r="P510" s="692"/>
    </row>
    <row r="511" spans="9:16" s="523" customFormat="1" ht="13.15" customHeight="1" x14ac:dyDescent="0.2">
      <c r="I511" s="692"/>
      <c r="J511" s="692"/>
      <c r="K511" s="692"/>
      <c r="L511" s="692"/>
      <c r="M511" s="692"/>
      <c r="N511" s="692"/>
      <c r="O511" s="692"/>
      <c r="P511" s="692"/>
    </row>
    <row r="512" spans="9:16" s="523" customFormat="1" ht="13.15" customHeight="1" x14ac:dyDescent="0.2">
      <c r="I512" s="692"/>
      <c r="J512" s="692"/>
      <c r="K512" s="692"/>
      <c r="L512" s="692"/>
      <c r="M512" s="692"/>
      <c r="N512" s="692"/>
      <c r="O512" s="692"/>
      <c r="P512" s="692"/>
    </row>
    <row r="513" spans="9:16" s="523" customFormat="1" ht="13.15" customHeight="1" x14ac:dyDescent="0.2">
      <c r="I513" s="692"/>
      <c r="J513" s="692"/>
      <c r="K513" s="692"/>
      <c r="L513" s="692"/>
      <c r="M513" s="692"/>
      <c r="N513" s="692"/>
      <c r="O513" s="692"/>
      <c r="P513" s="692"/>
    </row>
    <row r="514" spans="9:16" s="523" customFormat="1" ht="13.15" customHeight="1" x14ac:dyDescent="0.2">
      <c r="I514" s="692"/>
      <c r="J514" s="692"/>
      <c r="K514" s="692"/>
      <c r="L514" s="692"/>
      <c r="M514" s="692"/>
      <c r="N514" s="692"/>
      <c r="O514" s="692"/>
      <c r="P514" s="692"/>
    </row>
    <row r="515" spans="9:16" s="523" customFormat="1" ht="13.15" customHeight="1" x14ac:dyDescent="0.2">
      <c r="I515" s="692"/>
      <c r="J515" s="692"/>
      <c r="K515" s="692"/>
      <c r="L515" s="692"/>
      <c r="M515" s="692"/>
      <c r="N515" s="692"/>
      <c r="O515" s="692"/>
      <c r="P515" s="692"/>
    </row>
    <row r="516" spans="9:16" s="523" customFormat="1" ht="13.15" customHeight="1" x14ac:dyDescent="0.2">
      <c r="I516" s="692"/>
      <c r="J516" s="692"/>
      <c r="K516" s="692"/>
      <c r="L516" s="692"/>
      <c r="M516" s="692"/>
      <c r="N516" s="692"/>
      <c r="O516" s="692"/>
      <c r="P516" s="692"/>
    </row>
    <row r="517" spans="9:16" s="523" customFormat="1" ht="13.15" customHeight="1" x14ac:dyDescent="0.2">
      <c r="I517" s="692"/>
      <c r="J517" s="692"/>
      <c r="K517" s="692"/>
      <c r="L517" s="692"/>
      <c r="M517" s="692"/>
      <c r="N517" s="692"/>
      <c r="O517" s="692"/>
      <c r="P517" s="692"/>
    </row>
    <row r="518" spans="9:16" s="523" customFormat="1" ht="13.15" customHeight="1" x14ac:dyDescent="0.2">
      <c r="I518" s="692"/>
      <c r="J518" s="692"/>
      <c r="K518" s="692"/>
      <c r="L518" s="692"/>
      <c r="M518" s="692"/>
      <c r="N518" s="692"/>
      <c r="O518" s="692"/>
      <c r="P518" s="692"/>
    </row>
    <row r="519" spans="9:16" s="523" customFormat="1" ht="13.15" customHeight="1" x14ac:dyDescent="0.2">
      <c r="I519" s="692"/>
      <c r="J519" s="692"/>
      <c r="K519" s="692"/>
      <c r="L519" s="692"/>
      <c r="M519" s="692"/>
      <c r="N519" s="692"/>
      <c r="O519" s="692"/>
      <c r="P519" s="692"/>
    </row>
    <row r="520" spans="9:16" s="523" customFormat="1" ht="13.15" customHeight="1" x14ac:dyDescent="0.2">
      <c r="I520" s="692"/>
      <c r="J520" s="692"/>
      <c r="K520" s="692"/>
      <c r="L520" s="692"/>
      <c r="M520" s="692"/>
      <c r="N520" s="692"/>
      <c r="O520" s="692"/>
      <c r="P520" s="692"/>
    </row>
    <row r="521" spans="9:16" s="523" customFormat="1" ht="13.15" customHeight="1" x14ac:dyDescent="0.2">
      <c r="I521" s="692"/>
      <c r="J521" s="692"/>
      <c r="K521" s="692"/>
      <c r="L521" s="692"/>
      <c r="M521" s="692"/>
      <c r="N521" s="692"/>
      <c r="O521" s="692"/>
      <c r="P521" s="692"/>
    </row>
    <row r="522" spans="9:16" s="523" customFormat="1" ht="13.15" customHeight="1" x14ac:dyDescent="0.2">
      <c r="I522" s="692"/>
      <c r="J522" s="692"/>
      <c r="K522" s="692"/>
      <c r="L522" s="692"/>
      <c r="M522" s="692"/>
      <c r="N522" s="692"/>
      <c r="O522" s="692"/>
      <c r="P522" s="692"/>
    </row>
    <row r="523" spans="9:16" s="523" customFormat="1" ht="13.15" customHeight="1" x14ac:dyDescent="0.2">
      <c r="I523" s="692"/>
      <c r="J523" s="692"/>
      <c r="K523" s="692"/>
      <c r="L523" s="692"/>
      <c r="M523" s="692"/>
      <c r="N523" s="692"/>
      <c r="O523" s="692"/>
      <c r="P523" s="692"/>
    </row>
    <row r="524" spans="9:16" s="523" customFormat="1" ht="13.15" customHeight="1" x14ac:dyDescent="0.2">
      <c r="I524" s="692"/>
      <c r="J524" s="692"/>
      <c r="K524" s="692"/>
      <c r="L524" s="692"/>
      <c r="M524" s="692"/>
      <c r="N524" s="692"/>
      <c r="O524" s="692"/>
      <c r="P524" s="692"/>
    </row>
    <row r="525" spans="9:16" s="523" customFormat="1" ht="13.15" customHeight="1" x14ac:dyDescent="0.2">
      <c r="I525" s="692"/>
      <c r="J525" s="692"/>
      <c r="K525" s="692"/>
      <c r="L525" s="692"/>
      <c r="M525" s="692"/>
      <c r="N525" s="692"/>
      <c r="O525" s="692"/>
      <c r="P525" s="692"/>
    </row>
    <row r="526" spans="9:16" s="523" customFormat="1" ht="13.15" customHeight="1" x14ac:dyDescent="0.2">
      <c r="I526" s="692"/>
      <c r="J526" s="692"/>
      <c r="K526" s="692"/>
      <c r="L526" s="692"/>
      <c r="M526" s="692"/>
      <c r="N526" s="692"/>
      <c r="O526" s="692"/>
      <c r="P526" s="692"/>
    </row>
    <row r="527" spans="9:16" s="523" customFormat="1" ht="13.15" customHeight="1" x14ac:dyDescent="0.2">
      <c r="I527" s="692"/>
      <c r="J527" s="692"/>
      <c r="K527" s="692"/>
      <c r="L527" s="692"/>
      <c r="M527" s="692"/>
      <c r="N527" s="692"/>
      <c r="O527" s="692"/>
      <c r="P527" s="692"/>
    </row>
    <row r="528" spans="9:16" s="523" customFormat="1" ht="13.15" customHeight="1" x14ac:dyDescent="0.2">
      <c r="I528" s="692"/>
      <c r="J528" s="692"/>
      <c r="K528" s="692"/>
      <c r="L528" s="692"/>
      <c r="M528" s="692"/>
      <c r="N528" s="692"/>
      <c r="O528" s="692"/>
      <c r="P528" s="692"/>
    </row>
    <row r="529" spans="9:16" s="523" customFormat="1" ht="13.15" customHeight="1" x14ac:dyDescent="0.2">
      <c r="I529" s="692"/>
      <c r="J529" s="692"/>
      <c r="K529" s="692"/>
      <c r="L529" s="692"/>
      <c r="M529" s="692"/>
      <c r="N529" s="692"/>
      <c r="O529" s="692"/>
      <c r="P529" s="692"/>
    </row>
    <row r="530" spans="9:16" s="523" customFormat="1" ht="13.15" customHeight="1" x14ac:dyDescent="0.2">
      <c r="I530" s="692"/>
      <c r="J530" s="692"/>
      <c r="K530" s="692"/>
      <c r="L530" s="692"/>
      <c r="M530" s="692"/>
      <c r="N530" s="692"/>
      <c r="O530" s="692"/>
      <c r="P530" s="692"/>
    </row>
    <row r="531" spans="9:16" s="523" customFormat="1" ht="13.15" customHeight="1" x14ac:dyDescent="0.2">
      <c r="I531" s="692"/>
      <c r="J531" s="692"/>
      <c r="K531" s="692"/>
      <c r="L531" s="692"/>
      <c r="M531" s="692"/>
      <c r="N531" s="692"/>
      <c r="O531" s="692"/>
      <c r="P531" s="692"/>
    </row>
    <row r="532" spans="9:16" s="523" customFormat="1" ht="13.15" customHeight="1" x14ac:dyDescent="0.2">
      <c r="I532" s="692"/>
      <c r="J532" s="692"/>
      <c r="K532" s="692"/>
      <c r="L532" s="692"/>
      <c r="M532" s="692"/>
      <c r="N532" s="692"/>
      <c r="O532" s="692"/>
      <c r="P532" s="692"/>
    </row>
    <row r="533" spans="9:16" s="523" customFormat="1" ht="13.15" customHeight="1" x14ac:dyDescent="0.2">
      <c r="I533" s="692"/>
      <c r="J533" s="692"/>
      <c r="K533" s="692"/>
      <c r="L533" s="692"/>
      <c r="M533" s="692"/>
      <c r="N533" s="692"/>
      <c r="O533" s="692"/>
      <c r="P533" s="692"/>
    </row>
    <row r="534" spans="9:16" s="523" customFormat="1" ht="13.15" customHeight="1" x14ac:dyDescent="0.2">
      <c r="I534" s="692"/>
      <c r="J534" s="692"/>
      <c r="K534" s="692"/>
      <c r="L534" s="692"/>
      <c r="M534" s="692"/>
      <c r="N534" s="692"/>
      <c r="O534" s="692"/>
      <c r="P534" s="692"/>
    </row>
    <row r="535" spans="9:16" s="523" customFormat="1" ht="13.15" customHeight="1" x14ac:dyDescent="0.2">
      <c r="I535" s="692"/>
      <c r="J535" s="692"/>
      <c r="K535" s="692"/>
      <c r="L535" s="692"/>
      <c r="M535" s="692"/>
      <c r="N535" s="692"/>
      <c r="O535" s="692"/>
      <c r="P535" s="692"/>
    </row>
    <row r="536" spans="9:16" s="523" customFormat="1" ht="13.15" customHeight="1" x14ac:dyDescent="0.2">
      <c r="I536" s="692"/>
      <c r="J536" s="692"/>
      <c r="K536" s="692"/>
      <c r="L536" s="692"/>
      <c r="M536" s="692"/>
      <c r="N536" s="692"/>
      <c r="O536" s="692"/>
      <c r="P536" s="692"/>
    </row>
    <row r="537" spans="9:16" s="523" customFormat="1" ht="13.15" customHeight="1" x14ac:dyDescent="0.2">
      <c r="I537" s="692"/>
      <c r="J537" s="692"/>
      <c r="K537" s="692"/>
      <c r="L537" s="692"/>
      <c r="M537" s="692"/>
      <c r="N537" s="692"/>
      <c r="O537" s="692"/>
      <c r="P537" s="692"/>
    </row>
    <row r="538" spans="9:16" s="523" customFormat="1" ht="13.15" customHeight="1" x14ac:dyDescent="0.2">
      <c r="I538" s="692"/>
      <c r="J538" s="692"/>
      <c r="K538" s="692"/>
      <c r="L538" s="692"/>
      <c r="M538" s="692"/>
      <c r="N538" s="692"/>
      <c r="O538" s="692"/>
      <c r="P538" s="692"/>
    </row>
    <row r="539" spans="9:16" s="523" customFormat="1" ht="13.15" customHeight="1" x14ac:dyDescent="0.2">
      <c r="I539" s="692"/>
      <c r="J539" s="692"/>
      <c r="K539" s="692"/>
      <c r="L539" s="692"/>
      <c r="M539" s="692"/>
      <c r="N539" s="692"/>
      <c r="O539" s="692"/>
      <c r="P539" s="692"/>
    </row>
    <row r="540" spans="9:16" s="523" customFormat="1" ht="13.15" customHeight="1" x14ac:dyDescent="0.2">
      <c r="I540" s="692"/>
      <c r="J540" s="692"/>
      <c r="K540" s="692"/>
      <c r="L540" s="692"/>
      <c r="M540" s="692"/>
      <c r="N540" s="692"/>
      <c r="O540" s="692"/>
      <c r="P540" s="692"/>
    </row>
    <row r="541" spans="9:16" s="523" customFormat="1" ht="13.15" customHeight="1" x14ac:dyDescent="0.2">
      <c r="I541" s="692"/>
      <c r="J541" s="692"/>
      <c r="K541" s="692"/>
      <c r="L541" s="692"/>
      <c r="M541" s="692"/>
      <c r="N541" s="692"/>
      <c r="O541" s="692"/>
      <c r="P541" s="692"/>
    </row>
    <row r="542" spans="9:16" s="523" customFormat="1" ht="13.15" customHeight="1" x14ac:dyDescent="0.2">
      <c r="I542" s="692"/>
      <c r="J542" s="692"/>
      <c r="K542" s="692"/>
      <c r="L542" s="692"/>
      <c r="M542" s="692"/>
      <c r="N542" s="692"/>
      <c r="O542" s="692"/>
      <c r="P542" s="692"/>
    </row>
    <row r="543" spans="9:16" s="523" customFormat="1" ht="13.15" customHeight="1" x14ac:dyDescent="0.2">
      <c r="I543" s="692"/>
      <c r="J543" s="692"/>
      <c r="K543" s="692"/>
      <c r="L543" s="692"/>
      <c r="M543" s="692"/>
      <c r="N543" s="692"/>
      <c r="O543" s="692"/>
      <c r="P543" s="692"/>
    </row>
    <row r="544" spans="9:16" s="523" customFormat="1" ht="13.15" customHeight="1" x14ac:dyDescent="0.2">
      <c r="I544" s="692"/>
      <c r="J544" s="692"/>
      <c r="K544" s="692"/>
      <c r="L544" s="692"/>
      <c r="M544" s="692"/>
      <c r="N544" s="692"/>
      <c r="O544" s="692"/>
      <c r="P544" s="692"/>
    </row>
    <row r="545" spans="9:16" s="523" customFormat="1" ht="13.15" customHeight="1" x14ac:dyDescent="0.2">
      <c r="I545" s="692"/>
      <c r="J545" s="692"/>
      <c r="K545" s="692"/>
      <c r="L545" s="692"/>
      <c r="M545" s="692"/>
      <c r="N545" s="692"/>
      <c r="O545" s="692"/>
      <c r="P545" s="692"/>
    </row>
    <row r="546" spans="9:16" s="523" customFormat="1" ht="13.15" customHeight="1" x14ac:dyDescent="0.2">
      <c r="I546" s="692"/>
      <c r="J546" s="692"/>
      <c r="K546" s="692"/>
      <c r="L546" s="692"/>
      <c r="M546" s="692"/>
      <c r="N546" s="692"/>
      <c r="O546" s="692"/>
      <c r="P546" s="692"/>
    </row>
    <row r="547" spans="9:16" s="523" customFormat="1" ht="13.15" customHeight="1" x14ac:dyDescent="0.2">
      <c r="I547" s="692"/>
      <c r="J547" s="692"/>
      <c r="K547" s="692"/>
      <c r="L547" s="692"/>
      <c r="M547" s="692"/>
      <c r="N547" s="692"/>
      <c r="O547" s="692"/>
      <c r="P547" s="692"/>
    </row>
    <row r="548" spans="9:16" s="523" customFormat="1" ht="13.15" customHeight="1" x14ac:dyDescent="0.2">
      <c r="I548" s="692"/>
      <c r="J548" s="692"/>
      <c r="K548" s="692"/>
      <c r="L548" s="692"/>
      <c r="M548" s="692"/>
      <c r="N548" s="692"/>
      <c r="O548" s="692"/>
      <c r="P548" s="692"/>
    </row>
    <row r="549" spans="9:16" s="523" customFormat="1" ht="13.15" customHeight="1" x14ac:dyDescent="0.2">
      <c r="I549" s="692"/>
      <c r="J549" s="692"/>
      <c r="K549" s="692"/>
      <c r="L549" s="692"/>
      <c r="M549" s="692"/>
      <c r="N549" s="692"/>
      <c r="O549" s="692"/>
      <c r="P549" s="692"/>
    </row>
    <row r="550" spans="9:16" s="523" customFormat="1" ht="13.15" customHeight="1" x14ac:dyDescent="0.2">
      <c r="I550" s="692"/>
      <c r="J550" s="692"/>
      <c r="K550" s="692"/>
      <c r="L550" s="692"/>
      <c r="M550" s="692"/>
      <c r="N550" s="692"/>
      <c r="O550" s="692"/>
      <c r="P550" s="692"/>
    </row>
    <row r="551" spans="9:16" s="523" customFormat="1" ht="13.15" customHeight="1" x14ac:dyDescent="0.2">
      <c r="I551" s="692"/>
      <c r="J551" s="692"/>
      <c r="K551" s="692"/>
      <c r="L551" s="692"/>
      <c r="M551" s="692"/>
      <c r="N551" s="692"/>
      <c r="O551" s="692"/>
      <c r="P551" s="692"/>
    </row>
    <row r="552" spans="9:16" s="523" customFormat="1" ht="13.15" customHeight="1" x14ac:dyDescent="0.2">
      <c r="I552" s="692"/>
      <c r="J552" s="692"/>
      <c r="K552" s="692"/>
      <c r="L552" s="692"/>
      <c r="M552" s="692"/>
      <c r="N552" s="692"/>
      <c r="O552" s="692"/>
      <c r="P552" s="692"/>
    </row>
    <row r="553" spans="9:16" s="523" customFormat="1" ht="13.15" customHeight="1" x14ac:dyDescent="0.2">
      <c r="I553" s="692"/>
      <c r="J553" s="692"/>
      <c r="K553" s="692"/>
      <c r="L553" s="692"/>
      <c r="M553" s="692"/>
      <c r="N553" s="692"/>
      <c r="O553" s="692"/>
      <c r="P553" s="692"/>
    </row>
    <row r="554" spans="9:16" s="523" customFormat="1" ht="13.15" customHeight="1" x14ac:dyDescent="0.2">
      <c r="I554" s="692"/>
      <c r="J554" s="692"/>
      <c r="K554" s="692"/>
      <c r="L554" s="692"/>
      <c r="M554" s="692"/>
      <c r="N554" s="692"/>
      <c r="O554" s="692"/>
      <c r="P554" s="692"/>
    </row>
    <row r="555" spans="9:16" s="523" customFormat="1" ht="13.15" customHeight="1" x14ac:dyDescent="0.2">
      <c r="I555" s="692"/>
      <c r="J555" s="692"/>
      <c r="K555" s="692"/>
      <c r="L555" s="692"/>
      <c r="M555" s="692"/>
      <c r="N555" s="692"/>
      <c r="O555" s="692"/>
      <c r="P555" s="692"/>
    </row>
    <row r="556" spans="9:16" s="523" customFormat="1" ht="13.15" customHeight="1" x14ac:dyDescent="0.2">
      <c r="I556" s="692"/>
      <c r="J556" s="692"/>
      <c r="K556" s="692"/>
      <c r="L556" s="692"/>
      <c r="M556" s="692"/>
      <c r="N556" s="692"/>
      <c r="O556" s="692"/>
      <c r="P556" s="692"/>
    </row>
    <row r="557" spans="9:16" s="523" customFormat="1" ht="13.15" customHeight="1" x14ac:dyDescent="0.2">
      <c r="I557" s="692"/>
      <c r="J557" s="692"/>
      <c r="K557" s="692"/>
      <c r="L557" s="692"/>
      <c r="M557" s="692"/>
      <c r="N557" s="692"/>
      <c r="O557" s="692"/>
      <c r="P557" s="692"/>
    </row>
    <row r="558" spans="9:16" s="523" customFormat="1" ht="13.15" customHeight="1" x14ac:dyDescent="0.2">
      <c r="I558" s="692"/>
      <c r="J558" s="692"/>
      <c r="K558" s="692"/>
      <c r="L558" s="692"/>
      <c r="M558" s="692"/>
      <c r="N558" s="692"/>
      <c r="O558" s="692"/>
      <c r="P558" s="692"/>
    </row>
    <row r="559" spans="9:16" s="523" customFormat="1" ht="13.15" customHeight="1" x14ac:dyDescent="0.2">
      <c r="I559" s="692"/>
      <c r="J559" s="692"/>
      <c r="K559" s="692"/>
      <c r="L559" s="692"/>
      <c r="M559" s="692"/>
      <c r="N559" s="692"/>
      <c r="O559" s="692"/>
      <c r="P559" s="692"/>
    </row>
    <row r="560" spans="9:16" s="523" customFormat="1" ht="13.15" customHeight="1" x14ac:dyDescent="0.2">
      <c r="I560" s="692"/>
      <c r="J560" s="692"/>
      <c r="K560" s="692"/>
      <c r="L560" s="692"/>
      <c r="M560" s="692"/>
      <c r="N560" s="692"/>
      <c r="O560" s="692"/>
      <c r="P560" s="692"/>
    </row>
    <row r="561" spans="9:16" s="523" customFormat="1" ht="13.15" customHeight="1" x14ac:dyDescent="0.2">
      <c r="I561" s="692"/>
      <c r="J561" s="692"/>
      <c r="K561" s="692"/>
      <c r="L561" s="692"/>
      <c r="M561" s="692"/>
      <c r="N561" s="692"/>
      <c r="O561" s="692"/>
      <c r="P561" s="692"/>
    </row>
    <row r="562" spans="9:16" s="523" customFormat="1" ht="13.15" customHeight="1" x14ac:dyDescent="0.2">
      <c r="I562" s="692"/>
      <c r="J562" s="692"/>
      <c r="K562" s="692"/>
      <c r="L562" s="692"/>
      <c r="M562" s="692"/>
      <c r="N562" s="692"/>
      <c r="O562" s="692"/>
      <c r="P562" s="692"/>
    </row>
    <row r="563" spans="9:16" s="523" customFormat="1" ht="13.15" customHeight="1" x14ac:dyDescent="0.2">
      <c r="I563" s="692"/>
      <c r="J563" s="692"/>
      <c r="K563" s="692"/>
      <c r="L563" s="692"/>
      <c r="M563" s="692"/>
      <c r="N563" s="692"/>
      <c r="O563" s="692"/>
      <c r="P563" s="692"/>
    </row>
    <row r="564" spans="9:16" s="523" customFormat="1" ht="13.15" customHeight="1" x14ac:dyDescent="0.2">
      <c r="I564" s="692"/>
      <c r="J564" s="692"/>
      <c r="K564" s="692"/>
      <c r="L564" s="692"/>
      <c r="M564" s="692"/>
      <c r="N564" s="692"/>
      <c r="O564" s="692"/>
      <c r="P564" s="692"/>
    </row>
    <row r="565" spans="9:16" s="523" customFormat="1" ht="13.15" customHeight="1" x14ac:dyDescent="0.2">
      <c r="I565" s="692"/>
      <c r="J565" s="692"/>
      <c r="K565" s="692"/>
      <c r="L565" s="692"/>
      <c r="M565" s="692"/>
      <c r="N565" s="692"/>
      <c r="O565" s="692"/>
      <c r="P565" s="692"/>
    </row>
    <row r="566" spans="9:16" s="523" customFormat="1" ht="13.15" customHeight="1" x14ac:dyDescent="0.2">
      <c r="I566" s="692"/>
      <c r="J566" s="692"/>
      <c r="K566" s="692"/>
      <c r="L566" s="692"/>
      <c r="M566" s="692"/>
      <c r="N566" s="692"/>
      <c r="O566" s="692"/>
      <c r="P566" s="692"/>
    </row>
    <row r="567" spans="9:16" s="523" customFormat="1" ht="13.15" customHeight="1" x14ac:dyDescent="0.2">
      <c r="I567" s="692"/>
      <c r="J567" s="692"/>
      <c r="K567" s="692"/>
      <c r="L567" s="692"/>
      <c r="M567" s="692"/>
      <c r="N567" s="692"/>
      <c r="O567" s="692"/>
      <c r="P567" s="692"/>
    </row>
    <row r="568" spans="9:16" s="523" customFormat="1" ht="13.15" customHeight="1" x14ac:dyDescent="0.2">
      <c r="I568" s="692"/>
      <c r="J568" s="692"/>
      <c r="K568" s="692"/>
      <c r="L568" s="692"/>
      <c r="M568" s="692"/>
      <c r="N568" s="692"/>
      <c r="O568" s="692"/>
      <c r="P568" s="692"/>
    </row>
    <row r="569" spans="9:16" s="523" customFormat="1" ht="13.15" customHeight="1" x14ac:dyDescent="0.2">
      <c r="I569" s="692"/>
      <c r="J569" s="692"/>
      <c r="K569" s="692"/>
      <c r="L569" s="692"/>
      <c r="M569" s="692"/>
      <c r="N569" s="692"/>
      <c r="O569" s="692"/>
      <c r="P569" s="692"/>
    </row>
    <row r="570" spans="9:16" s="523" customFormat="1" ht="13.15" customHeight="1" x14ac:dyDescent="0.2">
      <c r="I570" s="692"/>
      <c r="J570" s="692"/>
      <c r="K570" s="692"/>
      <c r="L570" s="692"/>
      <c r="M570" s="692"/>
      <c r="N570" s="692"/>
      <c r="O570" s="692"/>
      <c r="P570" s="692"/>
    </row>
    <row r="571" spans="9:16" s="523" customFormat="1" ht="13.15" customHeight="1" x14ac:dyDescent="0.2">
      <c r="I571" s="692"/>
      <c r="J571" s="692"/>
      <c r="K571" s="692"/>
      <c r="L571" s="692"/>
      <c r="M571" s="692"/>
      <c r="N571" s="692"/>
      <c r="O571" s="692"/>
      <c r="P571" s="692"/>
    </row>
    <row r="572" spans="9:16" s="523" customFormat="1" ht="13.15" customHeight="1" x14ac:dyDescent="0.2">
      <c r="I572" s="692"/>
      <c r="J572" s="692"/>
      <c r="K572" s="692"/>
      <c r="L572" s="692"/>
      <c r="M572" s="692"/>
      <c r="N572" s="692"/>
      <c r="O572" s="692"/>
      <c r="P572" s="692"/>
    </row>
    <row r="573" spans="9:16" s="523" customFormat="1" ht="13.15" customHeight="1" x14ac:dyDescent="0.2">
      <c r="I573" s="692"/>
      <c r="J573" s="692"/>
      <c r="K573" s="692"/>
      <c r="L573" s="692"/>
      <c r="M573" s="692"/>
      <c r="N573" s="692"/>
      <c r="O573" s="692"/>
      <c r="P573" s="692"/>
    </row>
    <row r="574" spans="9:16" s="523" customFormat="1" ht="13.15" customHeight="1" x14ac:dyDescent="0.2">
      <c r="I574" s="692"/>
      <c r="J574" s="692"/>
      <c r="K574" s="692"/>
      <c r="L574" s="692"/>
      <c r="M574" s="692"/>
      <c r="N574" s="692"/>
      <c r="O574" s="692"/>
      <c r="P574" s="692"/>
    </row>
    <row r="575" spans="9:16" s="523" customFormat="1" ht="13.15" customHeight="1" x14ac:dyDescent="0.2">
      <c r="I575" s="692"/>
      <c r="J575" s="692"/>
      <c r="K575" s="692"/>
      <c r="L575" s="692"/>
      <c r="M575" s="692"/>
      <c r="N575" s="692"/>
      <c r="O575" s="692"/>
      <c r="P575" s="692"/>
    </row>
    <row r="576" spans="9:16" s="523" customFormat="1" ht="13.15" customHeight="1" x14ac:dyDescent="0.2">
      <c r="I576" s="692"/>
      <c r="J576" s="692"/>
      <c r="K576" s="692"/>
      <c r="L576" s="692"/>
      <c r="M576" s="692"/>
      <c r="N576" s="692"/>
      <c r="O576" s="692"/>
      <c r="P576" s="692"/>
    </row>
    <row r="577" spans="9:16" s="523" customFormat="1" ht="13.15" customHeight="1" x14ac:dyDescent="0.2">
      <c r="I577" s="692"/>
      <c r="J577" s="692"/>
      <c r="K577" s="692"/>
      <c r="L577" s="692"/>
      <c r="M577" s="692"/>
      <c r="N577" s="692"/>
      <c r="O577" s="692"/>
      <c r="P577" s="692"/>
    </row>
    <row r="578" spans="9:16" s="523" customFormat="1" ht="13.15" customHeight="1" x14ac:dyDescent="0.2">
      <c r="I578" s="692"/>
      <c r="J578" s="692"/>
      <c r="K578" s="692"/>
      <c r="L578" s="692"/>
      <c r="M578" s="692"/>
      <c r="N578" s="692"/>
      <c r="O578" s="692"/>
      <c r="P578" s="692"/>
    </row>
    <row r="579" spans="9:16" s="523" customFormat="1" ht="13.15" customHeight="1" x14ac:dyDescent="0.2">
      <c r="I579" s="692"/>
      <c r="J579" s="692"/>
      <c r="K579" s="692"/>
      <c r="L579" s="692"/>
      <c r="M579" s="692"/>
      <c r="N579" s="692"/>
      <c r="O579" s="692"/>
      <c r="P579" s="692"/>
    </row>
    <row r="580" spans="9:16" s="523" customFormat="1" ht="13.15" customHeight="1" x14ac:dyDescent="0.2">
      <c r="I580" s="692"/>
      <c r="J580" s="692"/>
      <c r="K580" s="692"/>
      <c r="L580" s="692"/>
      <c r="M580" s="692"/>
      <c r="N580" s="692"/>
      <c r="O580" s="692"/>
      <c r="P580" s="692"/>
    </row>
    <row r="581" spans="9:16" s="523" customFormat="1" ht="13.15" customHeight="1" x14ac:dyDescent="0.2">
      <c r="I581" s="692"/>
      <c r="J581" s="692"/>
      <c r="K581" s="692"/>
      <c r="L581" s="692"/>
      <c r="M581" s="692"/>
      <c r="N581" s="692"/>
      <c r="O581" s="692"/>
      <c r="P581" s="692"/>
    </row>
    <row r="582" spans="9:16" s="523" customFormat="1" ht="13.15" customHeight="1" x14ac:dyDescent="0.2">
      <c r="I582" s="692"/>
      <c r="J582" s="692"/>
      <c r="K582" s="692"/>
      <c r="L582" s="692"/>
      <c r="M582" s="692"/>
      <c r="N582" s="692"/>
      <c r="O582" s="692"/>
      <c r="P582" s="692"/>
    </row>
    <row r="583" spans="9:16" s="523" customFormat="1" ht="13.15" customHeight="1" x14ac:dyDescent="0.2">
      <c r="I583" s="692"/>
      <c r="J583" s="692"/>
      <c r="K583" s="692"/>
      <c r="L583" s="692"/>
      <c r="M583" s="692"/>
      <c r="N583" s="692"/>
      <c r="O583" s="692"/>
      <c r="P583" s="692"/>
    </row>
    <row r="584" spans="9:16" s="523" customFormat="1" ht="13.15" customHeight="1" x14ac:dyDescent="0.2">
      <c r="I584" s="692"/>
      <c r="J584" s="692"/>
      <c r="K584" s="692"/>
      <c r="L584" s="692"/>
      <c r="M584" s="692"/>
      <c r="N584" s="692"/>
      <c r="O584" s="692"/>
      <c r="P584" s="692"/>
    </row>
    <row r="585" spans="9:16" s="523" customFormat="1" ht="13.15" customHeight="1" x14ac:dyDescent="0.2">
      <c r="I585" s="692"/>
      <c r="J585" s="692"/>
      <c r="K585" s="692"/>
      <c r="L585" s="692"/>
      <c r="M585" s="692"/>
      <c r="N585" s="692"/>
      <c r="O585" s="692"/>
      <c r="P585" s="692"/>
    </row>
    <row r="586" spans="9:16" s="523" customFormat="1" ht="13.15" customHeight="1" x14ac:dyDescent="0.2">
      <c r="I586" s="692"/>
      <c r="J586" s="692"/>
      <c r="K586" s="692"/>
      <c r="L586" s="692"/>
      <c r="M586" s="692"/>
      <c r="N586" s="692"/>
      <c r="O586" s="692"/>
      <c r="P586" s="692"/>
    </row>
    <row r="587" spans="9:16" s="523" customFormat="1" ht="13.15" customHeight="1" x14ac:dyDescent="0.2">
      <c r="I587" s="692"/>
      <c r="J587" s="692"/>
      <c r="K587" s="692"/>
      <c r="L587" s="692"/>
      <c r="M587" s="692"/>
      <c r="N587" s="692"/>
      <c r="O587" s="692"/>
      <c r="P587" s="692"/>
    </row>
    <row r="588" spans="9:16" s="523" customFormat="1" ht="13.15" customHeight="1" x14ac:dyDescent="0.2">
      <c r="I588" s="692"/>
      <c r="J588" s="692"/>
      <c r="K588" s="692"/>
      <c r="L588" s="692"/>
      <c r="M588" s="692"/>
      <c r="N588" s="692"/>
      <c r="O588" s="692"/>
      <c r="P588" s="692"/>
    </row>
    <row r="589" spans="9:16" s="523" customFormat="1" ht="13.15" customHeight="1" x14ac:dyDescent="0.2">
      <c r="I589" s="692"/>
      <c r="J589" s="692"/>
      <c r="K589" s="692"/>
      <c r="L589" s="692"/>
      <c r="M589" s="692"/>
      <c r="N589" s="692"/>
      <c r="O589" s="692"/>
      <c r="P589" s="692"/>
    </row>
    <row r="590" spans="9:16" s="523" customFormat="1" ht="13.15" customHeight="1" x14ac:dyDescent="0.2">
      <c r="I590" s="692"/>
      <c r="J590" s="692"/>
      <c r="K590" s="692"/>
      <c r="L590" s="692"/>
      <c r="M590" s="692"/>
      <c r="N590" s="692"/>
      <c r="O590" s="692"/>
      <c r="P590" s="692"/>
    </row>
    <row r="591" spans="9:16" s="523" customFormat="1" ht="13.15" customHeight="1" x14ac:dyDescent="0.2">
      <c r="I591" s="692"/>
      <c r="J591" s="692"/>
      <c r="K591" s="692"/>
      <c r="L591" s="692"/>
      <c r="M591" s="692"/>
      <c r="N591" s="692"/>
      <c r="O591" s="692"/>
      <c r="P591" s="692"/>
    </row>
    <row r="592" spans="9:16" s="523" customFormat="1" ht="13.15" customHeight="1" x14ac:dyDescent="0.2">
      <c r="I592" s="692"/>
      <c r="J592" s="692"/>
      <c r="K592" s="692"/>
      <c r="L592" s="692"/>
      <c r="M592" s="692"/>
      <c r="N592" s="692"/>
      <c r="O592" s="692"/>
      <c r="P592" s="692"/>
    </row>
    <row r="593" spans="9:16" s="523" customFormat="1" ht="13.15" customHeight="1" x14ac:dyDescent="0.2">
      <c r="I593" s="692"/>
      <c r="J593" s="692"/>
      <c r="K593" s="692"/>
      <c r="L593" s="692"/>
      <c r="M593" s="692"/>
      <c r="N593" s="692"/>
      <c r="O593" s="692"/>
      <c r="P593" s="692"/>
    </row>
    <row r="594" spans="9:16" s="523" customFormat="1" ht="13.15" customHeight="1" x14ac:dyDescent="0.2">
      <c r="I594" s="692"/>
      <c r="J594" s="692"/>
      <c r="K594" s="692"/>
      <c r="L594" s="692"/>
      <c r="M594" s="692"/>
      <c r="N594" s="692"/>
      <c r="O594" s="692"/>
      <c r="P594" s="692"/>
    </row>
    <row r="595" spans="9:16" s="523" customFormat="1" ht="13.15" customHeight="1" x14ac:dyDescent="0.2">
      <c r="I595" s="692"/>
      <c r="J595" s="692"/>
      <c r="K595" s="692"/>
      <c r="L595" s="692"/>
      <c r="M595" s="692"/>
      <c r="N595" s="692"/>
      <c r="O595" s="692"/>
      <c r="P595" s="692"/>
    </row>
    <row r="596" spans="9:16" s="523" customFormat="1" ht="13.15" customHeight="1" x14ac:dyDescent="0.2">
      <c r="I596" s="692"/>
      <c r="J596" s="692"/>
      <c r="K596" s="692"/>
      <c r="L596" s="692"/>
      <c r="M596" s="692"/>
      <c r="N596" s="692"/>
      <c r="O596" s="692"/>
      <c r="P596" s="692"/>
    </row>
    <row r="597" spans="9:16" s="523" customFormat="1" ht="13.15" customHeight="1" x14ac:dyDescent="0.2">
      <c r="I597" s="692"/>
      <c r="J597" s="692"/>
      <c r="K597" s="692"/>
      <c r="L597" s="692"/>
      <c r="M597" s="692"/>
      <c r="N597" s="692"/>
      <c r="O597" s="692"/>
      <c r="P597" s="692"/>
    </row>
    <row r="598" spans="9:16" s="523" customFormat="1" ht="13.15" customHeight="1" x14ac:dyDescent="0.2">
      <c r="I598" s="692"/>
      <c r="J598" s="692"/>
      <c r="K598" s="692"/>
      <c r="L598" s="692"/>
      <c r="M598" s="692"/>
      <c r="N598" s="692"/>
      <c r="O598" s="692"/>
      <c r="P598" s="692"/>
    </row>
    <row r="599" spans="9:16" s="523" customFormat="1" ht="13.15" customHeight="1" x14ac:dyDescent="0.2">
      <c r="I599" s="692"/>
      <c r="J599" s="692"/>
      <c r="K599" s="692"/>
      <c r="L599" s="692"/>
      <c r="M599" s="692"/>
      <c r="N599" s="692"/>
      <c r="O599" s="692"/>
      <c r="P599" s="692"/>
    </row>
    <row r="600" spans="9:16" s="523" customFormat="1" ht="13.15" customHeight="1" x14ac:dyDescent="0.2">
      <c r="I600" s="692"/>
      <c r="J600" s="692"/>
      <c r="K600" s="692"/>
      <c r="L600" s="692"/>
      <c r="M600" s="692"/>
      <c r="N600" s="692"/>
      <c r="O600" s="692"/>
      <c r="P600" s="692"/>
    </row>
    <row r="601" spans="9:16" s="523" customFormat="1" ht="13.15" customHeight="1" x14ac:dyDescent="0.2">
      <c r="I601" s="692"/>
      <c r="J601" s="692"/>
      <c r="K601" s="692"/>
      <c r="L601" s="692"/>
      <c r="M601" s="692"/>
      <c r="N601" s="692"/>
      <c r="O601" s="692"/>
      <c r="P601" s="692"/>
    </row>
    <row r="602" spans="9:16" s="523" customFormat="1" ht="13.15" customHeight="1" x14ac:dyDescent="0.2">
      <c r="I602" s="692"/>
      <c r="J602" s="692"/>
      <c r="K602" s="692"/>
      <c r="L602" s="692"/>
      <c r="M602" s="692"/>
      <c r="N602" s="692"/>
      <c r="O602" s="692"/>
      <c r="P602" s="692"/>
    </row>
    <row r="603" spans="9:16" s="523" customFormat="1" ht="13.15" customHeight="1" x14ac:dyDescent="0.2">
      <c r="I603" s="692"/>
      <c r="J603" s="692"/>
      <c r="K603" s="692"/>
      <c r="L603" s="692"/>
      <c r="M603" s="692"/>
      <c r="N603" s="692"/>
      <c r="O603" s="692"/>
      <c r="P603" s="692"/>
    </row>
    <row r="604" spans="9:16" s="523" customFormat="1" ht="13.15" customHeight="1" x14ac:dyDescent="0.2">
      <c r="I604" s="692"/>
      <c r="J604" s="692"/>
      <c r="K604" s="692"/>
      <c r="L604" s="692"/>
      <c r="M604" s="692"/>
      <c r="N604" s="692"/>
      <c r="O604" s="692"/>
      <c r="P604" s="692"/>
    </row>
    <row r="605" spans="9:16" s="523" customFormat="1" ht="13.15" customHeight="1" x14ac:dyDescent="0.2">
      <c r="I605" s="692"/>
      <c r="J605" s="692"/>
      <c r="K605" s="692"/>
      <c r="L605" s="692"/>
      <c r="M605" s="692"/>
      <c r="N605" s="692"/>
      <c r="O605" s="692"/>
      <c r="P605" s="692"/>
    </row>
    <row r="606" spans="9:16" s="523" customFormat="1" ht="13.15" customHeight="1" x14ac:dyDescent="0.2">
      <c r="I606" s="692"/>
      <c r="J606" s="692"/>
      <c r="K606" s="692"/>
      <c r="L606" s="692"/>
      <c r="M606" s="692"/>
      <c r="N606" s="692"/>
      <c r="O606" s="692"/>
      <c r="P606" s="692"/>
    </row>
    <row r="607" spans="9:16" s="523" customFormat="1" ht="13.15" customHeight="1" x14ac:dyDescent="0.2">
      <c r="I607" s="692"/>
      <c r="J607" s="692"/>
      <c r="K607" s="692"/>
      <c r="L607" s="692"/>
      <c r="M607" s="692"/>
      <c r="N607" s="692"/>
      <c r="O607" s="692"/>
      <c r="P607" s="692"/>
    </row>
    <row r="608" spans="9:16" s="523" customFormat="1" ht="13.15" customHeight="1" x14ac:dyDescent="0.2">
      <c r="I608" s="692"/>
      <c r="J608" s="692"/>
      <c r="K608" s="692"/>
      <c r="L608" s="692"/>
      <c r="M608" s="692"/>
      <c r="N608" s="692"/>
      <c r="O608" s="692"/>
      <c r="P608" s="692"/>
    </row>
    <row r="609" spans="9:16" s="523" customFormat="1" ht="13.15" customHeight="1" x14ac:dyDescent="0.2">
      <c r="I609" s="692"/>
      <c r="J609" s="692"/>
      <c r="K609" s="692"/>
      <c r="L609" s="692"/>
      <c r="M609" s="692"/>
      <c r="N609" s="692"/>
      <c r="O609" s="692"/>
      <c r="P609" s="692"/>
    </row>
    <row r="610" spans="9:16" s="523" customFormat="1" ht="13.15" customHeight="1" x14ac:dyDescent="0.2">
      <c r="I610" s="692"/>
      <c r="J610" s="692"/>
      <c r="K610" s="692"/>
      <c r="L610" s="692"/>
      <c r="M610" s="692"/>
      <c r="N610" s="692"/>
      <c r="O610" s="692"/>
      <c r="P610" s="692"/>
    </row>
    <row r="611" spans="9:16" s="523" customFormat="1" ht="13.15" customHeight="1" x14ac:dyDescent="0.2">
      <c r="I611" s="692"/>
      <c r="J611" s="692"/>
      <c r="K611" s="692"/>
      <c r="L611" s="692"/>
      <c r="M611" s="692"/>
      <c r="N611" s="692"/>
      <c r="O611" s="692"/>
      <c r="P611" s="692"/>
    </row>
    <row r="612" spans="9:16" s="523" customFormat="1" ht="13.15" customHeight="1" x14ac:dyDescent="0.2">
      <c r="I612" s="692"/>
      <c r="J612" s="692"/>
      <c r="K612" s="692"/>
      <c r="L612" s="692"/>
      <c r="M612" s="692"/>
      <c r="N612" s="692"/>
      <c r="O612" s="692"/>
      <c r="P612" s="692"/>
    </row>
    <row r="613" spans="9:16" s="523" customFormat="1" ht="13.15" customHeight="1" x14ac:dyDescent="0.2">
      <c r="I613" s="692"/>
      <c r="J613" s="692"/>
      <c r="K613" s="692"/>
      <c r="L613" s="692"/>
      <c r="M613" s="692"/>
      <c r="N613" s="692"/>
      <c r="O613" s="692"/>
      <c r="P613" s="692"/>
    </row>
    <row r="614" spans="9:16" s="523" customFormat="1" ht="13.15" customHeight="1" x14ac:dyDescent="0.2">
      <c r="I614" s="692"/>
      <c r="J614" s="692"/>
      <c r="K614" s="692"/>
      <c r="L614" s="692"/>
      <c r="M614" s="692"/>
      <c r="N614" s="692"/>
      <c r="O614" s="692"/>
      <c r="P614" s="692"/>
    </row>
    <row r="615" spans="9:16" s="523" customFormat="1" ht="13.15" customHeight="1" x14ac:dyDescent="0.2">
      <c r="I615" s="692"/>
      <c r="J615" s="692"/>
      <c r="K615" s="692"/>
      <c r="L615" s="692"/>
      <c r="M615" s="692"/>
      <c r="N615" s="692"/>
      <c r="O615" s="692"/>
      <c r="P615" s="692"/>
    </row>
    <row r="616" spans="9:16" s="523" customFormat="1" ht="13.15" customHeight="1" x14ac:dyDescent="0.2">
      <c r="I616" s="692"/>
      <c r="J616" s="692"/>
      <c r="K616" s="692"/>
      <c r="L616" s="692"/>
      <c r="M616" s="692"/>
      <c r="N616" s="692"/>
      <c r="O616" s="692"/>
      <c r="P616" s="692"/>
    </row>
    <row r="617" spans="9:16" s="523" customFormat="1" ht="13.15" customHeight="1" x14ac:dyDescent="0.2">
      <c r="I617" s="692"/>
      <c r="J617" s="692"/>
      <c r="K617" s="692"/>
      <c r="L617" s="692"/>
      <c r="M617" s="692"/>
      <c r="N617" s="692"/>
      <c r="O617" s="692"/>
      <c r="P617" s="692"/>
    </row>
    <row r="618" spans="9:16" s="523" customFormat="1" ht="13.15" customHeight="1" x14ac:dyDescent="0.2">
      <c r="I618" s="692"/>
      <c r="J618" s="692"/>
      <c r="K618" s="692"/>
      <c r="L618" s="692"/>
      <c r="M618" s="692"/>
      <c r="N618" s="692"/>
      <c r="O618" s="692"/>
      <c r="P618" s="692"/>
    </row>
    <row r="619" spans="9:16" s="523" customFormat="1" ht="13.15" customHeight="1" x14ac:dyDescent="0.2">
      <c r="I619" s="692"/>
      <c r="J619" s="692"/>
      <c r="K619" s="692"/>
      <c r="L619" s="692"/>
      <c r="M619" s="692"/>
      <c r="N619" s="692"/>
      <c r="O619" s="692"/>
      <c r="P619" s="692"/>
    </row>
    <row r="620" spans="9:16" s="523" customFormat="1" ht="13.15" customHeight="1" x14ac:dyDescent="0.2">
      <c r="I620" s="692"/>
      <c r="J620" s="692"/>
      <c r="K620" s="692"/>
      <c r="L620" s="692"/>
      <c r="M620" s="692"/>
      <c r="N620" s="692"/>
      <c r="O620" s="692"/>
      <c r="P620" s="692"/>
    </row>
    <row r="621" spans="9:16" s="523" customFormat="1" ht="13.15" customHeight="1" x14ac:dyDescent="0.2">
      <c r="I621" s="692"/>
      <c r="J621" s="692"/>
      <c r="K621" s="692"/>
      <c r="L621" s="692"/>
      <c r="M621" s="692"/>
      <c r="N621" s="692"/>
      <c r="O621" s="692"/>
      <c r="P621" s="692"/>
    </row>
    <row r="622" spans="9:16" s="523" customFormat="1" ht="13.15" customHeight="1" x14ac:dyDescent="0.2">
      <c r="I622" s="692"/>
      <c r="J622" s="692"/>
      <c r="K622" s="692"/>
      <c r="L622" s="692"/>
      <c r="M622" s="692"/>
      <c r="N622" s="692"/>
      <c r="O622" s="692"/>
      <c r="P622" s="692"/>
    </row>
    <row r="623" spans="9:16" s="523" customFormat="1" ht="13.15" customHeight="1" x14ac:dyDescent="0.2">
      <c r="I623" s="692"/>
      <c r="J623" s="692"/>
      <c r="K623" s="692"/>
      <c r="L623" s="692"/>
      <c r="M623" s="692"/>
      <c r="N623" s="692"/>
      <c r="O623" s="692"/>
      <c r="P623" s="692"/>
    </row>
    <row r="624" spans="9:16" s="523" customFormat="1" ht="13.15" customHeight="1" x14ac:dyDescent="0.2">
      <c r="I624" s="692"/>
      <c r="J624" s="692"/>
      <c r="K624" s="692"/>
      <c r="L624" s="692"/>
      <c r="M624" s="692"/>
      <c r="N624" s="692"/>
      <c r="O624" s="692"/>
      <c r="P624" s="692"/>
    </row>
    <row r="625" spans="9:16" s="523" customFormat="1" ht="13.15" customHeight="1" x14ac:dyDescent="0.2">
      <c r="I625" s="692"/>
      <c r="J625" s="692"/>
      <c r="K625" s="692"/>
      <c r="L625" s="692"/>
      <c r="M625" s="692"/>
      <c r="N625" s="692"/>
      <c r="O625" s="692"/>
      <c r="P625" s="692"/>
    </row>
    <row r="626" spans="9:16" s="523" customFormat="1" ht="13.15" customHeight="1" x14ac:dyDescent="0.2">
      <c r="I626" s="692"/>
      <c r="J626" s="692"/>
      <c r="K626" s="692"/>
      <c r="L626" s="692"/>
      <c r="M626" s="692"/>
      <c r="N626" s="692"/>
      <c r="O626" s="692"/>
      <c r="P626" s="692"/>
    </row>
    <row r="627" spans="9:16" s="523" customFormat="1" ht="13.15" customHeight="1" x14ac:dyDescent="0.2">
      <c r="I627" s="692"/>
      <c r="J627" s="692"/>
      <c r="K627" s="692"/>
      <c r="L627" s="692"/>
      <c r="M627" s="692"/>
      <c r="N627" s="692"/>
      <c r="O627" s="692"/>
      <c r="P627" s="692"/>
    </row>
    <row r="628" spans="9:16" s="523" customFormat="1" ht="13.15" customHeight="1" x14ac:dyDescent="0.2">
      <c r="I628" s="692"/>
      <c r="J628" s="692"/>
      <c r="K628" s="692"/>
      <c r="L628" s="692"/>
      <c r="M628" s="692"/>
      <c r="N628" s="692"/>
      <c r="O628" s="692"/>
      <c r="P628" s="692"/>
    </row>
    <row r="629" spans="9:16" s="523" customFormat="1" ht="13.15" customHeight="1" x14ac:dyDescent="0.2">
      <c r="I629" s="692"/>
      <c r="J629" s="692"/>
      <c r="K629" s="692"/>
      <c r="L629" s="692"/>
      <c r="M629" s="692"/>
      <c r="N629" s="692"/>
      <c r="O629" s="692"/>
      <c r="P629" s="692"/>
    </row>
    <row r="630" spans="9:16" s="523" customFormat="1" ht="13.15" customHeight="1" x14ac:dyDescent="0.2">
      <c r="I630" s="692"/>
      <c r="J630" s="692"/>
      <c r="K630" s="692"/>
      <c r="L630" s="692"/>
      <c r="M630" s="692"/>
      <c r="N630" s="692"/>
      <c r="O630" s="692"/>
      <c r="P630" s="692"/>
    </row>
    <row r="631" spans="9:16" s="523" customFormat="1" ht="13.15" customHeight="1" x14ac:dyDescent="0.2">
      <c r="I631" s="692"/>
      <c r="J631" s="692"/>
      <c r="K631" s="692"/>
      <c r="L631" s="692"/>
      <c r="M631" s="692"/>
      <c r="N631" s="692"/>
      <c r="O631" s="692"/>
      <c r="P631" s="692"/>
    </row>
    <row r="632" spans="9:16" s="523" customFormat="1" ht="13.15" customHeight="1" x14ac:dyDescent="0.2">
      <c r="I632" s="692"/>
      <c r="J632" s="692"/>
      <c r="K632" s="692"/>
      <c r="L632" s="692"/>
      <c r="M632" s="692"/>
      <c r="N632" s="692"/>
      <c r="O632" s="692"/>
      <c r="P632" s="692"/>
    </row>
    <row r="633" spans="9:16" s="523" customFormat="1" ht="13.15" customHeight="1" x14ac:dyDescent="0.2">
      <c r="I633" s="692"/>
      <c r="J633" s="692"/>
      <c r="K633" s="692"/>
      <c r="L633" s="692"/>
      <c r="M633" s="692"/>
      <c r="N633" s="692"/>
      <c r="O633" s="692"/>
      <c r="P633" s="692"/>
    </row>
    <row r="634" spans="9:16" s="523" customFormat="1" ht="13.15" customHeight="1" x14ac:dyDescent="0.2">
      <c r="I634" s="692"/>
      <c r="J634" s="692"/>
      <c r="K634" s="692"/>
      <c r="L634" s="692"/>
      <c r="M634" s="692"/>
      <c r="N634" s="692"/>
      <c r="O634" s="692"/>
      <c r="P634" s="692"/>
    </row>
    <row r="635" spans="9:16" s="523" customFormat="1" ht="13.15" customHeight="1" x14ac:dyDescent="0.2">
      <c r="I635" s="692"/>
      <c r="J635" s="692"/>
      <c r="K635" s="692"/>
      <c r="L635" s="692"/>
      <c r="M635" s="692"/>
      <c r="N635" s="692"/>
      <c r="O635" s="692"/>
      <c r="P635" s="692"/>
    </row>
    <row r="636" spans="9:16" s="523" customFormat="1" ht="13.15" customHeight="1" x14ac:dyDescent="0.2">
      <c r="I636" s="692"/>
      <c r="J636" s="692"/>
      <c r="K636" s="692"/>
      <c r="L636" s="692"/>
      <c r="M636" s="692"/>
      <c r="N636" s="692"/>
      <c r="O636" s="692"/>
      <c r="P636" s="692"/>
    </row>
    <row r="637" spans="9:16" s="523" customFormat="1" ht="13.15" customHeight="1" x14ac:dyDescent="0.2">
      <c r="I637" s="692"/>
      <c r="J637" s="692"/>
      <c r="K637" s="692"/>
      <c r="L637" s="692"/>
      <c r="M637" s="692"/>
      <c r="N637" s="692"/>
      <c r="O637" s="692"/>
      <c r="P637" s="692"/>
    </row>
    <row r="638" spans="9:16" s="523" customFormat="1" ht="13.15" customHeight="1" x14ac:dyDescent="0.2">
      <c r="I638" s="692"/>
      <c r="J638" s="692"/>
      <c r="K638" s="692"/>
      <c r="L638" s="692"/>
      <c r="M638" s="692"/>
      <c r="N638" s="692"/>
      <c r="O638" s="692"/>
      <c r="P638" s="692"/>
    </row>
    <row r="639" spans="9:16" s="523" customFormat="1" ht="13.15" customHeight="1" x14ac:dyDescent="0.2">
      <c r="I639" s="692"/>
      <c r="J639" s="692"/>
      <c r="K639" s="692"/>
      <c r="L639" s="692"/>
      <c r="M639" s="692"/>
      <c r="N639" s="692"/>
      <c r="O639" s="692"/>
      <c r="P639" s="692"/>
    </row>
    <row r="640" spans="9:16" s="523" customFormat="1" ht="13.15" customHeight="1" x14ac:dyDescent="0.2">
      <c r="I640" s="692"/>
      <c r="J640" s="692"/>
      <c r="K640" s="692"/>
      <c r="L640" s="692"/>
      <c r="M640" s="692"/>
      <c r="N640" s="692"/>
      <c r="O640" s="692"/>
      <c r="P640" s="692"/>
    </row>
    <row r="641" spans="9:16" s="523" customFormat="1" ht="13.15" customHeight="1" x14ac:dyDescent="0.2">
      <c r="I641" s="692"/>
      <c r="J641" s="692"/>
      <c r="K641" s="692"/>
      <c r="L641" s="692"/>
      <c r="M641" s="692"/>
      <c r="N641" s="692"/>
      <c r="O641" s="692"/>
      <c r="P641" s="692"/>
    </row>
    <row r="642" spans="9:16" s="523" customFormat="1" ht="13.15" customHeight="1" x14ac:dyDescent="0.2">
      <c r="I642" s="692"/>
      <c r="J642" s="692"/>
      <c r="K642" s="692"/>
      <c r="L642" s="692"/>
      <c r="M642" s="692"/>
      <c r="N642" s="692"/>
      <c r="O642" s="692"/>
      <c r="P642" s="692"/>
    </row>
    <row r="643" spans="9:16" s="523" customFormat="1" ht="13.15" customHeight="1" x14ac:dyDescent="0.2">
      <c r="I643" s="692"/>
      <c r="J643" s="692"/>
      <c r="K643" s="692"/>
      <c r="L643" s="692"/>
      <c r="M643" s="692"/>
      <c r="N643" s="692"/>
      <c r="O643" s="692"/>
      <c r="P643" s="692"/>
    </row>
    <row r="644" spans="9:16" s="523" customFormat="1" ht="13.15" customHeight="1" x14ac:dyDescent="0.2">
      <c r="I644" s="692"/>
      <c r="J644" s="692"/>
      <c r="K644" s="692"/>
      <c r="L644" s="692"/>
      <c r="M644" s="692"/>
      <c r="N644" s="692"/>
      <c r="O644" s="692"/>
      <c r="P644" s="692"/>
    </row>
    <row r="645" spans="9:16" s="523" customFormat="1" ht="13.15" customHeight="1" x14ac:dyDescent="0.2">
      <c r="I645" s="692"/>
      <c r="J645" s="692"/>
      <c r="K645" s="692"/>
      <c r="L645" s="692"/>
      <c r="M645" s="692"/>
      <c r="N645" s="692"/>
      <c r="O645" s="692"/>
      <c r="P645" s="692"/>
    </row>
    <row r="646" spans="9:16" s="523" customFormat="1" ht="13.15" customHeight="1" x14ac:dyDescent="0.2">
      <c r="I646" s="692"/>
      <c r="J646" s="692"/>
      <c r="K646" s="692"/>
      <c r="L646" s="692"/>
      <c r="M646" s="692"/>
      <c r="N646" s="692"/>
      <c r="O646" s="692"/>
      <c r="P646" s="692"/>
    </row>
    <row r="647" spans="9:16" s="523" customFormat="1" ht="13.15" customHeight="1" x14ac:dyDescent="0.2">
      <c r="I647" s="692"/>
      <c r="J647" s="692"/>
      <c r="K647" s="692"/>
      <c r="L647" s="692"/>
      <c r="M647" s="692"/>
      <c r="N647" s="692"/>
      <c r="O647" s="692"/>
      <c r="P647" s="692"/>
    </row>
    <row r="648" spans="9:16" s="523" customFormat="1" ht="13.15" customHeight="1" x14ac:dyDescent="0.2">
      <c r="I648" s="692"/>
      <c r="J648" s="692"/>
      <c r="K648" s="692"/>
      <c r="L648" s="692"/>
      <c r="M648" s="692"/>
      <c r="N648" s="692"/>
      <c r="O648" s="692"/>
      <c r="P648" s="692"/>
    </row>
    <row r="649" spans="9:16" s="523" customFormat="1" ht="13.15" customHeight="1" x14ac:dyDescent="0.2">
      <c r="I649" s="692"/>
      <c r="J649" s="692"/>
      <c r="K649" s="692"/>
      <c r="L649" s="692"/>
      <c r="M649" s="692"/>
      <c r="N649" s="692"/>
      <c r="O649" s="692"/>
      <c r="P649" s="692"/>
    </row>
    <row r="650" spans="9:16" s="523" customFormat="1" ht="13.15" customHeight="1" x14ac:dyDescent="0.2">
      <c r="I650" s="692"/>
      <c r="J650" s="692"/>
      <c r="K650" s="692"/>
      <c r="L650" s="692"/>
      <c r="M650" s="692"/>
      <c r="N650" s="692"/>
      <c r="O650" s="692"/>
      <c r="P650" s="692"/>
    </row>
    <row r="651" spans="9:16" s="523" customFormat="1" ht="13.15" customHeight="1" x14ac:dyDescent="0.2">
      <c r="I651" s="692"/>
      <c r="J651" s="692"/>
      <c r="K651" s="692"/>
      <c r="L651" s="692"/>
      <c r="M651" s="692"/>
      <c r="N651" s="692"/>
      <c r="O651" s="692"/>
      <c r="P651" s="692"/>
    </row>
    <row r="652" spans="9:16" s="523" customFormat="1" ht="13.15" customHeight="1" x14ac:dyDescent="0.2">
      <c r="I652" s="692"/>
      <c r="J652" s="692"/>
      <c r="K652" s="692"/>
      <c r="L652" s="692"/>
      <c r="M652" s="692"/>
      <c r="N652" s="692"/>
      <c r="O652" s="692"/>
      <c r="P652" s="692"/>
    </row>
    <row r="653" spans="9:16" s="523" customFormat="1" ht="13.15" customHeight="1" x14ac:dyDescent="0.2">
      <c r="I653" s="692"/>
      <c r="J653" s="692"/>
      <c r="K653" s="692"/>
      <c r="L653" s="692"/>
      <c r="M653" s="692"/>
      <c r="N653" s="692"/>
      <c r="O653" s="692"/>
      <c r="P653" s="692"/>
    </row>
    <row r="654" spans="9:16" s="523" customFormat="1" ht="13.15" customHeight="1" x14ac:dyDescent="0.2">
      <c r="I654" s="692"/>
      <c r="J654" s="692"/>
      <c r="K654" s="692"/>
      <c r="L654" s="692"/>
      <c r="M654" s="692"/>
      <c r="N654" s="692"/>
      <c r="O654" s="692"/>
      <c r="P654" s="692"/>
    </row>
    <row r="655" spans="9:16" s="523" customFormat="1" ht="13.15" customHeight="1" x14ac:dyDescent="0.2">
      <c r="I655" s="692"/>
      <c r="J655" s="692"/>
      <c r="K655" s="692"/>
      <c r="L655" s="692"/>
      <c r="M655" s="692"/>
      <c r="N655" s="692"/>
      <c r="O655" s="692"/>
      <c r="P655" s="692"/>
    </row>
    <row r="656" spans="9:16" s="523" customFormat="1" ht="13.15" customHeight="1" x14ac:dyDescent="0.2">
      <c r="I656" s="692"/>
      <c r="J656" s="692"/>
      <c r="K656" s="692"/>
      <c r="L656" s="692"/>
      <c r="M656" s="692"/>
      <c r="N656" s="692"/>
      <c r="O656" s="692"/>
      <c r="P656" s="692"/>
    </row>
    <row r="657" spans="9:16" s="523" customFormat="1" ht="13.15" customHeight="1" x14ac:dyDescent="0.2">
      <c r="I657" s="692"/>
      <c r="J657" s="692"/>
      <c r="K657" s="692"/>
      <c r="L657" s="692"/>
      <c r="M657" s="692"/>
      <c r="N657" s="692"/>
      <c r="O657" s="692"/>
      <c r="P657" s="692"/>
    </row>
    <row r="658" spans="9:16" s="523" customFormat="1" ht="13.15" customHeight="1" x14ac:dyDescent="0.2">
      <c r="I658" s="692"/>
      <c r="J658" s="692"/>
      <c r="K658" s="692"/>
      <c r="L658" s="692"/>
      <c r="M658" s="692"/>
      <c r="N658" s="692"/>
      <c r="O658" s="692"/>
      <c r="P658" s="692"/>
    </row>
    <row r="659" spans="9:16" s="523" customFormat="1" ht="13.15" customHeight="1" x14ac:dyDescent="0.2">
      <c r="I659" s="692"/>
      <c r="J659" s="692"/>
      <c r="K659" s="692"/>
      <c r="L659" s="692"/>
      <c r="M659" s="692"/>
      <c r="N659" s="692"/>
      <c r="O659" s="692"/>
      <c r="P659" s="692"/>
    </row>
    <row r="660" spans="9:16" s="523" customFormat="1" ht="13.15" customHeight="1" x14ac:dyDescent="0.2">
      <c r="I660" s="692"/>
      <c r="J660" s="692"/>
      <c r="K660" s="692"/>
      <c r="L660" s="692"/>
      <c r="M660" s="692"/>
      <c r="N660" s="692"/>
      <c r="O660" s="692"/>
      <c r="P660" s="692"/>
    </row>
    <row r="661" spans="9:16" s="523" customFormat="1" ht="13.15" customHeight="1" x14ac:dyDescent="0.2">
      <c r="I661" s="692"/>
      <c r="J661" s="692"/>
      <c r="K661" s="692"/>
      <c r="L661" s="692"/>
      <c r="M661" s="692"/>
      <c r="N661" s="692"/>
      <c r="O661" s="692"/>
      <c r="P661" s="692"/>
    </row>
    <row r="662" spans="9:16" s="523" customFormat="1" ht="13.15" customHeight="1" x14ac:dyDescent="0.2">
      <c r="I662" s="692"/>
      <c r="J662" s="692"/>
      <c r="K662" s="692"/>
      <c r="L662" s="692"/>
      <c r="M662" s="692"/>
      <c r="N662" s="692"/>
      <c r="O662" s="692"/>
      <c r="P662" s="692"/>
    </row>
    <row r="663" spans="9:16" s="523" customFormat="1" ht="13.15" customHeight="1" x14ac:dyDescent="0.2">
      <c r="I663" s="692"/>
      <c r="J663" s="692"/>
      <c r="K663" s="692"/>
      <c r="L663" s="692"/>
      <c r="M663" s="692"/>
      <c r="N663" s="692"/>
      <c r="O663" s="692"/>
      <c r="P663" s="692"/>
    </row>
    <row r="664" spans="9:16" s="523" customFormat="1" ht="13.15" customHeight="1" x14ac:dyDescent="0.2">
      <c r="I664" s="692"/>
      <c r="J664" s="692"/>
      <c r="K664" s="692"/>
      <c r="L664" s="692"/>
      <c r="M664" s="692"/>
      <c r="N664" s="692"/>
      <c r="O664" s="692"/>
      <c r="P664" s="692"/>
    </row>
    <row r="665" spans="9:16" s="523" customFormat="1" ht="13.15" customHeight="1" x14ac:dyDescent="0.2">
      <c r="I665" s="692"/>
      <c r="J665" s="692"/>
      <c r="K665" s="692"/>
      <c r="L665" s="692"/>
      <c r="M665" s="692"/>
      <c r="N665" s="692"/>
      <c r="O665" s="692"/>
      <c r="P665" s="692"/>
    </row>
    <row r="666" spans="9:16" s="523" customFormat="1" ht="13.15" customHeight="1" x14ac:dyDescent="0.2">
      <c r="I666" s="692"/>
      <c r="J666" s="692"/>
      <c r="K666" s="692"/>
      <c r="L666" s="692"/>
      <c r="M666" s="692"/>
      <c r="N666" s="692"/>
      <c r="O666" s="692"/>
      <c r="P666" s="692"/>
    </row>
    <row r="667" spans="9:16" s="523" customFormat="1" ht="13.15" customHeight="1" x14ac:dyDescent="0.2">
      <c r="I667" s="692"/>
      <c r="J667" s="692"/>
      <c r="K667" s="692"/>
      <c r="L667" s="692"/>
      <c r="M667" s="692"/>
      <c r="N667" s="692"/>
      <c r="O667" s="692"/>
      <c r="P667" s="692"/>
    </row>
    <row r="668" spans="9:16" s="523" customFormat="1" ht="13.15" customHeight="1" x14ac:dyDescent="0.2">
      <c r="I668" s="692"/>
      <c r="J668" s="692"/>
      <c r="K668" s="692"/>
      <c r="L668" s="692"/>
      <c r="M668" s="692"/>
      <c r="N668" s="692"/>
      <c r="O668" s="692"/>
      <c r="P668" s="692"/>
    </row>
    <row r="669" spans="9:16" s="523" customFormat="1" ht="13.15" customHeight="1" x14ac:dyDescent="0.2">
      <c r="I669" s="692"/>
      <c r="J669" s="692"/>
      <c r="K669" s="692"/>
      <c r="L669" s="692"/>
      <c r="M669" s="692"/>
      <c r="N669" s="692"/>
      <c r="O669" s="692"/>
      <c r="P669" s="692"/>
    </row>
    <row r="670" spans="9:16" s="523" customFormat="1" ht="13.15" customHeight="1" x14ac:dyDescent="0.2">
      <c r="I670" s="692"/>
      <c r="J670" s="692"/>
      <c r="K670" s="692"/>
      <c r="L670" s="692"/>
      <c r="M670" s="692"/>
      <c r="N670" s="692"/>
      <c r="O670" s="692"/>
      <c r="P670" s="692"/>
    </row>
    <row r="671" spans="9:16" s="523" customFormat="1" ht="13.15" customHeight="1" x14ac:dyDescent="0.2">
      <c r="I671" s="692"/>
      <c r="J671" s="692"/>
      <c r="K671" s="692"/>
      <c r="L671" s="692"/>
      <c r="M671" s="692"/>
      <c r="N671" s="692"/>
      <c r="O671" s="692"/>
      <c r="P671" s="692"/>
    </row>
    <row r="672" spans="9:16" s="523" customFormat="1" ht="13.15" customHeight="1" x14ac:dyDescent="0.2">
      <c r="I672" s="692"/>
      <c r="J672" s="692"/>
      <c r="K672" s="692"/>
      <c r="L672" s="692"/>
      <c r="M672" s="692"/>
      <c r="N672" s="692"/>
      <c r="O672" s="692"/>
      <c r="P672" s="692"/>
    </row>
    <row r="673" spans="9:16" s="523" customFormat="1" ht="13.15" customHeight="1" x14ac:dyDescent="0.2">
      <c r="I673" s="692"/>
      <c r="J673" s="692"/>
      <c r="K673" s="692"/>
      <c r="L673" s="692"/>
      <c r="M673" s="692"/>
      <c r="N673" s="692"/>
      <c r="O673" s="692"/>
      <c r="P673" s="692"/>
    </row>
    <row r="674" spans="9:16" s="523" customFormat="1" ht="13.15" customHeight="1" x14ac:dyDescent="0.2">
      <c r="I674" s="692"/>
      <c r="J674" s="692"/>
      <c r="K674" s="692"/>
      <c r="L674" s="692"/>
      <c r="M674" s="692"/>
      <c r="N674" s="692"/>
      <c r="O674" s="692"/>
      <c r="P674" s="692"/>
    </row>
    <row r="675" spans="9:16" s="523" customFormat="1" ht="13.15" customHeight="1" x14ac:dyDescent="0.2">
      <c r="I675" s="692"/>
      <c r="J675" s="692"/>
      <c r="K675" s="692"/>
      <c r="L675" s="692"/>
      <c r="M675" s="692"/>
      <c r="N675" s="692"/>
      <c r="O675" s="692"/>
      <c r="P675" s="692"/>
    </row>
    <row r="676" spans="9:16" s="523" customFormat="1" ht="13.15" customHeight="1" x14ac:dyDescent="0.2">
      <c r="I676" s="692"/>
      <c r="J676" s="692"/>
      <c r="K676" s="692"/>
      <c r="L676" s="692"/>
      <c r="M676" s="692"/>
      <c r="N676" s="692"/>
      <c r="O676" s="692"/>
      <c r="P676" s="692"/>
    </row>
    <row r="677" spans="9:16" s="523" customFormat="1" ht="13.15" customHeight="1" x14ac:dyDescent="0.2">
      <c r="I677" s="692"/>
      <c r="J677" s="692"/>
      <c r="K677" s="692"/>
      <c r="L677" s="692"/>
      <c r="M677" s="692"/>
      <c r="N677" s="692"/>
      <c r="O677" s="692"/>
      <c r="P677" s="692"/>
    </row>
    <row r="678" spans="9:16" s="523" customFormat="1" ht="13.15" customHeight="1" x14ac:dyDescent="0.2">
      <c r="I678" s="692"/>
      <c r="J678" s="692"/>
      <c r="K678" s="692"/>
      <c r="L678" s="692"/>
      <c r="M678" s="692"/>
      <c r="N678" s="692"/>
      <c r="O678" s="692"/>
      <c r="P678" s="692"/>
    </row>
    <row r="679" spans="9:16" s="523" customFormat="1" ht="13.15" customHeight="1" x14ac:dyDescent="0.2">
      <c r="I679" s="692"/>
      <c r="J679" s="692"/>
      <c r="K679" s="692"/>
      <c r="L679" s="692"/>
      <c r="M679" s="692"/>
      <c r="N679" s="692"/>
      <c r="O679" s="692"/>
      <c r="P679" s="692"/>
    </row>
    <row r="680" spans="9:16" s="523" customFormat="1" ht="13.15" customHeight="1" x14ac:dyDescent="0.2">
      <c r="I680" s="692"/>
      <c r="J680" s="692"/>
      <c r="K680" s="692"/>
      <c r="L680" s="692"/>
      <c r="M680" s="692"/>
      <c r="N680" s="692"/>
      <c r="O680" s="692"/>
      <c r="P680" s="692"/>
    </row>
    <row r="681" spans="9:16" s="523" customFormat="1" ht="13.15" customHeight="1" x14ac:dyDescent="0.2">
      <c r="I681" s="692"/>
      <c r="J681" s="692"/>
      <c r="K681" s="692"/>
      <c r="L681" s="692"/>
      <c r="M681" s="692"/>
      <c r="N681" s="692"/>
      <c r="O681" s="692"/>
      <c r="P681" s="692"/>
    </row>
    <row r="682" spans="9:16" s="523" customFormat="1" ht="13.15" customHeight="1" x14ac:dyDescent="0.2">
      <c r="I682" s="692"/>
      <c r="J682" s="692"/>
      <c r="K682" s="692"/>
      <c r="L682" s="692"/>
      <c r="M682" s="692"/>
      <c r="N682" s="692"/>
      <c r="O682" s="692"/>
      <c r="P682" s="692"/>
    </row>
    <row r="683" spans="9:16" s="523" customFormat="1" ht="13.15" customHeight="1" x14ac:dyDescent="0.2">
      <c r="I683" s="692"/>
      <c r="J683" s="692"/>
      <c r="K683" s="692"/>
      <c r="L683" s="692"/>
      <c r="M683" s="692"/>
      <c r="N683" s="692"/>
      <c r="O683" s="692"/>
      <c r="P683" s="692"/>
    </row>
    <row r="684" spans="9:16" s="523" customFormat="1" ht="13.15" customHeight="1" x14ac:dyDescent="0.2">
      <c r="I684" s="692"/>
      <c r="J684" s="692"/>
      <c r="K684" s="692"/>
      <c r="L684" s="692"/>
      <c r="M684" s="692"/>
      <c r="N684" s="692"/>
      <c r="O684" s="692"/>
      <c r="P684" s="692"/>
    </row>
    <row r="685" spans="9:16" s="523" customFormat="1" ht="13.15" customHeight="1" x14ac:dyDescent="0.2">
      <c r="I685" s="692"/>
      <c r="J685" s="692"/>
      <c r="K685" s="692"/>
      <c r="L685" s="692"/>
      <c r="M685" s="692"/>
      <c r="N685" s="692"/>
      <c r="O685" s="692"/>
      <c r="P685" s="692"/>
    </row>
    <row r="686" spans="9:16" s="523" customFormat="1" ht="13.15" customHeight="1" x14ac:dyDescent="0.2">
      <c r="I686" s="692"/>
      <c r="J686" s="692"/>
      <c r="K686" s="692"/>
      <c r="L686" s="692"/>
      <c r="M686" s="692"/>
      <c r="N686" s="692"/>
      <c r="O686" s="692"/>
      <c r="P686" s="692"/>
    </row>
    <row r="687" spans="9:16" s="523" customFormat="1" ht="13.15" customHeight="1" x14ac:dyDescent="0.2">
      <c r="I687" s="692"/>
      <c r="J687" s="692"/>
      <c r="K687" s="692"/>
      <c r="L687" s="692"/>
      <c r="M687" s="692"/>
      <c r="N687" s="692"/>
      <c r="O687" s="692"/>
      <c r="P687" s="692"/>
    </row>
    <row r="688" spans="9:16" s="523" customFormat="1" ht="13.15" customHeight="1" x14ac:dyDescent="0.2">
      <c r="I688" s="692"/>
      <c r="J688" s="692"/>
      <c r="K688" s="692"/>
      <c r="L688" s="692"/>
      <c r="M688" s="692"/>
      <c r="N688" s="692"/>
      <c r="O688" s="692"/>
      <c r="P688" s="692"/>
    </row>
    <row r="689" spans="9:16" s="523" customFormat="1" ht="13.15" customHeight="1" x14ac:dyDescent="0.2">
      <c r="I689" s="692"/>
      <c r="J689" s="692"/>
      <c r="K689" s="692"/>
      <c r="L689" s="692"/>
      <c r="M689" s="692"/>
      <c r="N689" s="692"/>
      <c r="O689" s="692"/>
      <c r="P689" s="692"/>
    </row>
    <row r="690" spans="9:16" s="523" customFormat="1" ht="13.15" customHeight="1" x14ac:dyDescent="0.2">
      <c r="I690" s="692"/>
      <c r="J690" s="692"/>
      <c r="K690" s="692"/>
      <c r="L690" s="692"/>
      <c r="M690" s="692"/>
      <c r="N690" s="692"/>
      <c r="O690" s="692"/>
      <c r="P690" s="692"/>
    </row>
    <row r="691" spans="9:16" s="523" customFormat="1" ht="13.15" customHeight="1" x14ac:dyDescent="0.2">
      <c r="I691" s="692"/>
      <c r="J691" s="692"/>
      <c r="K691" s="692"/>
      <c r="L691" s="692"/>
      <c r="M691" s="692"/>
      <c r="N691" s="692"/>
      <c r="O691" s="692"/>
      <c r="P691" s="692"/>
    </row>
    <row r="692" spans="9:16" s="523" customFormat="1" ht="13.15" customHeight="1" x14ac:dyDescent="0.2">
      <c r="I692" s="692"/>
      <c r="J692" s="692"/>
      <c r="K692" s="692"/>
      <c r="L692" s="692"/>
      <c r="M692" s="692"/>
      <c r="N692" s="692"/>
      <c r="O692" s="692"/>
      <c r="P692" s="692"/>
    </row>
    <row r="693" spans="9:16" s="523" customFormat="1" ht="13.15" customHeight="1" x14ac:dyDescent="0.2">
      <c r="I693" s="692"/>
      <c r="J693" s="692"/>
      <c r="K693" s="692"/>
      <c r="L693" s="692"/>
      <c r="M693" s="692"/>
      <c r="N693" s="692"/>
      <c r="O693" s="692"/>
      <c r="P693" s="692"/>
    </row>
    <row r="694" spans="9:16" s="523" customFormat="1" ht="13.15" customHeight="1" x14ac:dyDescent="0.2">
      <c r="I694" s="692"/>
      <c r="J694" s="692"/>
      <c r="K694" s="692"/>
      <c r="L694" s="692"/>
      <c r="M694" s="692"/>
      <c r="N694" s="692"/>
      <c r="O694" s="692"/>
      <c r="P694" s="692"/>
    </row>
    <row r="695" spans="9:16" s="523" customFormat="1" ht="13.15" customHeight="1" x14ac:dyDescent="0.2">
      <c r="I695" s="692"/>
      <c r="J695" s="692"/>
      <c r="K695" s="692"/>
      <c r="L695" s="692"/>
      <c r="M695" s="692"/>
      <c r="N695" s="692"/>
      <c r="O695" s="692"/>
      <c r="P695" s="692"/>
    </row>
    <row r="696" spans="9:16" s="523" customFormat="1" ht="13.15" customHeight="1" x14ac:dyDescent="0.2">
      <c r="I696" s="692"/>
      <c r="J696" s="692"/>
      <c r="K696" s="692"/>
      <c r="L696" s="692"/>
      <c r="M696" s="692"/>
      <c r="N696" s="692"/>
      <c r="O696" s="692"/>
      <c r="P696" s="692"/>
    </row>
    <row r="697" spans="9:16" s="523" customFormat="1" ht="13.15" customHeight="1" x14ac:dyDescent="0.2">
      <c r="I697" s="692"/>
      <c r="J697" s="692"/>
      <c r="K697" s="692"/>
      <c r="L697" s="692"/>
      <c r="M697" s="692"/>
      <c r="N697" s="692"/>
      <c r="O697" s="692"/>
      <c r="P697" s="692"/>
    </row>
    <row r="698" spans="9:16" s="523" customFormat="1" ht="13.15" customHeight="1" x14ac:dyDescent="0.2">
      <c r="I698" s="692"/>
      <c r="J698" s="692"/>
      <c r="K698" s="692"/>
      <c r="L698" s="692"/>
      <c r="M698" s="692"/>
      <c r="N698" s="692"/>
      <c r="O698" s="692"/>
      <c r="P698" s="692"/>
    </row>
    <row r="699" spans="9:16" s="523" customFormat="1" ht="13.15" customHeight="1" x14ac:dyDescent="0.2">
      <c r="I699" s="692"/>
      <c r="J699" s="692"/>
      <c r="K699" s="692"/>
      <c r="L699" s="692"/>
      <c r="M699" s="692"/>
      <c r="N699" s="692"/>
      <c r="O699" s="692"/>
      <c r="P699" s="692"/>
    </row>
    <row r="700" spans="9:16" s="523" customFormat="1" ht="13.15" customHeight="1" x14ac:dyDescent="0.2">
      <c r="I700" s="692"/>
      <c r="J700" s="692"/>
      <c r="K700" s="692"/>
      <c r="L700" s="692"/>
      <c r="M700" s="692"/>
      <c r="N700" s="692"/>
      <c r="O700" s="692"/>
      <c r="P700" s="692"/>
    </row>
    <row r="701" spans="9:16" s="523" customFormat="1" ht="13.15" customHeight="1" x14ac:dyDescent="0.2">
      <c r="I701" s="692"/>
      <c r="J701" s="692"/>
      <c r="K701" s="692"/>
      <c r="L701" s="692"/>
      <c r="M701" s="692"/>
      <c r="N701" s="692"/>
      <c r="O701" s="692"/>
      <c r="P701" s="692"/>
    </row>
    <row r="702" spans="9:16" s="523" customFormat="1" ht="13.15" customHeight="1" x14ac:dyDescent="0.2">
      <c r="I702" s="692"/>
      <c r="J702" s="692"/>
      <c r="K702" s="692"/>
      <c r="L702" s="692"/>
      <c r="M702" s="692"/>
      <c r="N702" s="692"/>
      <c r="O702" s="692"/>
      <c r="P702" s="692"/>
    </row>
    <row r="703" spans="9:16" s="523" customFormat="1" ht="13.15" customHeight="1" x14ac:dyDescent="0.2">
      <c r="I703" s="692"/>
      <c r="J703" s="692"/>
      <c r="K703" s="692"/>
      <c r="L703" s="692"/>
      <c r="M703" s="692"/>
      <c r="N703" s="692"/>
      <c r="O703" s="692"/>
      <c r="P703" s="692"/>
    </row>
    <row r="704" spans="9:16" s="523" customFormat="1" ht="13.15" customHeight="1" x14ac:dyDescent="0.2">
      <c r="I704" s="692"/>
      <c r="J704" s="692"/>
      <c r="K704" s="692"/>
      <c r="L704" s="692"/>
      <c r="M704" s="692"/>
      <c r="N704" s="692"/>
      <c r="O704" s="692"/>
      <c r="P704" s="692"/>
    </row>
    <row r="705" spans="9:16" s="523" customFormat="1" ht="13.15" customHeight="1" x14ac:dyDescent="0.2">
      <c r="I705" s="692"/>
      <c r="J705" s="692"/>
      <c r="K705" s="692"/>
      <c r="L705" s="692"/>
      <c r="M705" s="692"/>
      <c r="N705" s="692"/>
      <c r="O705" s="692"/>
      <c r="P705" s="692"/>
    </row>
    <row r="706" spans="9:16" s="523" customFormat="1" ht="13.15" customHeight="1" x14ac:dyDescent="0.2">
      <c r="I706" s="692"/>
      <c r="J706" s="692"/>
      <c r="K706" s="692"/>
      <c r="L706" s="692"/>
      <c r="M706" s="692"/>
      <c r="N706" s="692"/>
      <c r="O706" s="692"/>
      <c r="P706" s="692"/>
    </row>
    <row r="707" spans="9:16" s="523" customFormat="1" ht="13.15" customHeight="1" x14ac:dyDescent="0.2">
      <c r="I707" s="692"/>
      <c r="J707" s="692"/>
      <c r="K707" s="692"/>
      <c r="L707" s="692"/>
      <c r="M707" s="692"/>
      <c r="N707" s="692"/>
      <c r="O707" s="692"/>
      <c r="P707" s="692"/>
    </row>
    <row r="708" spans="9:16" s="523" customFormat="1" ht="13.15" customHeight="1" x14ac:dyDescent="0.2">
      <c r="I708" s="692"/>
      <c r="J708" s="692"/>
      <c r="K708" s="692"/>
      <c r="L708" s="692"/>
      <c r="M708" s="692"/>
      <c r="N708" s="692"/>
      <c r="O708" s="692"/>
      <c r="P708" s="692"/>
    </row>
    <row r="709" spans="9:16" s="523" customFormat="1" ht="13.15" customHeight="1" x14ac:dyDescent="0.2">
      <c r="I709" s="692"/>
      <c r="J709" s="692"/>
      <c r="K709" s="692"/>
      <c r="L709" s="692"/>
      <c r="M709" s="692"/>
      <c r="N709" s="692"/>
      <c r="O709" s="692"/>
      <c r="P709" s="692"/>
    </row>
    <row r="710" spans="9:16" s="523" customFormat="1" ht="13.15" customHeight="1" x14ac:dyDescent="0.2">
      <c r="I710" s="692"/>
      <c r="J710" s="692"/>
      <c r="K710" s="692"/>
      <c r="L710" s="692"/>
      <c r="M710" s="692"/>
      <c r="N710" s="692"/>
      <c r="O710" s="692"/>
      <c r="P710" s="692"/>
    </row>
    <row r="711" spans="9:16" s="523" customFormat="1" ht="13.15" customHeight="1" x14ac:dyDescent="0.2">
      <c r="I711" s="692"/>
      <c r="J711" s="692"/>
      <c r="K711" s="692"/>
      <c r="L711" s="692"/>
      <c r="M711" s="692"/>
      <c r="N711" s="692"/>
      <c r="O711" s="692"/>
      <c r="P711" s="692"/>
    </row>
    <row r="712" spans="9:16" s="523" customFormat="1" ht="13.15" customHeight="1" x14ac:dyDescent="0.2">
      <c r="I712" s="692"/>
      <c r="J712" s="692"/>
      <c r="K712" s="692"/>
      <c r="L712" s="692"/>
      <c r="M712" s="692"/>
      <c r="N712" s="692"/>
      <c r="O712" s="692"/>
      <c r="P712" s="692"/>
    </row>
    <row r="713" spans="9:16" s="523" customFormat="1" ht="13.15" customHeight="1" x14ac:dyDescent="0.2">
      <c r="I713" s="692"/>
      <c r="J713" s="692"/>
      <c r="K713" s="692"/>
      <c r="L713" s="692"/>
      <c r="M713" s="692"/>
      <c r="N713" s="692"/>
      <c r="O713" s="692"/>
      <c r="P713" s="692"/>
    </row>
    <row r="714" spans="9:16" s="523" customFormat="1" ht="13.15" customHeight="1" x14ac:dyDescent="0.2">
      <c r="I714" s="692"/>
      <c r="J714" s="692"/>
      <c r="K714" s="692"/>
      <c r="L714" s="692"/>
      <c r="M714" s="692"/>
      <c r="N714" s="692"/>
      <c r="O714" s="692"/>
      <c r="P714" s="692"/>
    </row>
    <row r="715" spans="9:16" s="523" customFormat="1" ht="13.15" customHeight="1" x14ac:dyDescent="0.2">
      <c r="I715" s="692"/>
      <c r="J715" s="692"/>
      <c r="K715" s="692"/>
      <c r="L715" s="692"/>
      <c r="M715" s="692"/>
      <c r="N715" s="692"/>
      <c r="O715" s="692"/>
      <c r="P715" s="692"/>
    </row>
    <row r="716" spans="9:16" s="523" customFormat="1" ht="13.15" customHeight="1" x14ac:dyDescent="0.2">
      <c r="I716" s="692"/>
      <c r="J716" s="692"/>
      <c r="K716" s="692"/>
      <c r="L716" s="692"/>
      <c r="M716" s="692"/>
      <c r="N716" s="692"/>
      <c r="O716" s="692"/>
      <c r="P716" s="692"/>
    </row>
    <row r="717" spans="9:16" s="523" customFormat="1" ht="13.15" customHeight="1" x14ac:dyDescent="0.2">
      <c r="I717" s="692"/>
      <c r="J717" s="692"/>
      <c r="K717" s="692"/>
      <c r="L717" s="692"/>
      <c r="M717" s="692"/>
      <c r="N717" s="692"/>
      <c r="O717" s="692"/>
      <c r="P717" s="692"/>
    </row>
    <row r="718" spans="9:16" s="523" customFormat="1" ht="13.15" customHeight="1" x14ac:dyDescent="0.2">
      <c r="I718" s="692"/>
      <c r="J718" s="692"/>
      <c r="K718" s="692"/>
      <c r="L718" s="692"/>
      <c r="M718" s="692"/>
      <c r="N718" s="692"/>
      <c r="O718" s="692"/>
      <c r="P718" s="692"/>
    </row>
    <row r="719" spans="9:16" s="523" customFormat="1" ht="13.15" customHeight="1" x14ac:dyDescent="0.2">
      <c r="I719" s="692"/>
      <c r="J719" s="692"/>
      <c r="K719" s="692"/>
      <c r="L719" s="692"/>
      <c r="M719" s="692"/>
      <c r="N719" s="692"/>
      <c r="O719" s="692"/>
      <c r="P719" s="692"/>
    </row>
    <row r="720" spans="9:16" s="523" customFormat="1" ht="13.15" customHeight="1" x14ac:dyDescent="0.2">
      <c r="I720" s="692"/>
      <c r="J720" s="692"/>
      <c r="K720" s="692"/>
      <c r="L720" s="692"/>
      <c r="M720" s="692"/>
      <c r="N720" s="692"/>
      <c r="O720" s="692"/>
      <c r="P720" s="692"/>
    </row>
    <row r="721" spans="9:16" s="523" customFormat="1" ht="13.15" customHeight="1" x14ac:dyDescent="0.2">
      <c r="I721" s="692"/>
      <c r="J721" s="692"/>
      <c r="K721" s="692"/>
      <c r="L721" s="692"/>
      <c r="M721" s="692"/>
      <c r="N721" s="692"/>
      <c r="O721" s="692"/>
      <c r="P721" s="692"/>
    </row>
    <row r="722" spans="9:16" s="523" customFormat="1" ht="13.15" customHeight="1" x14ac:dyDescent="0.2">
      <c r="I722" s="692"/>
      <c r="J722" s="692"/>
      <c r="K722" s="692"/>
      <c r="L722" s="692"/>
      <c r="M722" s="692"/>
      <c r="N722" s="692"/>
      <c r="O722" s="692"/>
      <c r="P722" s="692"/>
    </row>
    <row r="723" spans="9:16" s="523" customFormat="1" ht="13.15" customHeight="1" x14ac:dyDescent="0.2">
      <c r="I723" s="692"/>
      <c r="J723" s="692"/>
      <c r="K723" s="692"/>
      <c r="L723" s="692"/>
      <c r="M723" s="692"/>
      <c r="N723" s="692"/>
      <c r="O723" s="692"/>
      <c r="P723" s="692"/>
    </row>
    <row r="724" spans="9:16" s="523" customFormat="1" ht="13.15" customHeight="1" x14ac:dyDescent="0.2">
      <c r="I724" s="692"/>
      <c r="J724" s="692"/>
      <c r="K724" s="692"/>
      <c r="L724" s="692"/>
      <c r="M724" s="692"/>
      <c r="N724" s="692"/>
      <c r="O724" s="692"/>
      <c r="P724" s="692"/>
    </row>
    <row r="725" spans="9:16" s="523" customFormat="1" ht="13.15" customHeight="1" x14ac:dyDescent="0.2">
      <c r="I725" s="692"/>
      <c r="J725" s="692"/>
      <c r="K725" s="692"/>
      <c r="L725" s="692"/>
      <c r="M725" s="692"/>
      <c r="N725" s="692"/>
      <c r="O725" s="692"/>
      <c r="P725" s="692"/>
    </row>
    <row r="726" spans="9:16" s="523" customFormat="1" ht="13.15" customHeight="1" x14ac:dyDescent="0.2">
      <c r="I726" s="692"/>
      <c r="J726" s="692"/>
      <c r="K726" s="692"/>
      <c r="L726" s="692"/>
      <c r="M726" s="692"/>
      <c r="N726" s="692"/>
      <c r="O726" s="692"/>
      <c r="P726" s="692"/>
    </row>
    <row r="727" spans="9:16" s="523" customFormat="1" ht="13.15" customHeight="1" x14ac:dyDescent="0.2">
      <c r="I727" s="692"/>
      <c r="J727" s="692"/>
      <c r="K727" s="692"/>
      <c r="L727" s="692"/>
      <c r="M727" s="692"/>
      <c r="N727" s="692"/>
      <c r="O727" s="692"/>
      <c r="P727" s="692"/>
    </row>
    <row r="728" spans="9:16" s="523" customFormat="1" ht="13.15" customHeight="1" x14ac:dyDescent="0.2">
      <c r="I728" s="692"/>
      <c r="J728" s="692"/>
      <c r="K728" s="692"/>
      <c r="L728" s="692"/>
      <c r="M728" s="692"/>
      <c r="N728" s="692"/>
      <c r="O728" s="692"/>
      <c r="P728" s="692"/>
    </row>
    <row r="729" spans="9:16" s="523" customFormat="1" ht="13.15" customHeight="1" x14ac:dyDescent="0.2">
      <c r="I729" s="692"/>
      <c r="J729" s="692"/>
      <c r="K729" s="692"/>
      <c r="L729" s="692"/>
      <c r="M729" s="692"/>
      <c r="N729" s="692"/>
      <c r="O729" s="692"/>
      <c r="P729" s="692"/>
    </row>
    <row r="730" spans="9:16" s="523" customFormat="1" ht="13.15" customHeight="1" x14ac:dyDescent="0.2">
      <c r="I730" s="692"/>
      <c r="J730" s="692"/>
      <c r="K730" s="692"/>
      <c r="L730" s="692"/>
      <c r="M730" s="692"/>
      <c r="N730" s="692"/>
      <c r="O730" s="692"/>
      <c r="P730" s="692"/>
    </row>
    <row r="731" spans="9:16" s="523" customFormat="1" ht="13.15" customHeight="1" x14ac:dyDescent="0.2">
      <c r="I731" s="692"/>
      <c r="J731" s="692"/>
      <c r="K731" s="692"/>
      <c r="L731" s="692"/>
      <c r="M731" s="692"/>
      <c r="N731" s="692"/>
      <c r="O731" s="692"/>
      <c r="P731" s="692"/>
    </row>
    <row r="732" spans="9:16" s="523" customFormat="1" ht="13.15" customHeight="1" x14ac:dyDescent="0.2">
      <c r="I732" s="692"/>
      <c r="J732" s="692"/>
      <c r="K732" s="692"/>
      <c r="L732" s="692"/>
      <c r="M732" s="692"/>
      <c r="N732" s="692"/>
      <c r="O732" s="692"/>
      <c r="P732" s="692"/>
    </row>
    <row r="733" spans="9:16" s="523" customFormat="1" ht="13.15" customHeight="1" x14ac:dyDescent="0.2">
      <c r="I733" s="692"/>
      <c r="J733" s="692"/>
      <c r="K733" s="692"/>
      <c r="L733" s="692"/>
      <c r="M733" s="692"/>
      <c r="N733" s="692"/>
      <c r="O733" s="692"/>
      <c r="P733" s="692"/>
    </row>
    <row r="734" spans="9:16" s="523" customFormat="1" ht="13.15" customHeight="1" x14ac:dyDescent="0.2">
      <c r="I734" s="692"/>
      <c r="J734" s="692"/>
      <c r="K734" s="692"/>
      <c r="L734" s="692"/>
      <c r="M734" s="692"/>
      <c r="N734" s="692"/>
      <c r="O734" s="692"/>
      <c r="P734" s="692"/>
    </row>
    <row r="735" spans="9:16" s="523" customFormat="1" ht="13.15" customHeight="1" x14ac:dyDescent="0.2">
      <c r="I735" s="692"/>
      <c r="J735" s="692"/>
      <c r="K735" s="692"/>
      <c r="L735" s="692"/>
      <c r="M735" s="692"/>
      <c r="N735" s="692"/>
      <c r="O735" s="692"/>
      <c r="P735" s="692"/>
    </row>
    <row r="736" spans="9:16" s="523" customFormat="1" ht="13.15" customHeight="1" x14ac:dyDescent="0.2">
      <c r="I736" s="692"/>
      <c r="J736" s="692"/>
      <c r="K736" s="692"/>
      <c r="L736" s="692"/>
      <c r="M736" s="692"/>
      <c r="N736" s="692"/>
      <c r="O736" s="692"/>
      <c r="P736" s="692"/>
    </row>
    <row r="737" spans="9:16" s="523" customFormat="1" ht="13.15" customHeight="1" x14ac:dyDescent="0.2">
      <c r="I737" s="692"/>
      <c r="J737" s="692"/>
      <c r="K737" s="692"/>
      <c r="L737" s="692"/>
      <c r="M737" s="692"/>
      <c r="N737" s="692"/>
      <c r="O737" s="692"/>
      <c r="P737" s="692"/>
    </row>
    <row r="738" spans="9:16" s="523" customFormat="1" ht="13.15" customHeight="1" x14ac:dyDescent="0.2">
      <c r="I738" s="692"/>
      <c r="J738" s="692"/>
      <c r="K738" s="692"/>
      <c r="L738" s="692"/>
      <c r="M738" s="692"/>
      <c r="N738" s="692"/>
      <c r="O738" s="692"/>
      <c r="P738" s="692"/>
    </row>
    <row r="739" spans="9:16" s="523" customFormat="1" ht="13.15" customHeight="1" x14ac:dyDescent="0.2">
      <c r="I739" s="692"/>
      <c r="J739" s="692"/>
      <c r="K739" s="692"/>
      <c r="L739" s="692"/>
      <c r="M739" s="692"/>
      <c r="N739" s="692"/>
      <c r="O739" s="692"/>
      <c r="P739" s="692"/>
    </row>
    <row r="740" spans="9:16" s="523" customFormat="1" ht="13.15" customHeight="1" x14ac:dyDescent="0.2">
      <c r="I740" s="692"/>
      <c r="J740" s="692"/>
      <c r="K740" s="692"/>
      <c r="L740" s="692"/>
      <c r="M740" s="692"/>
      <c r="N740" s="692"/>
      <c r="O740" s="692"/>
      <c r="P740" s="692"/>
    </row>
    <row r="741" spans="9:16" s="523" customFormat="1" ht="13.15" customHeight="1" x14ac:dyDescent="0.2">
      <c r="I741" s="692"/>
      <c r="J741" s="692"/>
      <c r="K741" s="692"/>
      <c r="L741" s="692"/>
      <c r="M741" s="692"/>
      <c r="N741" s="692"/>
      <c r="O741" s="692"/>
      <c r="P741" s="692"/>
    </row>
    <row r="742" spans="9:16" s="523" customFormat="1" ht="13.15" customHeight="1" x14ac:dyDescent="0.2">
      <c r="I742" s="692"/>
      <c r="J742" s="692"/>
      <c r="K742" s="692"/>
      <c r="L742" s="692"/>
      <c r="M742" s="692"/>
      <c r="N742" s="692"/>
      <c r="O742" s="692"/>
      <c r="P742" s="692"/>
    </row>
    <row r="743" spans="9:16" s="523" customFormat="1" ht="13.15" customHeight="1" x14ac:dyDescent="0.2">
      <c r="I743" s="692"/>
      <c r="J743" s="692"/>
      <c r="K743" s="692"/>
      <c r="L743" s="692"/>
      <c r="M743" s="692"/>
      <c r="N743" s="692"/>
      <c r="O743" s="692"/>
      <c r="P743" s="692"/>
    </row>
    <row r="744" spans="9:16" s="523" customFormat="1" ht="13.15" customHeight="1" x14ac:dyDescent="0.2">
      <c r="I744" s="692"/>
      <c r="J744" s="692"/>
      <c r="K744" s="692"/>
      <c r="L744" s="692"/>
      <c r="M744" s="692"/>
      <c r="N744" s="692"/>
      <c r="O744" s="692"/>
      <c r="P744" s="692"/>
    </row>
    <row r="745" spans="9:16" s="523" customFormat="1" ht="13.15" customHeight="1" x14ac:dyDescent="0.2">
      <c r="I745" s="692"/>
      <c r="J745" s="692"/>
      <c r="K745" s="692"/>
      <c r="L745" s="692"/>
      <c r="M745" s="692"/>
      <c r="N745" s="692"/>
      <c r="O745" s="692"/>
      <c r="P745" s="692"/>
    </row>
    <row r="746" spans="9:16" s="523" customFormat="1" ht="13.15" customHeight="1" x14ac:dyDescent="0.2">
      <c r="I746" s="692"/>
      <c r="J746" s="692"/>
      <c r="K746" s="692"/>
      <c r="L746" s="692"/>
      <c r="M746" s="692"/>
      <c r="N746" s="692"/>
      <c r="O746" s="692"/>
      <c r="P746" s="692"/>
    </row>
    <row r="747" spans="9:16" s="523" customFormat="1" ht="13.15" customHeight="1" x14ac:dyDescent="0.2">
      <c r="I747" s="692"/>
      <c r="J747" s="692"/>
      <c r="K747" s="692"/>
      <c r="L747" s="692"/>
      <c r="M747" s="692"/>
      <c r="N747" s="692"/>
      <c r="O747" s="692"/>
      <c r="P747" s="692"/>
    </row>
    <row r="748" spans="9:16" s="523" customFormat="1" ht="13.15" customHeight="1" x14ac:dyDescent="0.2">
      <c r="I748" s="692"/>
      <c r="J748" s="692"/>
      <c r="K748" s="692"/>
      <c r="L748" s="692"/>
      <c r="M748" s="692"/>
      <c r="N748" s="692"/>
      <c r="O748" s="692"/>
      <c r="P748" s="692"/>
    </row>
    <row r="749" spans="9:16" s="523" customFormat="1" ht="13.15" customHeight="1" x14ac:dyDescent="0.2">
      <c r="I749" s="692"/>
      <c r="J749" s="692"/>
      <c r="K749" s="692"/>
      <c r="L749" s="692"/>
      <c r="M749" s="692"/>
      <c r="N749" s="692"/>
      <c r="O749" s="692"/>
      <c r="P749" s="692"/>
    </row>
    <row r="750" spans="9:16" s="523" customFormat="1" ht="13.15" customHeight="1" x14ac:dyDescent="0.2">
      <c r="I750" s="692"/>
      <c r="J750" s="692"/>
      <c r="K750" s="692"/>
      <c r="L750" s="692"/>
      <c r="M750" s="692"/>
      <c r="N750" s="692"/>
      <c r="O750" s="692"/>
      <c r="P750" s="692"/>
    </row>
    <row r="751" spans="9:16" s="523" customFormat="1" ht="13.15" customHeight="1" x14ac:dyDescent="0.2">
      <c r="I751" s="692"/>
      <c r="J751" s="692"/>
      <c r="K751" s="692"/>
      <c r="L751" s="692"/>
      <c r="M751" s="692"/>
      <c r="N751" s="692"/>
      <c r="O751" s="692"/>
      <c r="P751" s="692"/>
    </row>
    <row r="752" spans="9:16" s="523" customFormat="1" ht="13.15" customHeight="1" x14ac:dyDescent="0.2">
      <c r="I752" s="692"/>
      <c r="J752" s="692"/>
      <c r="K752" s="692"/>
      <c r="L752" s="692"/>
      <c r="M752" s="692"/>
      <c r="N752" s="692"/>
      <c r="O752" s="692"/>
      <c r="P752" s="692"/>
    </row>
    <row r="753" spans="9:16" s="523" customFormat="1" ht="13.15" customHeight="1" x14ac:dyDescent="0.2">
      <c r="I753" s="692"/>
      <c r="J753" s="692"/>
      <c r="K753" s="692"/>
      <c r="L753" s="692"/>
      <c r="M753" s="692"/>
      <c r="N753" s="692"/>
      <c r="O753" s="692"/>
      <c r="P753" s="692"/>
    </row>
    <row r="754" spans="9:16" s="523" customFormat="1" ht="13.15" customHeight="1" x14ac:dyDescent="0.2">
      <c r="I754" s="692"/>
      <c r="J754" s="692"/>
      <c r="K754" s="692"/>
      <c r="L754" s="692"/>
      <c r="M754" s="692"/>
      <c r="N754" s="692"/>
      <c r="O754" s="692"/>
      <c r="P754" s="692"/>
    </row>
    <row r="755" spans="9:16" s="523" customFormat="1" ht="13.15" customHeight="1" x14ac:dyDescent="0.2">
      <c r="I755" s="692"/>
      <c r="J755" s="692"/>
      <c r="K755" s="692"/>
      <c r="L755" s="692"/>
      <c r="M755" s="692"/>
      <c r="N755" s="692"/>
      <c r="O755" s="692"/>
      <c r="P755" s="692"/>
    </row>
    <row r="756" spans="9:16" s="523" customFormat="1" ht="13.15" customHeight="1" x14ac:dyDescent="0.2">
      <c r="I756" s="692"/>
      <c r="J756" s="692"/>
      <c r="K756" s="692"/>
      <c r="L756" s="692"/>
      <c r="M756" s="692"/>
      <c r="N756" s="692"/>
      <c r="O756" s="692"/>
      <c r="P756" s="692"/>
    </row>
    <row r="757" spans="9:16" s="523" customFormat="1" ht="13.15" customHeight="1" x14ac:dyDescent="0.2">
      <c r="I757" s="692"/>
      <c r="J757" s="692"/>
      <c r="K757" s="692"/>
      <c r="L757" s="692"/>
      <c r="M757" s="692"/>
      <c r="N757" s="692"/>
      <c r="O757" s="692"/>
      <c r="P757" s="692"/>
    </row>
    <row r="758" spans="9:16" s="523" customFormat="1" ht="13.15" customHeight="1" x14ac:dyDescent="0.2">
      <c r="I758" s="692"/>
      <c r="J758" s="692"/>
      <c r="K758" s="692"/>
      <c r="L758" s="692"/>
      <c r="M758" s="692"/>
      <c r="N758" s="692"/>
      <c r="O758" s="692"/>
      <c r="P758" s="692"/>
    </row>
    <row r="759" spans="9:16" s="523" customFormat="1" ht="13.15" customHeight="1" x14ac:dyDescent="0.2">
      <c r="I759" s="692"/>
      <c r="J759" s="692"/>
      <c r="K759" s="692"/>
      <c r="L759" s="692"/>
      <c r="M759" s="692"/>
      <c r="N759" s="692"/>
      <c r="O759" s="692"/>
      <c r="P759" s="692"/>
    </row>
    <row r="760" spans="9:16" s="523" customFormat="1" ht="13.15" customHeight="1" x14ac:dyDescent="0.2">
      <c r="I760" s="692"/>
      <c r="J760" s="692"/>
      <c r="K760" s="692"/>
      <c r="L760" s="692"/>
      <c r="M760" s="692"/>
      <c r="N760" s="692"/>
      <c r="O760" s="692"/>
      <c r="P760" s="692"/>
    </row>
    <row r="761" spans="9:16" s="523" customFormat="1" ht="13.15" customHeight="1" x14ac:dyDescent="0.2">
      <c r="I761" s="692"/>
      <c r="J761" s="692"/>
      <c r="K761" s="692"/>
      <c r="L761" s="692"/>
      <c r="M761" s="692"/>
      <c r="N761" s="692"/>
      <c r="O761" s="692"/>
      <c r="P761" s="692"/>
    </row>
    <row r="762" spans="9:16" s="523" customFormat="1" ht="13.15" customHeight="1" x14ac:dyDescent="0.2">
      <c r="I762" s="692"/>
      <c r="J762" s="692"/>
      <c r="K762" s="692"/>
      <c r="L762" s="692"/>
      <c r="M762" s="692"/>
      <c r="N762" s="692"/>
      <c r="O762" s="692"/>
      <c r="P762" s="692"/>
    </row>
    <row r="763" spans="9:16" s="523" customFormat="1" ht="13.15" customHeight="1" x14ac:dyDescent="0.2">
      <c r="I763" s="692"/>
      <c r="J763" s="692"/>
      <c r="K763" s="692"/>
      <c r="L763" s="692"/>
      <c r="M763" s="692"/>
      <c r="N763" s="692"/>
      <c r="O763" s="692"/>
      <c r="P763" s="692"/>
    </row>
    <row r="764" spans="9:16" s="523" customFormat="1" ht="13.15" customHeight="1" x14ac:dyDescent="0.2">
      <c r="I764" s="692"/>
      <c r="J764" s="692"/>
      <c r="K764" s="692"/>
      <c r="L764" s="692"/>
      <c r="M764" s="692"/>
      <c r="N764" s="692"/>
      <c r="O764" s="692"/>
      <c r="P764" s="692"/>
    </row>
    <row r="765" spans="9:16" s="523" customFormat="1" ht="13.15" customHeight="1" x14ac:dyDescent="0.2">
      <c r="I765" s="692"/>
      <c r="J765" s="692"/>
      <c r="K765" s="692"/>
      <c r="L765" s="692"/>
      <c r="M765" s="692"/>
      <c r="N765" s="692"/>
      <c r="O765" s="692"/>
      <c r="P765" s="692"/>
    </row>
    <row r="766" spans="9:16" s="523" customFormat="1" ht="13.15" customHeight="1" x14ac:dyDescent="0.2">
      <c r="I766" s="692"/>
      <c r="J766" s="692"/>
      <c r="K766" s="692"/>
      <c r="L766" s="692"/>
      <c r="M766" s="692"/>
      <c r="N766" s="692"/>
      <c r="O766" s="692"/>
      <c r="P766" s="692"/>
    </row>
    <row r="767" spans="9:16" s="523" customFormat="1" ht="13.15" customHeight="1" x14ac:dyDescent="0.2">
      <c r="I767" s="692"/>
      <c r="J767" s="692"/>
      <c r="K767" s="692"/>
      <c r="L767" s="692"/>
      <c r="M767" s="692"/>
      <c r="N767" s="692"/>
      <c r="O767" s="692"/>
      <c r="P767" s="692"/>
    </row>
    <row r="768" spans="9:16" s="523" customFormat="1" ht="13.15" customHeight="1" x14ac:dyDescent="0.2">
      <c r="I768" s="692"/>
      <c r="J768" s="692"/>
      <c r="K768" s="692"/>
      <c r="L768" s="692"/>
      <c r="M768" s="692"/>
      <c r="N768" s="692"/>
      <c r="O768" s="692"/>
      <c r="P768" s="692"/>
    </row>
    <row r="769" spans="9:16" s="523" customFormat="1" ht="13.15" customHeight="1" x14ac:dyDescent="0.2">
      <c r="I769" s="692"/>
      <c r="J769" s="692"/>
      <c r="K769" s="692"/>
      <c r="L769" s="692"/>
      <c r="M769" s="692"/>
      <c r="N769" s="692"/>
      <c r="O769" s="692"/>
      <c r="P769" s="692"/>
    </row>
    <row r="770" spans="9:16" s="523" customFormat="1" ht="13.15" customHeight="1" x14ac:dyDescent="0.2">
      <c r="I770" s="692"/>
      <c r="J770" s="692"/>
      <c r="K770" s="692"/>
      <c r="L770" s="692"/>
      <c r="M770" s="692"/>
      <c r="N770" s="692"/>
      <c r="O770" s="692"/>
      <c r="P770" s="692"/>
    </row>
    <row r="771" spans="9:16" s="523" customFormat="1" ht="13.15" customHeight="1" x14ac:dyDescent="0.2">
      <c r="I771" s="692"/>
      <c r="J771" s="692"/>
      <c r="K771" s="692"/>
      <c r="L771" s="692"/>
      <c r="M771" s="692"/>
      <c r="N771" s="692"/>
      <c r="O771" s="692"/>
      <c r="P771" s="692"/>
    </row>
    <row r="772" spans="9:16" s="523" customFormat="1" ht="13.15" customHeight="1" x14ac:dyDescent="0.2">
      <c r="I772" s="692"/>
      <c r="J772" s="692"/>
      <c r="K772" s="692"/>
      <c r="L772" s="692"/>
      <c r="M772" s="692"/>
      <c r="N772" s="692"/>
      <c r="O772" s="692"/>
      <c r="P772" s="692"/>
    </row>
    <row r="773" spans="9:16" s="523" customFormat="1" ht="13.15" customHeight="1" x14ac:dyDescent="0.2">
      <c r="I773" s="692"/>
      <c r="J773" s="692"/>
      <c r="K773" s="692"/>
      <c r="L773" s="692"/>
      <c r="M773" s="692"/>
      <c r="N773" s="692"/>
      <c r="O773" s="692"/>
      <c r="P773" s="692"/>
    </row>
    <row r="774" spans="9:16" s="523" customFormat="1" ht="13.15" customHeight="1" x14ac:dyDescent="0.2">
      <c r="I774" s="692"/>
      <c r="J774" s="692"/>
      <c r="K774" s="692"/>
      <c r="L774" s="692"/>
      <c r="M774" s="692"/>
      <c r="N774" s="692"/>
      <c r="O774" s="692"/>
      <c r="P774" s="692"/>
    </row>
    <row r="775" spans="9:16" s="523" customFormat="1" ht="13.15" customHeight="1" x14ac:dyDescent="0.2">
      <c r="I775" s="692"/>
      <c r="J775" s="692"/>
      <c r="K775" s="692"/>
      <c r="L775" s="692"/>
      <c r="M775" s="692"/>
      <c r="N775" s="692"/>
      <c r="O775" s="692"/>
      <c r="P775" s="692"/>
    </row>
    <row r="776" spans="9:16" s="523" customFormat="1" ht="13.15" customHeight="1" x14ac:dyDescent="0.2">
      <c r="I776" s="692"/>
      <c r="J776" s="692"/>
      <c r="K776" s="692"/>
      <c r="L776" s="692"/>
      <c r="M776" s="692"/>
      <c r="N776" s="692"/>
      <c r="O776" s="692"/>
      <c r="P776" s="692"/>
    </row>
    <row r="777" spans="9:16" s="523" customFormat="1" ht="13.15" customHeight="1" x14ac:dyDescent="0.2">
      <c r="I777" s="692"/>
      <c r="J777" s="692"/>
      <c r="K777" s="692"/>
      <c r="L777" s="692"/>
      <c r="M777" s="692"/>
      <c r="N777" s="692"/>
      <c r="O777" s="692"/>
      <c r="P777" s="692"/>
    </row>
    <row r="778" spans="9:16" s="523" customFormat="1" ht="13.15" customHeight="1" x14ac:dyDescent="0.2">
      <c r="I778" s="692"/>
      <c r="J778" s="692"/>
      <c r="K778" s="692"/>
      <c r="L778" s="692"/>
      <c r="M778" s="692"/>
      <c r="N778" s="692"/>
      <c r="O778" s="692"/>
      <c r="P778" s="692"/>
    </row>
    <row r="779" spans="9:16" s="523" customFormat="1" ht="13.15" customHeight="1" x14ac:dyDescent="0.2">
      <c r="I779" s="692"/>
      <c r="J779" s="692"/>
      <c r="K779" s="692"/>
      <c r="L779" s="692"/>
      <c r="M779" s="692"/>
      <c r="N779" s="692"/>
      <c r="O779" s="692"/>
      <c r="P779" s="692"/>
    </row>
    <row r="780" spans="9:16" s="523" customFormat="1" ht="13.15" customHeight="1" x14ac:dyDescent="0.2">
      <c r="I780" s="692"/>
      <c r="J780" s="692"/>
      <c r="K780" s="692"/>
      <c r="L780" s="692"/>
      <c r="M780" s="692"/>
      <c r="N780" s="692"/>
      <c r="O780" s="692"/>
      <c r="P780" s="692"/>
    </row>
    <row r="781" spans="9:16" s="523" customFormat="1" ht="13.15" customHeight="1" x14ac:dyDescent="0.2">
      <c r="I781" s="692"/>
      <c r="J781" s="692"/>
      <c r="K781" s="692"/>
      <c r="L781" s="692"/>
      <c r="M781" s="692"/>
      <c r="N781" s="692"/>
      <c r="O781" s="692"/>
      <c r="P781" s="692"/>
    </row>
    <row r="782" spans="9:16" s="523" customFormat="1" ht="13.15" customHeight="1" x14ac:dyDescent="0.2">
      <c r="I782" s="692"/>
      <c r="J782" s="692"/>
      <c r="K782" s="692"/>
      <c r="L782" s="692"/>
      <c r="M782" s="692"/>
      <c r="N782" s="692"/>
      <c r="O782" s="692"/>
      <c r="P782" s="692"/>
    </row>
    <row r="783" spans="9:16" s="523" customFormat="1" ht="13.15" customHeight="1" x14ac:dyDescent="0.2">
      <c r="I783" s="692"/>
      <c r="J783" s="692"/>
      <c r="K783" s="692"/>
      <c r="L783" s="692"/>
      <c r="M783" s="692"/>
      <c r="N783" s="692"/>
      <c r="O783" s="692"/>
      <c r="P783" s="692"/>
    </row>
    <row r="784" spans="9:16" s="523" customFormat="1" ht="13.15" customHeight="1" x14ac:dyDescent="0.2">
      <c r="I784" s="692"/>
      <c r="J784" s="692"/>
      <c r="K784" s="692"/>
      <c r="L784" s="692"/>
      <c r="M784" s="692"/>
      <c r="N784" s="692"/>
      <c r="O784" s="692"/>
      <c r="P784" s="692"/>
    </row>
    <row r="785" spans="9:16" s="523" customFormat="1" ht="13.15" customHeight="1" x14ac:dyDescent="0.2">
      <c r="I785" s="692"/>
      <c r="J785" s="692"/>
      <c r="K785" s="692"/>
      <c r="L785" s="692"/>
      <c r="M785" s="692"/>
      <c r="N785" s="692"/>
      <c r="O785" s="692"/>
      <c r="P785" s="692"/>
    </row>
    <row r="786" spans="9:16" s="523" customFormat="1" ht="13.15" customHeight="1" x14ac:dyDescent="0.2">
      <c r="I786" s="692"/>
      <c r="J786" s="692"/>
      <c r="K786" s="692"/>
      <c r="L786" s="692"/>
      <c r="M786" s="692"/>
      <c r="N786" s="692"/>
      <c r="O786" s="692"/>
      <c r="P786" s="692"/>
    </row>
    <row r="787" spans="9:16" s="523" customFormat="1" ht="13.15" customHeight="1" x14ac:dyDescent="0.2">
      <c r="I787" s="692"/>
      <c r="J787" s="692"/>
      <c r="K787" s="692"/>
      <c r="L787" s="692"/>
      <c r="M787" s="692"/>
      <c r="N787" s="692"/>
      <c r="O787" s="692"/>
      <c r="P787" s="692"/>
    </row>
    <row r="788" spans="9:16" s="523" customFormat="1" ht="13.15" customHeight="1" x14ac:dyDescent="0.2">
      <c r="I788" s="692"/>
      <c r="J788" s="692"/>
      <c r="K788" s="692"/>
      <c r="L788" s="692"/>
      <c r="M788" s="692"/>
      <c r="N788" s="692"/>
      <c r="O788" s="692"/>
      <c r="P788" s="692"/>
    </row>
    <row r="789" spans="9:16" s="523" customFormat="1" ht="13.15" customHeight="1" x14ac:dyDescent="0.2">
      <c r="I789" s="692"/>
      <c r="J789" s="692"/>
      <c r="K789" s="692"/>
      <c r="L789" s="692"/>
      <c r="M789" s="692"/>
      <c r="N789" s="692"/>
      <c r="O789" s="692"/>
      <c r="P789" s="692"/>
    </row>
    <row r="790" spans="9:16" s="523" customFormat="1" ht="13.15" customHeight="1" x14ac:dyDescent="0.2">
      <c r="I790" s="692"/>
      <c r="J790" s="692"/>
      <c r="K790" s="692"/>
      <c r="L790" s="692"/>
      <c r="M790" s="692"/>
      <c r="N790" s="692"/>
      <c r="O790" s="692"/>
      <c r="P790" s="692"/>
    </row>
    <row r="791" spans="9:16" s="523" customFormat="1" ht="13.15" customHeight="1" x14ac:dyDescent="0.2">
      <c r="I791" s="692"/>
      <c r="J791" s="692"/>
      <c r="K791" s="692"/>
      <c r="L791" s="692"/>
      <c r="M791" s="692"/>
      <c r="N791" s="692"/>
      <c r="O791" s="692"/>
      <c r="P791" s="692"/>
    </row>
    <row r="792" spans="9:16" s="523" customFormat="1" ht="13.15" customHeight="1" x14ac:dyDescent="0.2">
      <c r="I792" s="692"/>
      <c r="J792" s="692"/>
      <c r="K792" s="692"/>
      <c r="L792" s="692"/>
      <c r="M792" s="692"/>
      <c r="N792" s="692"/>
      <c r="O792" s="692"/>
      <c r="P792" s="692"/>
    </row>
    <row r="793" spans="9:16" s="523" customFormat="1" ht="13.15" customHeight="1" x14ac:dyDescent="0.2">
      <c r="I793" s="692"/>
      <c r="J793" s="692"/>
      <c r="K793" s="692"/>
      <c r="L793" s="692"/>
      <c r="M793" s="692"/>
      <c r="N793" s="692"/>
      <c r="O793" s="692"/>
      <c r="P793" s="692"/>
    </row>
    <row r="794" spans="9:16" s="523" customFormat="1" ht="13.15" customHeight="1" x14ac:dyDescent="0.2">
      <c r="I794" s="692"/>
      <c r="J794" s="692"/>
      <c r="K794" s="692"/>
      <c r="L794" s="692"/>
      <c r="M794" s="692"/>
      <c r="N794" s="692"/>
      <c r="O794" s="692"/>
      <c r="P794" s="692"/>
    </row>
    <row r="795" spans="9:16" s="523" customFormat="1" ht="13.15" customHeight="1" x14ac:dyDescent="0.2">
      <c r="I795" s="692"/>
      <c r="J795" s="692"/>
      <c r="K795" s="692"/>
      <c r="L795" s="692"/>
      <c r="M795" s="692"/>
      <c r="N795" s="692"/>
      <c r="O795" s="692"/>
      <c r="P795" s="692"/>
    </row>
    <row r="796" spans="9:16" s="523" customFormat="1" ht="13.15" customHeight="1" x14ac:dyDescent="0.2">
      <c r="I796" s="692"/>
      <c r="J796" s="692"/>
      <c r="K796" s="692"/>
      <c r="L796" s="692"/>
      <c r="M796" s="692"/>
      <c r="N796" s="692"/>
      <c r="O796" s="692"/>
      <c r="P796" s="692"/>
    </row>
    <row r="797" spans="9:16" s="523" customFormat="1" ht="13.15" customHeight="1" x14ac:dyDescent="0.2">
      <c r="I797" s="692"/>
      <c r="J797" s="692"/>
      <c r="K797" s="692"/>
      <c r="L797" s="692"/>
      <c r="M797" s="692"/>
      <c r="N797" s="692"/>
      <c r="O797" s="692"/>
      <c r="P797" s="692"/>
    </row>
    <row r="798" spans="9:16" s="523" customFormat="1" ht="13.15" customHeight="1" x14ac:dyDescent="0.2">
      <c r="I798" s="692"/>
      <c r="J798" s="692"/>
      <c r="K798" s="692"/>
      <c r="L798" s="692"/>
      <c r="M798" s="692"/>
      <c r="N798" s="692"/>
      <c r="O798" s="692"/>
      <c r="P798" s="692"/>
    </row>
    <row r="799" spans="9:16" s="523" customFormat="1" ht="13.15" customHeight="1" x14ac:dyDescent="0.2">
      <c r="I799" s="692"/>
      <c r="J799" s="692"/>
      <c r="K799" s="692"/>
      <c r="L799" s="692"/>
      <c r="M799" s="692"/>
      <c r="N799" s="692"/>
      <c r="O799" s="692"/>
      <c r="P799" s="692"/>
    </row>
    <row r="800" spans="9:16" s="523" customFormat="1" ht="13.15" customHeight="1" x14ac:dyDescent="0.2">
      <c r="I800" s="692"/>
      <c r="J800" s="692"/>
      <c r="K800" s="692"/>
      <c r="L800" s="692"/>
      <c r="M800" s="692"/>
      <c r="N800" s="692"/>
      <c r="O800" s="692"/>
      <c r="P800" s="692"/>
    </row>
    <row r="801" spans="9:16" s="523" customFormat="1" ht="13.15" customHeight="1" x14ac:dyDescent="0.2">
      <c r="I801" s="692"/>
      <c r="J801" s="692"/>
      <c r="K801" s="692"/>
      <c r="L801" s="692"/>
      <c r="M801" s="692"/>
      <c r="N801" s="692"/>
      <c r="O801" s="692"/>
      <c r="P801" s="692"/>
    </row>
    <row r="802" spans="9:16" s="523" customFormat="1" ht="13.15" customHeight="1" x14ac:dyDescent="0.2">
      <c r="I802" s="692"/>
      <c r="J802" s="692"/>
      <c r="K802" s="692"/>
      <c r="L802" s="692"/>
      <c r="M802" s="692"/>
      <c r="N802" s="692"/>
      <c r="O802" s="692"/>
      <c r="P802" s="692"/>
    </row>
    <row r="803" spans="9:16" s="523" customFormat="1" ht="13.15" customHeight="1" x14ac:dyDescent="0.2">
      <c r="I803" s="692"/>
      <c r="J803" s="692"/>
      <c r="K803" s="692"/>
      <c r="L803" s="692"/>
      <c r="M803" s="692"/>
      <c r="N803" s="692"/>
      <c r="O803" s="692"/>
      <c r="P803" s="692"/>
    </row>
    <row r="804" spans="9:16" s="523" customFormat="1" ht="13.15" customHeight="1" x14ac:dyDescent="0.2">
      <c r="I804" s="692"/>
      <c r="J804" s="692"/>
      <c r="K804" s="692"/>
      <c r="L804" s="692"/>
      <c r="M804" s="692"/>
      <c r="N804" s="692"/>
      <c r="O804" s="692"/>
      <c r="P804" s="692"/>
    </row>
    <row r="805" spans="9:16" s="523" customFormat="1" ht="13.15" customHeight="1" x14ac:dyDescent="0.2">
      <c r="I805" s="692"/>
      <c r="J805" s="692"/>
      <c r="K805" s="692"/>
      <c r="L805" s="692"/>
      <c r="M805" s="692"/>
      <c r="N805" s="692"/>
      <c r="O805" s="692"/>
      <c r="P805" s="692"/>
    </row>
    <row r="806" spans="9:16" s="523" customFormat="1" ht="13.15" customHeight="1" x14ac:dyDescent="0.2">
      <c r="I806" s="692"/>
      <c r="J806" s="692"/>
      <c r="K806" s="692"/>
      <c r="L806" s="692"/>
      <c r="M806" s="692"/>
      <c r="N806" s="692"/>
      <c r="O806" s="692"/>
      <c r="P806" s="692"/>
    </row>
    <row r="807" spans="9:16" s="523" customFormat="1" ht="13.15" customHeight="1" x14ac:dyDescent="0.2">
      <c r="I807" s="692"/>
      <c r="J807" s="692"/>
      <c r="K807" s="692"/>
      <c r="L807" s="692"/>
      <c r="M807" s="692"/>
      <c r="N807" s="692"/>
      <c r="O807" s="692"/>
      <c r="P807" s="692"/>
    </row>
    <row r="808" spans="9:16" s="523" customFormat="1" ht="13.15" customHeight="1" x14ac:dyDescent="0.2">
      <c r="I808" s="692"/>
      <c r="J808" s="692"/>
      <c r="K808" s="692"/>
      <c r="L808" s="692"/>
      <c r="M808" s="692"/>
      <c r="N808" s="692"/>
      <c r="O808" s="692"/>
      <c r="P808" s="692"/>
    </row>
    <row r="809" spans="9:16" s="523" customFormat="1" ht="13.15" customHeight="1" x14ac:dyDescent="0.2">
      <c r="I809" s="692"/>
      <c r="J809" s="692"/>
      <c r="K809" s="692"/>
      <c r="L809" s="692"/>
      <c r="M809" s="692"/>
      <c r="N809" s="692"/>
      <c r="O809" s="692"/>
      <c r="P809" s="692"/>
    </row>
    <row r="810" spans="9:16" s="523" customFormat="1" ht="13.15" customHeight="1" x14ac:dyDescent="0.2">
      <c r="I810" s="692"/>
      <c r="J810" s="692"/>
      <c r="K810" s="692"/>
      <c r="L810" s="692"/>
      <c r="M810" s="692"/>
      <c r="N810" s="692"/>
      <c r="O810" s="692"/>
      <c r="P810" s="692"/>
    </row>
    <row r="811" spans="9:16" s="523" customFormat="1" ht="13.15" customHeight="1" x14ac:dyDescent="0.2">
      <c r="I811" s="692"/>
      <c r="J811" s="692"/>
      <c r="K811" s="692"/>
      <c r="L811" s="692"/>
      <c r="M811" s="692"/>
      <c r="N811" s="692"/>
      <c r="O811" s="692"/>
      <c r="P811" s="692"/>
    </row>
    <row r="812" spans="9:16" s="523" customFormat="1" ht="13.15" customHeight="1" x14ac:dyDescent="0.2">
      <c r="I812" s="692"/>
      <c r="J812" s="692"/>
      <c r="K812" s="692"/>
      <c r="L812" s="692"/>
      <c r="M812" s="692"/>
      <c r="N812" s="692"/>
      <c r="O812" s="692"/>
      <c r="P812" s="692"/>
    </row>
    <row r="813" spans="9:16" s="523" customFormat="1" ht="13.15" customHeight="1" x14ac:dyDescent="0.2">
      <c r="I813" s="692"/>
      <c r="J813" s="692"/>
      <c r="K813" s="692"/>
      <c r="L813" s="692"/>
      <c r="M813" s="692"/>
      <c r="N813" s="692"/>
      <c r="O813" s="692"/>
      <c r="P813" s="692"/>
    </row>
    <row r="814" spans="9:16" s="523" customFormat="1" ht="13.15" customHeight="1" x14ac:dyDescent="0.2">
      <c r="I814" s="692"/>
      <c r="J814" s="692"/>
      <c r="K814" s="692"/>
      <c r="L814" s="692"/>
      <c r="M814" s="692"/>
      <c r="N814" s="692"/>
      <c r="O814" s="692"/>
      <c r="P814" s="692"/>
    </row>
    <row r="815" spans="9:16" s="523" customFormat="1" ht="13.15" customHeight="1" x14ac:dyDescent="0.2">
      <c r="I815" s="692"/>
      <c r="J815" s="692"/>
      <c r="K815" s="692"/>
      <c r="L815" s="692"/>
      <c r="M815" s="692"/>
      <c r="N815" s="692"/>
      <c r="O815" s="692"/>
      <c r="P815" s="692"/>
    </row>
    <row r="816" spans="9:16" s="523" customFormat="1" ht="13.15" customHeight="1" x14ac:dyDescent="0.2">
      <c r="I816" s="692"/>
      <c r="J816" s="692"/>
      <c r="K816" s="692"/>
      <c r="L816" s="692"/>
      <c r="M816" s="692"/>
      <c r="N816" s="692"/>
      <c r="O816" s="692"/>
      <c r="P816" s="692"/>
    </row>
    <row r="817" spans="9:16" s="523" customFormat="1" ht="13.15" customHeight="1" x14ac:dyDescent="0.2">
      <c r="I817" s="692"/>
      <c r="J817" s="692"/>
      <c r="K817" s="692"/>
      <c r="L817" s="692"/>
      <c r="M817" s="692"/>
      <c r="N817" s="692"/>
      <c r="O817" s="692"/>
      <c r="P817" s="692"/>
    </row>
    <row r="818" spans="9:16" s="523" customFormat="1" ht="13.15" customHeight="1" x14ac:dyDescent="0.2">
      <c r="I818" s="692"/>
      <c r="J818" s="692"/>
      <c r="K818" s="692"/>
      <c r="L818" s="692"/>
      <c r="M818" s="692"/>
      <c r="N818" s="692"/>
      <c r="O818" s="692"/>
      <c r="P818" s="692"/>
    </row>
    <row r="819" spans="9:16" s="523" customFormat="1" ht="13.15" customHeight="1" x14ac:dyDescent="0.2">
      <c r="I819" s="692"/>
      <c r="J819" s="692"/>
      <c r="K819" s="692"/>
      <c r="L819" s="692"/>
      <c r="M819" s="692"/>
      <c r="N819" s="692"/>
      <c r="O819" s="692"/>
      <c r="P819" s="692"/>
    </row>
    <row r="820" spans="9:16" s="523" customFormat="1" ht="13.15" customHeight="1" x14ac:dyDescent="0.2">
      <c r="I820" s="692"/>
      <c r="J820" s="692"/>
      <c r="K820" s="692"/>
      <c r="L820" s="692"/>
      <c r="M820" s="692"/>
      <c r="N820" s="692"/>
      <c r="O820" s="692"/>
      <c r="P820" s="692"/>
    </row>
    <row r="821" spans="9:16" s="523" customFormat="1" ht="13.15" customHeight="1" x14ac:dyDescent="0.2">
      <c r="I821" s="692"/>
      <c r="J821" s="692"/>
      <c r="K821" s="692"/>
      <c r="L821" s="692"/>
      <c r="M821" s="692"/>
      <c r="N821" s="692"/>
      <c r="O821" s="692"/>
      <c r="P821" s="692"/>
    </row>
    <row r="822" spans="9:16" s="523" customFormat="1" ht="13.15" customHeight="1" x14ac:dyDescent="0.2">
      <c r="I822" s="692"/>
      <c r="J822" s="692"/>
      <c r="K822" s="692"/>
      <c r="L822" s="692"/>
      <c r="M822" s="692"/>
      <c r="N822" s="692"/>
      <c r="O822" s="692"/>
      <c r="P822" s="692"/>
    </row>
    <row r="823" spans="9:16" s="523" customFormat="1" ht="13.15" customHeight="1" x14ac:dyDescent="0.2">
      <c r="I823" s="692"/>
      <c r="J823" s="692"/>
      <c r="K823" s="692"/>
      <c r="L823" s="692"/>
      <c r="M823" s="692"/>
      <c r="N823" s="692"/>
      <c r="O823" s="692"/>
      <c r="P823" s="692"/>
    </row>
    <row r="824" spans="9:16" s="523" customFormat="1" ht="13.15" customHeight="1" x14ac:dyDescent="0.2">
      <c r="I824" s="692"/>
      <c r="J824" s="692"/>
      <c r="K824" s="692"/>
      <c r="L824" s="692"/>
      <c r="M824" s="692"/>
      <c r="N824" s="692"/>
      <c r="O824" s="692"/>
      <c r="P824" s="692"/>
    </row>
    <row r="825" spans="9:16" s="523" customFormat="1" ht="13.15" customHeight="1" x14ac:dyDescent="0.2">
      <c r="I825" s="692"/>
      <c r="J825" s="692"/>
      <c r="K825" s="692"/>
      <c r="L825" s="692"/>
      <c r="M825" s="692"/>
      <c r="N825" s="692"/>
      <c r="O825" s="692"/>
      <c r="P825" s="692"/>
    </row>
    <row r="826" spans="9:16" s="523" customFormat="1" ht="13.15" customHeight="1" x14ac:dyDescent="0.2">
      <c r="I826" s="692"/>
      <c r="J826" s="692"/>
      <c r="K826" s="692"/>
      <c r="L826" s="692"/>
      <c r="M826" s="692"/>
      <c r="N826" s="692"/>
      <c r="O826" s="692"/>
      <c r="P826" s="692"/>
    </row>
    <row r="827" spans="9:16" s="523" customFormat="1" ht="13.15" customHeight="1" x14ac:dyDescent="0.2">
      <c r="I827" s="692"/>
      <c r="J827" s="692"/>
      <c r="K827" s="692"/>
      <c r="L827" s="692"/>
      <c r="M827" s="692"/>
      <c r="N827" s="692"/>
      <c r="O827" s="692"/>
      <c r="P827" s="692"/>
    </row>
    <row r="828" spans="9:16" s="523" customFormat="1" ht="13.15" customHeight="1" x14ac:dyDescent="0.2">
      <c r="I828" s="692"/>
      <c r="J828" s="692"/>
      <c r="K828" s="692"/>
      <c r="L828" s="692"/>
      <c r="M828" s="692"/>
      <c r="N828" s="692"/>
      <c r="O828" s="692"/>
      <c r="P828" s="692"/>
    </row>
    <row r="829" spans="9:16" s="523" customFormat="1" ht="13.15" customHeight="1" x14ac:dyDescent="0.2">
      <c r="I829" s="692"/>
      <c r="J829" s="692"/>
      <c r="K829" s="692"/>
      <c r="L829" s="692"/>
      <c r="M829" s="692"/>
      <c r="N829" s="692"/>
      <c r="O829" s="692"/>
      <c r="P829" s="692"/>
    </row>
    <row r="830" spans="9:16" s="523" customFormat="1" ht="13.15" customHeight="1" x14ac:dyDescent="0.2">
      <c r="I830" s="692"/>
      <c r="J830" s="692"/>
      <c r="K830" s="692"/>
      <c r="L830" s="692"/>
      <c r="M830" s="692"/>
      <c r="N830" s="692"/>
      <c r="O830" s="692"/>
      <c r="P830" s="692"/>
    </row>
    <row r="831" spans="9:16" s="523" customFormat="1" ht="13.15" customHeight="1" x14ac:dyDescent="0.2">
      <c r="I831" s="692"/>
      <c r="J831" s="692"/>
      <c r="K831" s="692"/>
      <c r="L831" s="692"/>
      <c r="M831" s="692"/>
      <c r="N831" s="692"/>
      <c r="O831" s="692"/>
      <c r="P831" s="692"/>
    </row>
    <row r="832" spans="9:16" s="523" customFormat="1" ht="13.15" customHeight="1" x14ac:dyDescent="0.2">
      <c r="I832" s="692"/>
      <c r="J832" s="692"/>
      <c r="K832" s="692"/>
      <c r="L832" s="692"/>
      <c r="M832" s="692"/>
      <c r="N832" s="692"/>
      <c r="O832" s="692"/>
      <c r="P832" s="692"/>
    </row>
    <row r="833" spans="9:16" s="523" customFormat="1" ht="13.15" customHeight="1" x14ac:dyDescent="0.2">
      <c r="I833" s="692"/>
      <c r="J833" s="692"/>
      <c r="K833" s="692"/>
      <c r="L833" s="692"/>
      <c r="M833" s="692"/>
      <c r="N833" s="692"/>
      <c r="O833" s="692"/>
      <c r="P833" s="692"/>
    </row>
    <row r="834" spans="9:16" s="523" customFormat="1" ht="13.15" customHeight="1" x14ac:dyDescent="0.2">
      <c r="I834" s="692"/>
      <c r="J834" s="692"/>
      <c r="K834" s="692"/>
      <c r="L834" s="692"/>
      <c r="M834" s="692"/>
      <c r="N834" s="692"/>
      <c r="O834" s="692"/>
      <c r="P834" s="692"/>
    </row>
  </sheetData>
  <phoneticPr fontId="0" type="noConversion"/>
  <pageMargins left="0.75" right="0.75" top="1" bottom="1" header="0.5" footer="0.5"/>
  <pageSetup paperSize="9" scale="52" orientation="portrait" r:id="rId1"/>
  <headerFooter alignWithMargins="0">
    <oddHeader>&amp;L&amp;"Arial,Vet"&amp;9&amp;F&amp;R&amp;"Arial,Vet"&amp;9&amp;A</oddHeader>
    <oddFooter>&amp;L&amp;"Arial,Vet"&amp;9keizer / goedhart&amp;C&amp;"Arial,Vet"&amp;9pagina &amp;P&amp;R&amp;"Arial,Vet"&amp;9&amp;D</oddFooter>
  </headerFooter>
  <rowBreaks count="4" manualBreakCount="4">
    <brk id="35" min="1" max="14" man="1"/>
    <brk id="136" min="1" max="14" man="1"/>
    <brk id="237" min="1" max="13" man="1"/>
    <brk id="338" min="1" max="14"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G862"/>
  <sheetViews>
    <sheetView zoomScaleNormal="100" workbookViewId="0">
      <selection activeCell="H10" sqref="H10"/>
    </sheetView>
  </sheetViews>
  <sheetFormatPr defaultColWidth="9.140625" defaultRowHeight="13.15" customHeight="1" x14ac:dyDescent="0.2"/>
  <cols>
    <col min="1" max="1" width="3.7109375" style="601" customWidth="1"/>
    <col min="2" max="3" width="2.7109375" style="601" customWidth="1"/>
    <col min="4" max="4" width="8.85546875" style="613" customWidth="1"/>
    <col min="5" max="5" width="30.7109375" style="614" customWidth="1"/>
    <col min="6" max="6" width="2.7109375" style="614" customWidth="1"/>
    <col min="7" max="7" width="12.7109375" style="614" hidden="1" customWidth="1"/>
    <col min="8" max="14" width="12.7109375" style="614" customWidth="1"/>
    <col min="15" max="16" width="2.7109375" style="614" customWidth="1"/>
    <col min="17" max="17" width="10.7109375" style="604" customWidth="1"/>
    <col min="18" max="40" width="8.7109375" style="604" customWidth="1"/>
    <col min="41" max="56" width="10.7109375" style="604" customWidth="1"/>
    <col min="57" max="77" width="10.7109375" style="601" customWidth="1"/>
    <col min="78" max="16384" width="9.140625" style="601"/>
  </cols>
  <sheetData>
    <row r="2" spans="2:56" ht="13.15" customHeight="1" x14ac:dyDescent="0.2">
      <c r="B2" s="82"/>
      <c r="C2" s="599"/>
      <c r="D2" s="815"/>
      <c r="E2" s="599"/>
      <c r="F2" s="599"/>
      <c r="G2" s="602"/>
      <c r="H2" s="602"/>
      <c r="I2" s="602"/>
      <c r="J2" s="602"/>
      <c r="K2" s="602"/>
      <c r="L2" s="602"/>
      <c r="M2" s="602"/>
      <c r="N2" s="602"/>
      <c r="O2" s="462"/>
      <c r="P2" s="603"/>
      <c r="T2" s="476"/>
      <c r="U2" s="476"/>
      <c r="V2" s="626"/>
      <c r="W2" s="626"/>
      <c r="X2" s="626"/>
      <c r="Y2" s="626"/>
      <c r="Z2" s="626"/>
      <c r="AA2" s="626"/>
      <c r="AB2" s="626"/>
      <c r="AC2" s="626"/>
      <c r="AD2" s="626"/>
      <c r="AE2" s="626"/>
      <c r="AF2" s="626"/>
      <c r="AG2" s="626"/>
      <c r="AH2" s="626"/>
      <c r="AI2" s="626"/>
    </row>
    <row r="3" spans="2:56" ht="13.15" customHeight="1" x14ac:dyDescent="0.2">
      <c r="B3" s="86"/>
      <c r="C3" s="87"/>
      <c r="D3" s="605"/>
      <c r="E3" s="478"/>
      <c r="F3" s="87"/>
      <c r="G3" s="143"/>
      <c r="H3" s="143"/>
      <c r="I3" s="143"/>
      <c r="J3" s="143"/>
      <c r="K3" s="143"/>
      <c r="L3" s="143"/>
      <c r="M3" s="143"/>
      <c r="N3" s="143"/>
      <c r="O3" s="87"/>
      <c r="P3" s="517"/>
      <c r="T3" s="476"/>
      <c r="U3" s="476"/>
      <c r="V3" s="626"/>
      <c r="W3" s="626"/>
      <c r="X3" s="626"/>
      <c r="Y3" s="626"/>
      <c r="Z3" s="626"/>
      <c r="AA3" s="626"/>
      <c r="AB3" s="626"/>
      <c r="AC3" s="626"/>
      <c r="AD3" s="626"/>
      <c r="AE3" s="626"/>
      <c r="AF3" s="626"/>
      <c r="AG3" s="626"/>
      <c r="AH3" s="626"/>
      <c r="AI3" s="626"/>
    </row>
    <row r="4" spans="2:56" ht="18" customHeight="1" x14ac:dyDescent="0.3">
      <c r="B4" s="203"/>
      <c r="C4" s="204" t="s">
        <v>1003</v>
      </c>
      <c r="D4" s="812"/>
      <c r="E4" s="813"/>
      <c r="F4" s="204"/>
      <c r="G4" s="282"/>
      <c r="H4" s="282"/>
      <c r="I4" s="282"/>
      <c r="J4" s="282"/>
      <c r="K4" s="282"/>
      <c r="L4" s="282"/>
      <c r="M4" s="282"/>
      <c r="N4" s="282"/>
      <c r="O4" s="204"/>
      <c r="P4" s="518"/>
      <c r="T4" s="476"/>
      <c r="U4" s="476"/>
      <c r="V4" s="626"/>
      <c r="W4" s="626"/>
      <c r="X4" s="626"/>
      <c r="Y4" s="626"/>
      <c r="Z4" s="626"/>
      <c r="AA4" s="626"/>
      <c r="AB4" s="626"/>
      <c r="AC4" s="626"/>
      <c r="AD4" s="626"/>
      <c r="AE4" s="626"/>
      <c r="AF4" s="626"/>
      <c r="AG4" s="626"/>
      <c r="AH4" s="626"/>
      <c r="AI4" s="626"/>
    </row>
    <row r="5" spans="2:56" s="761" customFormat="1" ht="16.899999999999999" customHeight="1" x14ac:dyDescent="0.25">
      <c r="B5" s="258"/>
      <c r="C5" s="268" t="str">
        <f>+'geg LO'!G8</f>
        <v>SWV PO Passend Onderwijs</v>
      </c>
      <c r="D5" s="816"/>
      <c r="E5" s="814"/>
      <c r="F5" s="259"/>
      <c r="G5" s="758"/>
      <c r="H5" s="758"/>
      <c r="I5" s="758"/>
      <c r="J5" s="758"/>
      <c r="K5" s="758"/>
      <c r="L5" s="758"/>
      <c r="M5" s="758"/>
      <c r="N5" s="758"/>
      <c r="O5" s="259"/>
      <c r="P5" s="759"/>
      <c r="Q5" s="756"/>
      <c r="R5" s="756"/>
      <c r="S5" s="756"/>
      <c r="T5" s="705"/>
      <c r="U5" s="705"/>
      <c r="V5" s="760"/>
      <c r="W5" s="760"/>
      <c r="X5" s="760"/>
      <c r="Y5" s="760"/>
      <c r="Z5" s="760"/>
      <c r="AA5" s="760"/>
      <c r="AB5" s="760"/>
      <c r="AC5" s="760"/>
      <c r="AD5" s="760"/>
      <c r="AE5" s="760"/>
      <c r="AF5" s="760"/>
      <c r="AG5" s="760"/>
      <c r="AH5" s="760"/>
      <c r="AI5" s="760"/>
      <c r="AJ5" s="756"/>
      <c r="AK5" s="756"/>
      <c r="AL5" s="756"/>
      <c r="AM5" s="756"/>
      <c r="AN5" s="756"/>
      <c r="AO5" s="756"/>
      <c r="AP5" s="756"/>
      <c r="AQ5" s="756"/>
      <c r="AR5" s="756"/>
      <c r="AS5" s="756"/>
      <c r="AT5" s="756"/>
      <c r="AU5" s="756"/>
      <c r="AV5" s="756"/>
      <c r="AW5" s="756"/>
      <c r="AX5" s="756"/>
      <c r="AY5" s="756"/>
      <c r="AZ5" s="756"/>
      <c r="BA5" s="756"/>
      <c r="BB5" s="756"/>
      <c r="BC5" s="756"/>
      <c r="BD5" s="756"/>
    </row>
    <row r="6" spans="2:56" ht="13.15" customHeight="1" x14ac:dyDescent="0.2">
      <c r="B6" s="86"/>
      <c r="C6" s="87"/>
      <c r="D6" s="605"/>
      <c r="E6" s="478"/>
      <c r="F6" s="87"/>
      <c r="G6" s="143"/>
      <c r="H6" s="143"/>
      <c r="I6" s="143"/>
      <c r="J6" s="143"/>
      <c r="K6" s="143"/>
      <c r="L6" s="143"/>
      <c r="M6" s="143"/>
      <c r="N6" s="143"/>
      <c r="O6" s="87"/>
      <c r="P6" s="517"/>
      <c r="T6" s="476"/>
      <c r="U6" s="476"/>
      <c r="V6" s="626"/>
      <c r="W6" s="626"/>
      <c r="X6" s="626"/>
      <c r="Y6" s="626"/>
      <c r="Z6" s="626"/>
      <c r="AA6" s="626"/>
      <c r="AB6" s="626"/>
      <c r="AC6" s="626"/>
      <c r="AD6" s="626"/>
      <c r="AE6" s="626"/>
      <c r="AF6" s="626"/>
      <c r="AG6" s="626"/>
      <c r="AH6" s="626"/>
      <c r="AI6" s="626"/>
    </row>
    <row r="7" spans="2:56" ht="13.15" customHeight="1" x14ac:dyDescent="0.2">
      <c r="B7" s="86"/>
      <c r="C7" s="87"/>
      <c r="D7" s="142"/>
      <c r="E7" s="87"/>
      <c r="F7" s="87"/>
      <c r="G7" s="143"/>
      <c r="H7" s="143"/>
      <c r="I7" s="143"/>
      <c r="J7" s="143"/>
      <c r="K7" s="143"/>
      <c r="L7" s="143"/>
      <c r="M7" s="143"/>
      <c r="N7" s="143"/>
      <c r="O7" s="87"/>
      <c r="P7" s="517"/>
      <c r="T7" s="476"/>
      <c r="U7" s="476"/>
      <c r="V7" s="626"/>
      <c r="W7" s="626"/>
      <c r="X7" s="626"/>
      <c r="Y7" s="626"/>
      <c r="Z7" s="626"/>
      <c r="AA7" s="626"/>
      <c r="AB7" s="626"/>
      <c r="AC7" s="626"/>
      <c r="AD7" s="626"/>
      <c r="AE7" s="626"/>
      <c r="AF7" s="626"/>
      <c r="AG7" s="626"/>
      <c r="AH7" s="626"/>
      <c r="AI7" s="626"/>
    </row>
    <row r="8" spans="2:56" ht="13.15" customHeight="1" x14ac:dyDescent="0.2">
      <c r="B8" s="86"/>
      <c r="C8" s="1000"/>
      <c r="D8" s="1079"/>
      <c r="E8" s="1075"/>
      <c r="F8" s="1000"/>
      <c r="G8" s="1175"/>
      <c r="H8" s="1175"/>
      <c r="I8" s="1175"/>
      <c r="J8" s="1175"/>
      <c r="K8" s="1175"/>
      <c r="L8" s="1175"/>
      <c r="M8" s="1175"/>
      <c r="N8" s="1175"/>
      <c r="O8" s="1000"/>
      <c r="P8" s="517"/>
      <c r="T8" s="476"/>
      <c r="U8" s="476"/>
      <c r="V8" s="626"/>
      <c r="W8" s="626"/>
      <c r="X8" s="626"/>
      <c r="Y8" s="626"/>
      <c r="Z8" s="626"/>
      <c r="AA8" s="626"/>
      <c r="AB8" s="626"/>
      <c r="AC8" s="626"/>
      <c r="AD8" s="626"/>
      <c r="AE8" s="626"/>
      <c r="AF8" s="626"/>
      <c r="AG8" s="626"/>
      <c r="AH8" s="626"/>
      <c r="AI8" s="626"/>
    </row>
    <row r="9" spans="2:56" ht="13.15" customHeight="1" x14ac:dyDescent="0.2">
      <c r="B9" s="86"/>
      <c r="C9" s="1000"/>
      <c r="D9" s="1185" t="s">
        <v>629</v>
      </c>
      <c r="E9" s="1000"/>
      <c r="F9" s="1000"/>
      <c r="G9" s="1186" t="e">
        <f>+tab!#REF!</f>
        <v>#REF!</v>
      </c>
      <c r="H9" s="1186" t="str">
        <f>+tab!C2</f>
        <v>2015/16</v>
      </c>
      <c r="I9" s="1186" t="str">
        <f>+tab!D2</f>
        <v>2016/17</v>
      </c>
      <c r="J9" s="1186" t="str">
        <f>+tab!E2</f>
        <v>2017/18</v>
      </c>
      <c r="K9" s="1186" t="str">
        <f>+tab!F2</f>
        <v>2018/19</v>
      </c>
      <c r="L9" s="1186" t="str">
        <f>+tab!G2</f>
        <v>2019/20</v>
      </c>
      <c r="M9" s="1186" t="str">
        <f>+tab!H2</f>
        <v>2020/21</v>
      </c>
      <c r="N9" s="1186" t="str">
        <f>+tab!I2</f>
        <v>2021/22</v>
      </c>
      <c r="O9" s="1000"/>
      <c r="P9" s="517"/>
      <c r="T9" s="625"/>
      <c r="U9" s="625"/>
      <c r="V9" s="626"/>
      <c r="W9" s="626"/>
      <c r="X9" s="626"/>
      <c r="Y9" s="626"/>
      <c r="Z9" s="626"/>
      <c r="AA9" s="626"/>
      <c r="AB9" s="626"/>
      <c r="AC9" s="626"/>
      <c r="AD9" s="626"/>
      <c r="AE9" s="626"/>
      <c r="AF9" s="626"/>
      <c r="AG9" s="626"/>
      <c r="AH9" s="626"/>
      <c r="AI9" s="626"/>
    </row>
    <row r="10" spans="2:56" ht="13.15" customHeight="1" x14ac:dyDescent="0.2">
      <c r="B10" s="86"/>
      <c r="C10" s="1000"/>
      <c r="D10" s="1079" t="s">
        <v>20</v>
      </c>
      <c r="E10" s="1000"/>
      <c r="F10" s="1000"/>
      <c r="G10" s="1444">
        <v>0</v>
      </c>
      <c r="H10" s="1444">
        <f>+pers!I134</f>
        <v>0</v>
      </c>
      <c r="I10" s="1444">
        <f>+pers!J134</f>
        <v>0</v>
      </c>
      <c r="J10" s="1444">
        <f>+pers!K134</f>
        <v>0</v>
      </c>
      <c r="K10" s="1444">
        <f>+pers!L134</f>
        <v>0</v>
      </c>
      <c r="L10" s="1444">
        <f>+pers!M134</f>
        <v>0</v>
      </c>
      <c r="M10" s="1444">
        <f>+pers!N134</f>
        <v>0</v>
      </c>
      <c r="N10" s="1444">
        <f>+pers!O134</f>
        <v>0</v>
      </c>
      <c r="O10" s="1000"/>
      <c r="P10" s="517"/>
      <c r="T10" s="476"/>
      <c r="U10" s="476"/>
      <c r="V10" s="626"/>
      <c r="W10" s="626"/>
      <c r="X10" s="626"/>
      <c r="Y10" s="626"/>
      <c r="Z10" s="626"/>
      <c r="AA10" s="626"/>
      <c r="AB10" s="626"/>
      <c r="AC10" s="626"/>
      <c r="AD10" s="626"/>
      <c r="AE10" s="626"/>
      <c r="AF10" s="626"/>
      <c r="AG10" s="626"/>
      <c r="AH10" s="626"/>
      <c r="AI10" s="626"/>
    </row>
    <row r="11" spans="2:56" ht="13.15" customHeight="1" x14ac:dyDescent="0.2">
      <c r="B11" s="86"/>
      <c r="C11" s="1000"/>
      <c r="D11" s="1079" t="s">
        <v>856</v>
      </c>
      <c r="E11" s="1000"/>
      <c r="F11" s="1000"/>
      <c r="G11" s="1444">
        <v>0</v>
      </c>
      <c r="H11" s="1462" t="e">
        <f>ROUND(H10/'geg ZO'!I37,2)</f>
        <v>#DIV/0!</v>
      </c>
      <c r="I11" s="1462" t="e">
        <f>ROUND(I10/'geg ZO'!J37,2)</f>
        <v>#DIV/0!</v>
      </c>
      <c r="J11" s="1462" t="e">
        <f>ROUND(J10/'geg ZO'!K37,2)</f>
        <v>#DIV/0!</v>
      </c>
      <c r="K11" s="1462" t="e">
        <f>ROUND(K10/'geg ZO'!L37,2)</f>
        <v>#DIV/0!</v>
      </c>
      <c r="L11" s="1462" t="e">
        <f>ROUND(L10/'geg ZO'!M37,2)</f>
        <v>#DIV/0!</v>
      </c>
      <c r="M11" s="1462" t="e">
        <f>ROUND(M10/'geg ZO'!N37,2)</f>
        <v>#DIV/0!</v>
      </c>
      <c r="N11" s="1462" t="e">
        <f>ROUND(N10/'geg ZO'!O37,2)</f>
        <v>#DIV/0!</v>
      </c>
      <c r="O11" s="1000"/>
      <c r="P11" s="517"/>
      <c r="T11" s="476"/>
      <c r="U11" s="476"/>
      <c r="V11" s="626"/>
      <c r="W11" s="626"/>
      <c r="X11" s="626"/>
      <c r="Y11" s="626"/>
      <c r="Z11" s="626"/>
      <c r="AA11" s="626"/>
      <c r="AB11" s="626"/>
      <c r="AC11" s="626"/>
      <c r="AD11" s="626"/>
      <c r="AE11" s="626"/>
      <c r="AF11" s="626"/>
      <c r="AG11" s="626"/>
      <c r="AH11" s="626"/>
      <c r="AI11" s="626"/>
    </row>
    <row r="12" spans="2:56" ht="13.15" customHeight="1" x14ac:dyDescent="0.2">
      <c r="B12" s="86"/>
      <c r="C12" s="1000"/>
      <c r="D12" s="1079"/>
      <c r="E12" s="1000"/>
      <c r="F12" s="1000"/>
      <c r="G12" s="1445"/>
      <c r="H12" s="1170"/>
      <c r="I12" s="1170"/>
      <c r="J12" s="1170"/>
      <c r="K12" s="1170"/>
      <c r="L12" s="1170"/>
      <c r="M12" s="1170"/>
      <c r="N12" s="1170"/>
      <c r="O12" s="1000"/>
      <c r="P12" s="517"/>
      <c r="T12" s="476"/>
      <c r="U12" s="476"/>
      <c r="V12" s="626"/>
      <c r="W12" s="626"/>
      <c r="X12" s="626"/>
      <c r="Y12" s="626"/>
      <c r="Z12" s="626"/>
      <c r="AA12" s="626"/>
      <c r="AB12" s="626"/>
      <c r="AC12" s="626"/>
      <c r="AD12" s="626"/>
      <c r="AE12" s="626"/>
      <c r="AF12" s="626"/>
      <c r="AG12" s="626"/>
      <c r="AH12" s="626"/>
      <c r="AI12" s="626"/>
    </row>
    <row r="13" spans="2:56" ht="13.15" customHeight="1" x14ac:dyDescent="0.2">
      <c r="B13" s="86"/>
      <c r="C13" s="1000"/>
      <c r="D13" s="1079" t="s">
        <v>424</v>
      </c>
      <c r="E13" s="1000"/>
      <c r="F13" s="1000"/>
      <c r="G13" s="1443" t="e">
        <f>+pers!H43</f>
        <v>#REF!</v>
      </c>
      <c r="H13" s="1443">
        <f>+pers!I31+pers!I36-'overdr SO'!J14</f>
        <v>0</v>
      </c>
      <c r="I13" s="1443">
        <f>+pers!J31+pers!J36-'overdr SO'!K14</f>
        <v>0</v>
      </c>
      <c r="J13" s="1443">
        <f>+pers!K31+pers!K36-'overdr SO'!L14</f>
        <v>0</v>
      </c>
      <c r="K13" s="1443">
        <f>+pers!L31+pers!L36-'overdr SO'!M14</f>
        <v>0</v>
      </c>
      <c r="L13" s="1443">
        <f>+pers!M31+pers!M36-'overdr SO'!N14</f>
        <v>0</v>
      </c>
      <c r="M13" s="1443">
        <f>+pers!N31+pers!N36-'overdr SO'!O14</f>
        <v>0</v>
      </c>
      <c r="N13" s="1443">
        <f>+pers!O31+pers!O36-'overdr SO'!P14</f>
        <v>0</v>
      </c>
      <c r="O13" s="1000"/>
      <c r="P13" s="517"/>
      <c r="T13" s="476"/>
      <c r="U13" s="476"/>
      <c r="V13" s="626"/>
      <c r="W13" s="626"/>
      <c r="X13" s="626"/>
      <c r="Y13" s="626"/>
      <c r="Z13" s="626"/>
      <c r="AA13" s="626"/>
      <c r="AB13" s="626"/>
      <c r="AC13" s="626"/>
      <c r="AD13" s="626"/>
      <c r="AE13" s="626"/>
      <c r="AF13" s="626"/>
      <c r="AG13" s="626"/>
      <c r="AH13" s="626"/>
      <c r="AI13" s="626"/>
    </row>
    <row r="14" spans="2:56" ht="13.15" customHeight="1" x14ac:dyDescent="0.2">
      <c r="B14" s="86"/>
      <c r="C14" s="1000"/>
      <c r="D14" s="1079" t="s">
        <v>425</v>
      </c>
      <c r="E14" s="1000"/>
      <c r="F14" s="1000"/>
      <c r="G14" s="1443">
        <v>0</v>
      </c>
      <c r="H14" s="1443">
        <f>+H10</f>
        <v>0</v>
      </c>
      <c r="I14" s="1443">
        <f t="shared" ref="I14:M14" si="0">+I10</f>
        <v>0</v>
      </c>
      <c r="J14" s="1443">
        <f t="shared" si="0"/>
        <v>0</v>
      </c>
      <c r="K14" s="1443">
        <f t="shared" si="0"/>
        <v>0</v>
      </c>
      <c r="L14" s="1443">
        <f t="shared" si="0"/>
        <v>0</v>
      </c>
      <c r="M14" s="1443">
        <f t="shared" si="0"/>
        <v>0</v>
      </c>
      <c r="N14" s="1443">
        <f t="shared" ref="N14" si="1">+N10</f>
        <v>0</v>
      </c>
      <c r="O14" s="1000"/>
      <c r="P14" s="517"/>
      <c r="T14" s="476"/>
      <c r="U14" s="476"/>
      <c r="V14" s="626"/>
      <c r="W14" s="626"/>
      <c r="X14" s="626"/>
      <c r="Y14" s="626"/>
      <c r="Z14" s="626"/>
      <c r="AA14" s="626"/>
      <c r="AB14" s="626"/>
      <c r="AC14" s="626"/>
      <c r="AD14" s="626"/>
      <c r="AE14" s="626"/>
      <c r="AF14" s="626"/>
      <c r="AG14" s="626"/>
      <c r="AH14" s="626"/>
      <c r="AI14" s="626"/>
    </row>
    <row r="15" spans="2:56" ht="13.15" customHeight="1" x14ac:dyDescent="0.2">
      <c r="B15" s="86"/>
      <c r="C15" s="1000"/>
      <c r="D15" s="1079" t="s">
        <v>837</v>
      </c>
      <c r="E15" s="1000"/>
      <c r="F15" s="1000"/>
      <c r="G15" s="1444">
        <v>0</v>
      </c>
      <c r="H15" s="1444">
        <f>IF(H13&gt;H14,0,IF(H13&lt;0,H14,H14-H13))</f>
        <v>0</v>
      </c>
      <c r="I15" s="1444">
        <f t="shared" ref="I15:M15" si="2">IF(I13&gt;I14,0,IF(I13&lt;0,I14,I14-I13))</f>
        <v>0</v>
      </c>
      <c r="J15" s="1444">
        <f t="shared" si="2"/>
        <v>0</v>
      </c>
      <c r="K15" s="1444">
        <f t="shared" si="2"/>
        <v>0</v>
      </c>
      <c r="L15" s="1444">
        <f t="shared" si="2"/>
        <v>0</v>
      </c>
      <c r="M15" s="1444">
        <f t="shared" si="2"/>
        <v>0</v>
      </c>
      <c r="N15" s="1444">
        <f t="shared" ref="N15" si="3">IF(N13&gt;N14,0,IF(N13&lt;0,N14,N14-N13))</f>
        <v>0</v>
      </c>
      <c r="O15" s="1000"/>
      <c r="P15" s="517"/>
      <c r="T15" s="476"/>
      <c r="U15" s="476"/>
      <c r="V15" s="626"/>
      <c r="W15" s="626"/>
      <c r="X15" s="626"/>
      <c r="Y15" s="626"/>
      <c r="Z15" s="626"/>
      <c r="AA15" s="626"/>
      <c r="AB15" s="626"/>
      <c r="AC15" s="626"/>
      <c r="AD15" s="626"/>
      <c r="AE15" s="626"/>
      <c r="AF15" s="626"/>
      <c r="AG15" s="626"/>
      <c r="AH15" s="626"/>
      <c r="AI15" s="626"/>
    </row>
    <row r="16" spans="2:56" ht="13.15" customHeight="1" x14ac:dyDescent="0.2">
      <c r="B16" s="86"/>
      <c r="C16" s="1000"/>
      <c r="D16" s="1079" t="s">
        <v>857</v>
      </c>
      <c r="E16" s="1000" t="s">
        <v>85</v>
      </c>
      <c r="F16" s="1000"/>
      <c r="G16" s="1444">
        <v>0</v>
      </c>
      <c r="H16" s="1444" t="e">
        <f>ROUND(H15/'geg ZO'!I37,2)</f>
        <v>#DIV/0!</v>
      </c>
      <c r="I16" s="1444" t="e">
        <f>ROUND(I15/'geg ZO'!J37,2)</f>
        <v>#DIV/0!</v>
      </c>
      <c r="J16" s="1444" t="e">
        <f>ROUND(J15/'geg ZO'!K37,2)</f>
        <v>#DIV/0!</v>
      </c>
      <c r="K16" s="1444" t="e">
        <f>ROUND(K15/'geg ZO'!L37,2)</f>
        <v>#DIV/0!</v>
      </c>
      <c r="L16" s="1444" t="e">
        <f>ROUND(L15/'geg ZO'!M37,2)</f>
        <v>#DIV/0!</v>
      </c>
      <c r="M16" s="1444" t="e">
        <f>ROUND(M15/'geg ZO'!N37,2)</f>
        <v>#DIV/0!</v>
      </c>
      <c r="N16" s="1444" t="e">
        <f>ROUND(N15/'geg ZO'!O37,2)</f>
        <v>#DIV/0!</v>
      </c>
      <c r="O16" s="1000"/>
      <c r="P16" s="517"/>
      <c r="T16" s="476"/>
      <c r="U16" s="476"/>
      <c r="V16" s="626"/>
      <c r="W16" s="626"/>
      <c r="X16" s="626"/>
      <c r="Y16" s="626"/>
      <c r="Z16" s="626"/>
      <c r="AA16" s="626"/>
      <c r="AB16" s="626"/>
      <c r="AC16" s="626"/>
      <c r="AD16" s="626"/>
      <c r="AE16" s="626"/>
      <c r="AF16" s="626"/>
      <c r="AG16" s="626"/>
      <c r="AH16" s="626"/>
      <c r="AI16" s="626"/>
    </row>
    <row r="17" spans="2:35" ht="13.15" customHeight="1" x14ac:dyDescent="0.2">
      <c r="B17" s="86"/>
      <c r="C17" s="1000"/>
      <c r="D17" s="1079"/>
      <c r="E17" s="1000"/>
      <c r="F17" s="1000"/>
      <c r="G17" s="1463"/>
      <c r="H17" s="1170"/>
      <c r="I17" s="1170"/>
      <c r="J17" s="1170"/>
      <c r="K17" s="1170"/>
      <c r="L17" s="1170"/>
      <c r="M17" s="1170"/>
      <c r="N17" s="1170"/>
      <c r="O17" s="1000"/>
      <c r="P17" s="517"/>
      <c r="T17" s="476"/>
      <c r="U17" s="476"/>
      <c r="V17" s="626"/>
      <c r="W17" s="626"/>
      <c r="X17" s="626"/>
      <c r="Y17" s="626"/>
      <c r="Z17" s="626"/>
      <c r="AA17" s="626"/>
      <c r="AB17" s="626"/>
      <c r="AC17" s="626"/>
      <c r="AD17" s="626"/>
      <c r="AE17" s="626"/>
      <c r="AF17" s="626"/>
      <c r="AG17" s="626"/>
      <c r="AH17" s="626"/>
      <c r="AI17" s="626"/>
    </row>
    <row r="18" spans="2:35" ht="13.15" customHeight="1" x14ac:dyDescent="0.2">
      <c r="B18" s="86"/>
      <c r="C18" s="1000"/>
      <c r="D18" s="1088" t="s">
        <v>937</v>
      </c>
      <c r="E18" s="1075"/>
      <c r="F18" s="1075"/>
      <c r="G18" s="1448">
        <v>0</v>
      </c>
      <c r="H18" s="1448">
        <f>+'overdr SO'!J14+H10</f>
        <v>0</v>
      </c>
      <c r="I18" s="1448">
        <f>+'overdr SO'!K14+I10</f>
        <v>0</v>
      </c>
      <c r="J18" s="1448">
        <f>+'overdr SO'!L14+J10</f>
        <v>0</v>
      </c>
      <c r="K18" s="1448">
        <f>+'overdr SO'!M14+K10</f>
        <v>0</v>
      </c>
      <c r="L18" s="1448">
        <f>+'overdr SO'!N14+L10</f>
        <v>0</v>
      </c>
      <c r="M18" s="1448">
        <f>+'overdr SO'!O14+M10</f>
        <v>0</v>
      </c>
      <c r="N18" s="1448">
        <f>+'overdr SO'!P14+N10</f>
        <v>0</v>
      </c>
      <c r="O18" s="1000"/>
      <c r="P18" s="517"/>
      <c r="T18" s="476"/>
      <c r="U18" s="476"/>
      <c r="V18" s="626"/>
      <c r="W18" s="626"/>
      <c r="X18" s="626"/>
      <c r="Y18" s="626"/>
      <c r="Z18" s="626"/>
      <c r="AA18" s="626"/>
      <c r="AB18" s="626"/>
      <c r="AC18" s="626"/>
      <c r="AD18" s="626"/>
      <c r="AE18" s="626"/>
      <c r="AF18" s="626"/>
      <c r="AG18" s="626"/>
      <c r="AH18" s="626"/>
      <c r="AI18" s="626"/>
    </row>
    <row r="19" spans="2:35" ht="13.15" customHeight="1" x14ac:dyDescent="0.2">
      <c r="B19" s="86"/>
      <c r="C19" s="1000"/>
      <c r="D19" s="1088" t="s">
        <v>85</v>
      </c>
      <c r="E19" s="1075"/>
      <c r="F19" s="1075"/>
      <c r="G19" s="1448">
        <v>0</v>
      </c>
      <c r="H19" s="1464" t="e">
        <f>ROUND(H18/'geg ZO'!I37,2)</f>
        <v>#DIV/0!</v>
      </c>
      <c r="I19" s="1464" t="e">
        <f>ROUND(I18/'geg ZO'!J37,2)</f>
        <v>#DIV/0!</v>
      </c>
      <c r="J19" s="1464" t="e">
        <f>ROUND(J18/'geg ZO'!K37,2)</f>
        <v>#DIV/0!</v>
      </c>
      <c r="K19" s="1464" t="e">
        <f>ROUND(K18/'geg ZO'!L37,2)</f>
        <v>#DIV/0!</v>
      </c>
      <c r="L19" s="1464" t="e">
        <f>ROUND(L18/'geg ZO'!M37,2)</f>
        <v>#DIV/0!</v>
      </c>
      <c r="M19" s="1464" t="e">
        <f>ROUND(M18/'geg ZO'!N37,2)</f>
        <v>#DIV/0!</v>
      </c>
      <c r="N19" s="1464" t="e">
        <f>ROUND(N18/'geg ZO'!O37,2)</f>
        <v>#DIV/0!</v>
      </c>
      <c r="O19" s="1000"/>
      <c r="P19" s="517"/>
      <c r="T19" s="476"/>
      <c r="U19" s="476"/>
      <c r="V19" s="626"/>
      <c r="W19" s="626"/>
      <c r="X19" s="626"/>
      <c r="Y19" s="626"/>
      <c r="Z19" s="626"/>
      <c r="AA19" s="626"/>
      <c r="AB19" s="626"/>
      <c r="AC19" s="626"/>
      <c r="AD19" s="626"/>
      <c r="AE19" s="626"/>
      <c r="AF19" s="626"/>
      <c r="AG19" s="626"/>
      <c r="AH19" s="626"/>
      <c r="AI19" s="626"/>
    </row>
    <row r="20" spans="2:35" ht="13.15" customHeight="1" x14ac:dyDescent="0.2">
      <c r="B20" s="86"/>
      <c r="C20" s="1000"/>
      <c r="D20" s="1088"/>
      <c r="E20" s="1075"/>
      <c r="F20" s="1000"/>
      <c r="G20" s="1450"/>
      <c r="H20" s="1175"/>
      <c r="I20" s="1175"/>
      <c r="J20" s="1175"/>
      <c r="K20" s="1175"/>
      <c r="L20" s="1175"/>
      <c r="M20" s="1175"/>
      <c r="N20" s="1175"/>
      <c r="O20" s="1000"/>
      <c r="P20" s="517"/>
      <c r="T20" s="476"/>
      <c r="U20" s="476"/>
      <c r="V20" s="626"/>
      <c r="W20" s="626"/>
      <c r="X20" s="626"/>
      <c r="Y20" s="626"/>
      <c r="Z20" s="626"/>
      <c r="AA20" s="626"/>
      <c r="AB20" s="626"/>
      <c r="AC20" s="626"/>
      <c r="AD20" s="626"/>
      <c r="AE20" s="626"/>
      <c r="AF20" s="626"/>
      <c r="AG20" s="626"/>
      <c r="AH20" s="626"/>
      <c r="AI20" s="626"/>
    </row>
    <row r="21" spans="2:35" ht="13.15" customHeight="1" x14ac:dyDescent="0.2">
      <c r="B21" s="86"/>
      <c r="C21" s="1000"/>
      <c r="D21" s="1088"/>
      <c r="E21" s="1075"/>
      <c r="F21" s="1000"/>
      <c r="G21" s="1450"/>
      <c r="H21" s="1175"/>
      <c r="I21" s="1175"/>
      <c r="J21" s="1175"/>
      <c r="K21" s="1175"/>
      <c r="L21" s="1175"/>
      <c r="M21" s="1175"/>
      <c r="N21" s="1175"/>
      <c r="O21" s="1000"/>
      <c r="P21" s="517"/>
      <c r="T21" s="476"/>
      <c r="U21" s="476"/>
      <c r="V21" s="626"/>
      <c r="W21" s="626"/>
      <c r="X21" s="626"/>
      <c r="Y21" s="626"/>
      <c r="Z21" s="626"/>
      <c r="AA21" s="626"/>
      <c r="AB21" s="626"/>
      <c r="AC21" s="626"/>
      <c r="AD21" s="626"/>
      <c r="AE21" s="626"/>
      <c r="AF21" s="626"/>
      <c r="AG21" s="626"/>
      <c r="AH21" s="626"/>
      <c r="AI21" s="626"/>
    </row>
    <row r="22" spans="2:35" ht="13.15" customHeight="1" x14ac:dyDescent="0.2">
      <c r="B22" s="86"/>
      <c r="C22" s="1000"/>
      <c r="D22" s="1185" t="s">
        <v>629</v>
      </c>
      <c r="E22" s="1000"/>
      <c r="F22" s="1000"/>
      <c r="G22" s="1465" t="e">
        <f>+tab!#REF!</f>
        <v>#REF!</v>
      </c>
      <c r="H22" s="1187">
        <f>+tab!C4</f>
        <v>2015</v>
      </c>
      <c r="I22" s="1187">
        <f>+tab!D4</f>
        <v>2016</v>
      </c>
      <c r="J22" s="1187">
        <f>+tab!E4</f>
        <v>2017</v>
      </c>
      <c r="K22" s="1187">
        <f>+tab!F4</f>
        <v>2018</v>
      </c>
      <c r="L22" s="1187">
        <f>+tab!G4</f>
        <v>2019</v>
      </c>
      <c r="M22" s="1187">
        <f>+tab!H4</f>
        <v>2020</v>
      </c>
      <c r="N22" s="1187">
        <f>+tab!I4</f>
        <v>2021</v>
      </c>
      <c r="O22" s="1000"/>
      <c r="P22" s="517"/>
      <c r="T22" s="476"/>
      <c r="U22" s="476"/>
      <c r="V22" s="626"/>
      <c r="W22" s="626"/>
      <c r="X22" s="626"/>
      <c r="Y22" s="626"/>
      <c r="Z22" s="626"/>
      <c r="AA22" s="626"/>
      <c r="AB22" s="626"/>
      <c r="AC22" s="626"/>
      <c r="AD22" s="626"/>
      <c r="AE22" s="626"/>
      <c r="AF22" s="626"/>
      <c r="AG22" s="626"/>
      <c r="AH22" s="626"/>
      <c r="AI22" s="626"/>
    </row>
    <row r="23" spans="2:35" ht="13.15" customHeight="1" x14ac:dyDescent="0.2">
      <c r="B23" s="86"/>
      <c r="C23" s="1000"/>
      <c r="D23" s="1088" t="s">
        <v>21</v>
      </c>
      <c r="E23" s="1000"/>
      <c r="F23" s="1000"/>
      <c r="G23" s="1448">
        <v>0</v>
      </c>
      <c r="H23" s="1448">
        <f>+mat!I147</f>
        <v>0</v>
      </c>
      <c r="I23" s="1448">
        <f>+mat!J147</f>
        <v>0</v>
      </c>
      <c r="J23" s="1448">
        <f>+mat!K147</f>
        <v>0</v>
      </c>
      <c r="K23" s="1448">
        <f>+mat!L147</f>
        <v>0</v>
      </c>
      <c r="L23" s="1448">
        <f>+mat!M147</f>
        <v>0</v>
      </c>
      <c r="M23" s="1448">
        <f>+mat!N147</f>
        <v>0</v>
      </c>
      <c r="N23" s="1448">
        <f>+mat!O147</f>
        <v>0</v>
      </c>
      <c r="O23" s="1000"/>
      <c r="P23" s="517"/>
      <c r="T23" s="476"/>
      <c r="U23" s="476"/>
      <c r="V23" s="626"/>
      <c r="W23" s="626"/>
      <c r="X23" s="626"/>
      <c r="Y23" s="626"/>
      <c r="Z23" s="626"/>
      <c r="AA23" s="626"/>
      <c r="AB23" s="626"/>
      <c r="AC23" s="626"/>
      <c r="AD23" s="626"/>
      <c r="AE23" s="626"/>
      <c r="AF23" s="626"/>
      <c r="AG23" s="626"/>
      <c r="AH23" s="626"/>
      <c r="AI23" s="626"/>
    </row>
    <row r="24" spans="2:35" ht="13.15" customHeight="1" x14ac:dyDescent="0.2">
      <c r="B24" s="86"/>
      <c r="C24" s="1000"/>
      <c r="D24" s="1079" t="s">
        <v>856</v>
      </c>
      <c r="E24" s="1000"/>
      <c r="F24" s="1000"/>
      <c r="G24" s="1444">
        <v>0</v>
      </c>
      <c r="H24" s="1462" t="e">
        <f>ROUND(H23/'geg ZO'!I37,2)</f>
        <v>#DIV/0!</v>
      </c>
      <c r="I24" s="1462" t="e">
        <f>ROUND(I23/'geg ZO'!J37,2)</f>
        <v>#DIV/0!</v>
      </c>
      <c r="J24" s="1462" t="e">
        <f>ROUND(J23/'geg ZO'!K37,2)</f>
        <v>#DIV/0!</v>
      </c>
      <c r="K24" s="1462" t="e">
        <f>ROUND(K23/'geg ZO'!L37,2)</f>
        <v>#DIV/0!</v>
      </c>
      <c r="L24" s="1462" t="e">
        <f>ROUND(L23/'geg ZO'!M37,2)</f>
        <v>#DIV/0!</v>
      </c>
      <c r="M24" s="1462" t="e">
        <f>ROUND(M23/'geg ZO'!N37,2)</f>
        <v>#DIV/0!</v>
      </c>
      <c r="N24" s="1462" t="e">
        <f>ROUND(N23/'geg ZO'!O37,2)</f>
        <v>#DIV/0!</v>
      </c>
      <c r="O24" s="1000"/>
      <c r="P24" s="517"/>
      <c r="T24" s="476"/>
      <c r="U24" s="476"/>
      <c r="V24" s="626"/>
      <c r="W24" s="626"/>
      <c r="X24" s="626"/>
      <c r="Y24" s="626"/>
      <c r="Z24" s="626"/>
      <c r="AA24" s="626"/>
      <c r="AB24" s="626"/>
      <c r="AC24" s="626"/>
      <c r="AD24" s="626"/>
      <c r="AE24" s="626"/>
      <c r="AF24" s="626"/>
      <c r="AG24" s="626"/>
      <c r="AH24" s="626"/>
      <c r="AI24" s="626"/>
    </row>
    <row r="25" spans="2:35" ht="13.15" customHeight="1" x14ac:dyDescent="0.2">
      <c r="B25" s="86"/>
      <c r="C25" s="1000"/>
      <c r="D25" s="1079"/>
      <c r="E25" s="1000"/>
      <c r="F25" s="1000"/>
      <c r="G25" s="1445"/>
      <c r="H25" s="1170"/>
      <c r="I25" s="1170"/>
      <c r="J25" s="1170"/>
      <c r="K25" s="1170"/>
      <c r="L25" s="1170"/>
      <c r="M25" s="1170"/>
      <c r="N25" s="1170"/>
      <c r="O25" s="1000"/>
      <c r="P25" s="517"/>
      <c r="T25" s="476"/>
      <c r="U25" s="476"/>
      <c r="V25" s="626"/>
      <c r="W25" s="626"/>
      <c r="X25" s="626"/>
      <c r="Y25" s="626"/>
      <c r="Z25" s="626"/>
      <c r="AA25" s="626"/>
      <c r="AB25" s="626"/>
      <c r="AC25" s="626"/>
      <c r="AD25" s="626"/>
      <c r="AE25" s="626"/>
      <c r="AF25" s="626"/>
      <c r="AG25" s="626"/>
      <c r="AH25" s="626"/>
      <c r="AI25" s="626"/>
    </row>
    <row r="26" spans="2:35" ht="13.15" customHeight="1" x14ac:dyDescent="0.2">
      <c r="B26" s="86"/>
      <c r="C26" s="1000"/>
      <c r="D26" s="1079" t="s">
        <v>426</v>
      </c>
      <c r="E26" s="1000"/>
      <c r="F26" s="1000"/>
      <c r="G26" s="1443">
        <v>0</v>
      </c>
      <c r="H26" s="1443">
        <f>+mat!I25-'overdr SO'!J20</f>
        <v>0</v>
      </c>
      <c r="I26" s="1443">
        <f>+mat!J25-'overdr SO'!K20</f>
        <v>0</v>
      </c>
      <c r="J26" s="1443">
        <f>+mat!K25-'overdr SO'!L20</f>
        <v>0</v>
      </c>
      <c r="K26" s="1443">
        <f>+mat!L25-'overdr SO'!M20</f>
        <v>0</v>
      </c>
      <c r="L26" s="1443">
        <f>+mat!M25-'overdr SO'!N20</f>
        <v>0</v>
      </c>
      <c r="M26" s="1443">
        <f>+mat!N25-'overdr SO'!O20</f>
        <v>0</v>
      </c>
      <c r="N26" s="1443">
        <f>+mat!O25-'overdr SO'!P20</f>
        <v>0</v>
      </c>
      <c r="O26" s="1000"/>
      <c r="P26" s="517"/>
      <c r="T26" s="476"/>
      <c r="U26" s="476"/>
      <c r="V26" s="626"/>
      <c r="W26" s="626"/>
      <c r="X26" s="626"/>
      <c r="Y26" s="626"/>
      <c r="Z26" s="626"/>
      <c r="AA26" s="626"/>
      <c r="AB26" s="626"/>
      <c r="AC26" s="626"/>
      <c r="AD26" s="626"/>
      <c r="AE26" s="626"/>
      <c r="AF26" s="626"/>
      <c r="AG26" s="626"/>
      <c r="AH26" s="626"/>
      <c r="AI26" s="626"/>
    </row>
    <row r="27" spans="2:35" ht="13.15" customHeight="1" x14ac:dyDescent="0.2">
      <c r="B27" s="86"/>
      <c r="C27" s="1000"/>
      <c r="D27" s="1079" t="s">
        <v>427</v>
      </c>
      <c r="E27" s="1000"/>
      <c r="F27" s="1000"/>
      <c r="G27" s="1443">
        <v>0</v>
      </c>
      <c r="H27" s="1443">
        <f>+H23</f>
        <v>0</v>
      </c>
      <c r="I27" s="1443">
        <f t="shared" ref="I27:M27" si="4">+I23</f>
        <v>0</v>
      </c>
      <c r="J27" s="1443">
        <f t="shared" si="4"/>
        <v>0</v>
      </c>
      <c r="K27" s="1443">
        <f t="shared" si="4"/>
        <v>0</v>
      </c>
      <c r="L27" s="1443">
        <f t="shared" si="4"/>
        <v>0</v>
      </c>
      <c r="M27" s="1443">
        <f t="shared" si="4"/>
        <v>0</v>
      </c>
      <c r="N27" s="1443">
        <f t="shared" ref="N27" si="5">+N23</f>
        <v>0</v>
      </c>
      <c r="O27" s="1000"/>
      <c r="P27" s="517"/>
      <c r="T27" s="476"/>
      <c r="U27" s="476"/>
      <c r="V27" s="626"/>
      <c r="W27" s="626"/>
      <c r="X27" s="626"/>
      <c r="Y27" s="626"/>
      <c r="Z27" s="626"/>
      <c r="AA27" s="626"/>
      <c r="AB27" s="626"/>
      <c r="AC27" s="626"/>
      <c r="AD27" s="626"/>
      <c r="AE27" s="626"/>
      <c r="AF27" s="626"/>
      <c r="AG27" s="626"/>
      <c r="AH27" s="626"/>
      <c r="AI27" s="626"/>
    </row>
    <row r="28" spans="2:35" ht="13.15" customHeight="1" x14ac:dyDescent="0.2">
      <c r="B28" s="86"/>
      <c r="C28" s="1000"/>
      <c r="D28" s="1079" t="s">
        <v>838</v>
      </c>
      <c r="E28" s="1000"/>
      <c r="F28" s="1000"/>
      <c r="G28" s="1444">
        <v>0</v>
      </c>
      <c r="H28" s="1444">
        <f>IF(H26&gt;H27,0,IF(H26&lt;0,H27,H27-H26))</f>
        <v>0</v>
      </c>
      <c r="I28" s="1444">
        <f t="shared" ref="I28:M28" si="6">IF(I26&gt;I27,0,I27-I26)</f>
        <v>0</v>
      </c>
      <c r="J28" s="1444">
        <f t="shared" si="6"/>
        <v>0</v>
      </c>
      <c r="K28" s="1444">
        <f t="shared" si="6"/>
        <v>0</v>
      </c>
      <c r="L28" s="1444">
        <f t="shared" si="6"/>
        <v>0</v>
      </c>
      <c r="M28" s="1444">
        <f t="shared" si="6"/>
        <v>0</v>
      </c>
      <c r="N28" s="1444">
        <f t="shared" ref="N28" si="7">IF(N26&gt;N27,0,N27-N26)</f>
        <v>0</v>
      </c>
      <c r="O28" s="1000"/>
      <c r="P28" s="517"/>
      <c r="T28" s="476"/>
      <c r="U28" s="476"/>
      <c r="V28" s="626"/>
      <c r="W28" s="626"/>
      <c r="X28" s="626"/>
      <c r="Y28" s="626"/>
      <c r="Z28" s="626"/>
      <c r="AA28" s="626"/>
      <c r="AB28" s="626"/>
      <c r="AC28" s="626"/>
      <c r="AD28" s="626"/>
      <c r="AE28" s="626"/>
      <c r="AF28" s="626"/>
      <c r="AG28" s="626"/>
      <c r="AH28" s="626"/>
      <c r="AI28" s="626"/>
    </row>
    <row r="29" spans="2:35" ht="13.15" customHeight="1" x14ac:dyDescent="0.2">
      <c r="B29" s="86"/>
      <c r="C29" s="1000"/>
      <c r="D29" s="1079" t="s">
        <v>857</v>
      </c>
      <c r="E29" s="1000" t="s">
        <v>85</v>
      </c>
      <c r="F29" s="1000"/>
      <c r="G29" s="1444">
        <v>0</v>
      </c>
      <c r="H29" s="1462" t="e">
        <f>ROUND(H28/'geg ZO'!I37,2)</f>
        <v>#DIV/0!</v>
      </c>
      <c r="I29" s="1462" t="e">
        <f>ROUND(I28/'geg ZO'!J37,2)</f>
        <v>#DIV/0!</v>
      </c>
      <c r="J29" s="1462" t="e">
        <f>ROUND(J28/'geg ZO'!K37,2)</f>
        <v>#DIV/0!</v>
      </c>
      <c r="K29" s="1462" t="e">
        <f>ROUND(K28/'geg ZO'!L37,2)</f>
        <v>#DIV/0!</v>
      </c>
      <c r="L29" s="1462" t="e">
        <f>ROUND(L28/'geg ZO'!M37,2)</f>
        <v>#DIV/0!</v>
      </c>
      <c r="M29" s="1462" t="e">
        <f>ROUND(M28/'geg ZO'!N37,2)</f>
        <v>#DIV/0!</v>
      </c>
      <c r="N29" s="1462" t="e">
        <f>ROUND(N28/'geg ZO'!O37,2)</f>
        <v>#DIV/0!</v>
      </c>
      <c r="O29" s="1000"/>
      <c r="P29" s="517"/>
      <c r="T29" s="476"/>
      <c r="U29" s="476"/>
      <c r="V29" s="626"/>
      <c r="W29" s="626"/>
      <c r="X29" s="626"/>
      <c r="Y29" s="626"/>
      <c r="Z29" s="626"/>
      <c r="AA29" s="626"/>
      <c r="AB29" s="626"/>
      <c r="AC29" s="626"/>
      <c r="AD29" s="626"/>
      <c r="AE29" s="626"/>
      <c r="AF29" s="626"/>
      <c r="AG29" s="626"/>
      <c r="AH29" s="626"/>
      <c r="AI29" s="626"/>
    </row>
    <row r="30" spans="2:35" ht="13.15" customHeight="1" x14ac:dyDescent="0.2">
      <c r="B30" s="86"/>
      <c r="C30" s="1000"/>
      <c r="D30" s="1079"/>
      <c r="E30" s="1075"/>
      <c r="F30" s="1000"/>
      <c r="G30" s="1466"/>
      <c r="H30" s="1188"/>
      <c r="I30" s="1188"/>
      <c r="J30" s="1188"/>
      <c r="K30" s="1188"/>
      <c r="L30" s="1188"/>
      <c r="M30" s="1188"/>
      <c r="N30" s="1188"/>
      <c r="O30" s="1000"/>
      <c r="P30" s="517"/>
      <c r="T30" s="476"/>
      <c r="U30" s="476"/>
      <c r="V30" s="626"/>
      <c r="W30" s="626"/>
      <c r="X30" s="626"/>
      <c r="Y30" s="626"/>
      <c r="Z30" s="626"/>
      <c r="AA30" s="626"/>
      <c r="AB30" s="626"/>
      <c r="AC30" s="626"/>
      <c r="AD30" s="626"/>
      <c r="AE30" s="626"/>
      <c r="AF30" s="626"/>
      <c r="AG30" s="626"/>
      <c r="AH30" s="626"/>
      <c r="AI30" s="626"/>
    </row>
    <row r="31" spans="2:35" ht="13.15" customHeight="1" x14ac:dyDescent="0.2">
      <c r="B31" s="86"/>
      <c r="C31" s="1000"/>
      <c r="D31" s="1088" t="s">
        <v>938</v>
      </c>
      <c r="E31" s="1000"/>
      <c r="F31" s="1075"/>
      <c r="G31" s="1448">
        <v>0</v>
      </c>
      <c r="H31" s="1166">
        <f>+'overdr SO'!J20+H23</f>
        <v>0</v>
      </c>
      <c r="I31" s="1166">
        <f>+'overdr SO'!K20+I23</f>
        <v>0</v>
      </c>
      <c r="J31" s="1166">
        <f>+'overdr SO'!L20+J23</f>
        <v>0</v>
      </c>
      <c r="K31" s="1166">
        <f>+'overdr SO'!M20+K23</f>
        <v>0</v>
      </c>
      <c r="L31" s="1166">
        <f>+'overdr SO'!N20+L23</f>
        <v>0</v>
      </c>
      <c r="M31" s="1166">
        <f>+'overdr SO'!O20+M23</f>
        <v>0</v>
      </c>
      <c r="N31" s="1166">
        <f>+'overdr SO'!P20+N23</f>
        <v>0</v>
      </c>
      <c r="O31" s="1000"/>
      <c r="P31" s="517"/>
      <c r="T31" s="476"/>
      <c r="U31" s="476"/>
      <c r="V31" s="626"/>
      <c r="W31" s="626"/>
      <c r="X31" s="626"/>
      <c r="Y31" s="626"/>
      <c r="Z31" s="626"/>
      <c r="AA31" s="626"/>
      <c r="AB31" s="626"/>
      <c r="AC31" s="626"/>
      <c r="AD31" s="626"/>
      <c r="AE31" s="626"/>
      <c r="AF31" s="626"/>
      <c r="AG31" s="626"/>
      <c r="AH31" s="626"/>
      <c r="AI31" s="626"/>
    </row>
    <row r="32" spans="2:35" ht="13.15" customHeight="1" x14ac:dyDescent="0.2">
      <c r="B32" s="86"/>
      <c r="C32" s="1000"/>
      <c r="D32" s="1088" t="s">
        <v>85</v>
      </c>
      <c r="E32" s="1000"/>
      <c r="F32" s="1000"/>
      <c r="G32" s="1448">
        <v>0</v>
      </c>
      <c r="H32" s="1464" t="e">
        <f>ROUND(H31/'geg ZO'!I37,2)</f>
        <v>#DIV/0!</v>
      </c>
      <c r="I32" s="1464" t="e">
        <f>ROUND(I31/'geg ZO'!J37,2)</f>
        <v>#DIV/0!</v>
      </c>
      <c r="J32" s="1464" t="e">
        <f>ROUND(J31/'geg ZO'!K37,2)</f>
        <v>#DIV/0!</v>
      </c>
      <c r="K32" s="1464" t="e">
        <f>ROUND(K31/'geg ZO'!L37,2)</f>
        <v>#DIV/0!</v>
      </c>
      <c r="L32" s="1464" t="e">
        <f>ROUND(L31/'geg ZO'!M37,2)</f>
        <v>#DIV/0!</v>
      </c>
      <c r="M32" s="1464" t="e">
        <f>ROUND(M31/'geg ZO'!N37,2)</f>
        <v>#DIV/0!</v>
      </c>
      <c r="N32" s="1464" t="e">
        <f>ROUND(N31/'geg ZO'!O37,2)</f>
        <v>#DIV/0!</v>
      </c>
      <c r="O32" s="1000"/>
      <c r="P32" s="517"/>
      <c r="T32" s="476"/>
      <c r="U32" s="476"/>
      <c r="V32" s="626"/>
      <c r="W32" s="626"/>
      <c r="X32" s="626"/>
      <c r="Y32" s="626"/>
      <c r="Z32" s="626"/>
      <c r="AA32" s="626"/>
      <c r="AB32" s="626"/>
      <c r="AC32" s="626"/>
      <c r="AD32" s="626"/>
      <c r="AE32" s="626"/>
      <c r="AF32" s="626"/>
      <c r="AG32" s="626"/>
      <c r="AH32" s="626"/>
      <c r="AI32" s="626"/>
    </row>
    <row r="33" spans="1:85" ht="13.15" customHeight="1" x14ac:dyDescent="0.2">
      <c r="B33" s="86"/>
      <c r="C33" s="1000"/>
      <c r="D33" s="1079"/>
      <c r="E33" s="1075"/>
      <c r="F33" s="1000"/>
      <c r="G33" s="1175"/>
      <c r="H33" s="1175"/>
      <c r="I33" s="1175"/>
      <c r="J33" s="1175"/>
      <c r="K33" s="1175"/>
      <c r="L33" s="1175"/>
      <c r="M33" s="1175"/>
      <c r="N33" s="1175"/>
      <c r="O33" s="1000"/>
      <c r="P33" s="517"/>
      <c r="T33" s="476"/>
      <c r="U33" s="476"/>
      <c r="V33" s="626"/>
      <c r="W33" s="626"/>
      <c r="X33" s="626"/>
      <c r="Y33" s="626"/>
      <c r="Z33" s="626"/>
      <c r="AA33" s="626"/>
      <c r="AB33" s="626"/>
      <c r="AC33" s="626"/>
      <c r="AD33" s="626"/>
      <c r="AE33" s="626"/>
      <c r="AF33" s="626"/>
      <c r="AG33" s="626"/>
      <c r="AH33" s="626"/>
      <c r="AI33" s="626"/>
    </row>
    <row r="34" spans="1:85" ht="13.15" customHeight="1" x14ac:dyDescent="0.2">
      <c r="B34" s="477"/>
      <c r="C34" s="478"/>
      <c r="D34" s="605"/>
      <c r="E34" s="608"/>
      <c r="F34" s="478"/>
      <c r="G34" s="808"/>
      <c r="H34" s="808"/>
      <c r="I34" s="808"/>
      <c r="J34" s="808"/>
      <c r="K34" s="808"/>
      <c r="L34" s="808"/>
      <c r="M34" s="808"/>
      <c r="N34" s="808"/>
      <c r="O34" s="478"/>
      <c r="P34" s="482"/>
      <c r="T34" s="476"/>
      <c r="U34" s="476"/>
      <c r="V34" s="626"/>
      <c r="W34" s="626"/>
      <c r="X34" s="626"/>
      <c r="Y34" s="626"/>
      <c r="Z34" s="626"/>
      <c r="AA34" s="626"/>
      <c r="AB34" s="626"/>
      <c r="AC34" s="626"/>
      <c r="AD34" s="626"/>
      <c r="AE34" s="626"/>
      <c r="AF34" s="626"/>
      <c r="AG34" s="626"/>
      <c r="AH34" s="626"/>
      <c r="AI34" s="626"/>
    </row>
    <row r="35" spans="1:85" ht="13.15" customHeight="1" x14ac:dyDescent="0.25">
      <c r="B35" s="477"/>
      <c r="C35" s="478"/>
      <c r="D35" s="817"/>
      <c r="E35" s="580"/>
      <c r="F35" s="579"/>
      <c r="G35" s="581"/>
      <c r="H35" s="581"/>
      <c r="I35" s="581"/>
      <c r="J35" s="581"/>
      <c r="K35" s="581"/>
      <c r="L35" s="581"/>
      <c r="M35" s="581"/>
      <c r="N35" s="581"/>
      <c r="O35" s="579"/>
      <c r="P35" s="482"/>
      <c r="T35" s="476"/>
      <c r="U35" s="476"/>
      <c r="V35" s="626"/>
      <c r="W35" s="626"/>
      <c r="X35" s="626"/>
      <c r="Y35" s="626"/>
      <c r="Z35" s="626"/>
      <c r="AA35" s="626"/>
      <c r="AB35" s="626"/>
      <c r="AC35" s="626"/>
      <c r="AD35" s="626"/>
      <c r="AE35" s="626"/>
      <c r="AF35" s="626"/>
      <c r="AG35" s="626"/>
      <c r="AH35" s="626"/>
      <c r="AI35" s="626"/>
    </row>
    <row r="36" spans="1:85" ht="13.15" customHeight="1" x14ac:dyDescent="0.25">
      <c r="B36" s="477"/>
      <c r="C36" s="809" t="s">
        <v>808</v>
      </c>
      <c r="D36" s="812"/>
      <c r="E36" s="811"/>
      <c r="F36" s="809"/>
      <c r="G36" s="810"/>
      <c r="H36" s="810"/>
      <c r="I36" s="810"/>
      <c r="J36" s="810"/>
      <c r="K36" s="810"/>
      <c r="L36" s="810"/>
      <c r="M36" s="810"/>
      <c r="N36" s="810"/>
      <c r="O36" s="579"/>
      <c r="P36" s="482"/>
      <c r="T36" s="476"/>
      <c r="U36" s="476"/>
      <c r="V36" s="626"/>
      <c r="W36" s="626"/>
      <c r="X36" s="626"/>
      <c r="Y36" s="626"/>
      <c r="Z36" s="626"/>
      <c r="AA36" s="626"/>
      <c r="AB36" s="626"/>
      <c r="AC36" s="626"/>
      <c r="AD36" s="626"/>
      <c r="AE36" s="626"/>
      <c r="AF36" s="626"/>
      <c r="AG36" s="626"/>
      <c r="AH36" s="626"/>
      <c r="AI36" s="626"/>
    </row>
    <row r="37" spans="1:85" ht="13.15" customHeight="1" x14ac:dyDescent="0.25">
      <c r="B37" s="477"/>
      <c r="C37" s="809" t="s">
        <v>946</v>
      </c>
      <c r="D37" s="812"/>
      <c r="E37" s="811"/>
      <c r="F37" s="809"/>
      <c r="G37" s="810"/>
      <c r="H37" s="810"/>
      <c r="I37" s="810"/>
      <c r="J37" s="810"/>
      <c r="K37" s="810"/>
      <c r="L37" s="810"/>
      <c r="M37" s="810"/>
      <c r="N37" s="810"/>
      <c r="O37" s="579"/>
      <c r="P37" s="482"/>
      <c r="T37" s="476"/>
      <c r="U37" s="476"/>
      <c r="V37" s="626"/>
      <c r="W37" s="626"/>
      <c r="X37" s="626"/>
      <c r="Y37" s="626"/>
      <c r="Z37" s="626"/>
      <c r="AA37" s="626"/>
      <c r="AB37" s="626"/>
      <c r="AC37" s="626"/>
      <c r="AD37" s="626"/>
      <c r="AE37" s="626"/>
      <c r="AF37" s="626"/>
      <c r="AG37" s="626"/>
      <c r="AH37" s="626"/>
      <c r="AI37" s="626"/>
    </row>
    <row r="38" spans="1:85" ht="13.15" customHeight="1" x14ac:dyDescent="0.25">
      <c r="B38" s="477"/>
      <c r="C38" s="809" t="s">
        <v>947</v>
      </c>
      <c r="D38" s="812"/>
      <c r="E38" s="811"/>
      <c r="F38" s="809"/>
      <c r="G38" s="810"/>
      <c r="H38" s="810"/>
      <c r="I38" s="810"/>
      <c r="J38" s="810"/>
      <c r="K38" s="810"/>
      <c r="L38" s="810"/>
      <c r="M38" s="810"/>
      <c r="N38" s="810"/>
      <c r="O38" s="579"/>
      <c r="P38" s="482"/>
      <c r="T38" s="476"/>
      <c r="U38" s="476"/>
      <c r="V38" s="626"/>
      <c r="W38" s="626"/>
      <c r="X38" s="626"/>
      <c r="Y38" s="626"/>
      <c r="Z38" s="626"/>
      <c r="AA38" s="626"/>
      <c r="AB38" s="626"/>
      <c r="AC38" s="626"/>
      <c r="AD38" s="626"/>
      <c r="AE38" s="626"/>
      <c r="AF38" s="626"/>
      <c r="AG38" s="626"/>
      <c r="AH38" s="626"/>
      <c r="AI38" s="626"/>
    </row>
    <row r="39" spans="1:85" ht="13.15" customHeight="1" x14ac:dyDescent="0.25">
      <c r="B39" s="477"/>
      <c r="C39" s="809" t="s">
        <v>809</v>
      </c>
      <c r="D39" s="812"/>
      <c r="E39" s="811"/>
      <c r="F39" s="809"/>
      <c r="G39" s="810"/>
      <c r="H39" s="810"/>
      <c r="I39" s="810"/>
      <c r="J39" s="810"/>
      <c r="K39" s="810"/>
      <c r="L39" s="810"/>
      <c r="M39" s="810"/>
      <c r="N39" s="810"/>
      <c r="O39" s="579"/>
      <c r="P39" s="482"/>
      <c r="T39" s="476"/>
      <c r="U39" s="476"/>
      <c r="V39" s="626"/>
      <c r="W39" s="626"/>
      <c r="X39" s="626"/>
      <c r="Y39" s="626"/>
      <c r="Z39" s="626"/>
      <c r="AA39" s="626"/>
      <c r="AB39" s="626"/>
      <c r="AC39" s="626"/>
      <c r="AD39" s="626"/>
      <c r="AE39" s="626"/>
      <c r="AF39" s="626"/>
      <c r="AG39" s="626"/>
      <c r="AH39" s="626"/>
      <c r="AI39" s="626"/>
    </row>
    <row r="40" spans="1:85" ht="13.15" customHeight="1" x14ac:dyDescent="0.25">
      <c r="B40" s="477"/>
      <c r="C40" s="809" t="s">
        <v>942</v>
      </c>
      <c r="D40" s="812"/>
      <c r="E40" s="811"/>
      <c r="F40" s="809"/>
      <c r="G40" s="810"/>
      <c r="H40" s="810"/>
      <c r="I40" s="810"/>
      <c r="J40" s="810"/>
      <c r="K40" s="810"/>
      <c r="L40" s="810"/>
      <c r="M40" s="810"/>
      <c r="N40" s="810"/>
      <c r="O40" s="579"/>
      <c r="P40" s="482"/>
      <c r="T40" s="476"/>
      <c r="U40" s="476"/>
      <c r="V40" s="626"/>
      <c r="W40" s="626"/>
      <c r="X40" s="626"/>
      <c r="Y40" s="626"/>
      <c r="Z40" s="626"/>
      <c r="AA40" s="626"/>
      <c r="AB40" s="626"/>
      <c r="AC40" s="626"/>
      <c r="AD40" s="626"/>
      <c r="AE40" s="626"/>
      <c r="AF40" s="626"/>
      <c r="AG40" s="626"/>
      <c r="AH40" s="626"/>
      <c r="AI40" s="626"/>
    </row>
    <row r="41" spans="1:85" ht="13.15" customHeight="1" x14ac:dyDescent="0.25">
      <c r="B41" s="477"/>
      <c r="C41" s="478"/>
      <c r="D41" s="817"/>
      <c r="E41" s="580"/>
      <c r="F41" s="579"/>
      <c r="G41" s="581"/>
      <c r="H41" s="581"/>
      <c r="I41" s="581"/>
      <c r="J41" s="581"/>
      <c r="K41" s="581"/>
      <c r="L41" s="581"/>
      <c r="M41" s="581"/>
      <c r="N41" s="581"/>
      <c r="O41" s="579"/>
      <c r="P41" s="482"/>
      <c r="T41" s="625"/>
      <c r="U41" s="625"/>
      <c r="V41" s="626"/>
      <c r="W41" s="626"/>
      <c r="X41" s="626"/>
      <c r="Y41" s="626"/>
      <c r="Z41" s="626"/>
      <c r="AA41" s="626"/>
      <c r="AB41" s="626"/>
      <c r="AC41" s="626"/>
      <c r="AD41" s="626"/>
      <c r="AE41" s="626"/>
      <c r="AF41" s="626"/>
      <c r="AG41" s="626"/>
      <c r="AH41" s="626"/>
      <c r="AI41" s="626"/>
    </row>
    <row r="42" spans="1:85" ht="13.15" customHeight="1" x14ac:dyDescent="0.2">
      <c r="B42" s="494"/>
      <c r="C42" s="495"/>
      <c r="D42" s="818"/>
      <c r="E42" s="611"/>
      <c r="F42" s="611"/>
      <c r="G42" s="611"/>
      <c r="H42" s="611"/>
      <c r="I42" s="611"/>
      <c r="J42" s="611"/>
      <c r="K42" s="611"/>
      <c r="L42" s="611"/>
      <c r="M42" s="611"/>
      <c r="N42" s="611"/>
      <c r="O42" s="611"/>
      <c r="P42" s="612"/>
    </row>
    <row r="43" spans="1:85" s="604" customFormat="1" ht="13.15" customHeight="1" x14ac:dyDescent="0.2">
      <c r="D43" s="819"/>
    </row>
    <row r="44" spans="1:85" s="604" customFormat="1" ht="13.15" customHeight="1" x14ac:dyDescent="0.2">
      <c r="A44" s="626"/>
      <c r="B44" s="626"/>
      <c r="C44" s="626"/>
      <c r="D44" s="1467"/>
      <c r="E44" s="626"/>
      <c r="F44" s="626"/>
      <c r="G44" s="626"/>
      <c r="H44" s="626"/>
      <c r="I44" s="626"/>
      <c r="J44" s="626"/>
      <c r="K44" s="626"/>
      <c r="L44" s="626"/>
      <c r="M44" s="626"/>
      <c r="N44" s="626"/>
      <c r="O44" s="626"/>
      <c r="P44" s="626"/>
      <c r="Q44" s="626"/>
      <c r="R44" s="626"/>
      <c r="S44" s="626"/>
      <c r="T44" s="626"/>
      <c r="U44" s="626"/>
      <c r="V44" s="626"/>
      <c r="W44" s="626"/>
      <c r="X44" s="626"/>
      <c r="Y44" s="626"/>
      <c r="Z44" s="626"/>
      <c r="AA44" s="626"/>
      <c r="AB44" s="626"/>
      <c r="AC44" s="626"/>
      <c r="AD44" s="626"/>
      <c r="AE44" s="626"/>
      <c r="AF44" s="626"/>
      <c r="AG44" s="626"/>
      <c r="AH44" s="626"/>
      <c r="AI44" s="626"/>
      <c r="AJ44" s="626"/>
      <c r="AK44" s="626"/>
      <c r="AL44" s="626"/>
      <c r="AM44" s="626"/>
      <c r="AN44" s="626"/>
      <c r="AO44" s="626"/>
      <c r="AP44" s="626"/>
      <c r="AQ44" s="626"/>
      <c r="AR44" s="626"/>
      <c r="AS44" s="626"/>
      <c r="AT44" s="626"/>
      <c r="AU44" s="626"/>
      <c r="AV44" s="626"/>
      <c r="AW44" s="626"/>
      <c r="AX44" s="626"/>
      <c r="AY44" s="626"/>
      <c r="AZ44" s="626"/>
      <c r="BA44" s="626"/>
      <c r="BB44" s="626"/>
      <c r="BC44" s="626"/>
      <c r="BD44" s="626"/>
      <c r="BE44" s="626"/>
      <c r="BF44" s="626"/>
      <c r="BG44" s="626"/>
      <c r="BH44" s="626"/>
      <c r="BI44" s="626"/>
      <c r="BJ44" s="626"/>
      <c r="BK44" s="626"/>
      <c r="BL44" s="626"/>
      <c r="BM44" s="626"/>
      <c r="BN44" s="626"/>
      <c r="BO44" s="626"/>
      <c r="BP44" s="626"/>
      <c r="BQ44" s="626"/>
      <c r="BR44" s="626"/>
      <c r="BS44" s="626"/>
      <c r="BT44" s="626"/>
      <c r="BU44" s="626"/>
      <c r="BV44" s="626"/>
      <c r="BW44" s="626"/>
      <c r="BX44" s="626"/>
      <c r="BY44" s="626"/>
      <c r="BZ44" s="626"/>
      <c r="CA44" s="626"/>
      <c r="CB44" s="626"/>
      <c r="CC44" s="626"/>
      <c r="CD44" s="626"/>
      <c r="CE44" s="626"/>
      <c r="CF44" s="626"/>
      <c r="CG44" s="626"/>
    </row>
    <row r="45" spans="1:85" s="604" customFormat="1" ht="13.15" customHeight="1" x14ac:dyDescent="0.2">
      <c r="A45" s="626"/>
      <c r="B45" s="626"/>
      <c r="C45" s="626"/>
      <c r="D45" s="1467"/>
      <c r="E45" s="626"/>
      <c r="F45" s="626"/>
      <c r="G45" s="626"/>
      <c r="H45" s="626"/>
      <c r="I45" s="626"/>
      <c r="J45" s="626"/>
      <c r="K45" s="626"/>
      <c r="L45" s="626"/>
      <c r="M45" s="626"/>
      <c r="N45" s="626"/>
      <c r="O45" s="626"/>
      <c r="P45" s="626"/>
      <c r="Q45" s="626"/>
      <c r="R45" s="626"/>
      <c r="S45" s="626"/>
      <c r="T45" s="626"/>
      <c r="U45" s="626"/>
      <c r="V45" s="626"/>
      <c r="W45" s="626"/>
      <c r="X45" s="626"/>
      <c r="Y45" s="626"/>
      <c r="Z45" s="626"/>
      <c r="AA45" s="626"/>
      <c r="AB45" s="626"/>
      <c r="AC45" s="626"/>
      <c r="AD45" s="626"/>
      <c r="AE45" s="626"/>
      <c r="AF45" s="626"/>
      <c r="AG45" s="626"/>
      <c r="AH45" s="626"/>
      <c r="AI45" s="626"/>
      <c r="AJ45" s="626"/>
      <c r="AK45" s="626"/>
      <c r="AL45" s="626"/>
      <c r="AM45" s="626"/>
      <c r="AN45" s="626"/>
      <c r="AO45" s="626"/>
      <c r="AP45" s="626"/>
      <c r="AQ45" s="626"/>
      <c r="AR45" s="626"/>
      <c r="AS45" s="626"/>
      <c r="AT45" s="626"/>
      <c r="AU45" s="626"/>
      <c r="AV45" s="626"/>
      <c r="AW45" s="626"/>
      <c r="AX45" s="626"/>
      <c r="AY45" s="626"/>
      <c r="AZ45" s="626"/>
      <c r="BA45" s="626"/>
      <c r="BB45" s="626"/>
      <c r="BC45" s="626"/>
      <c r="BD45" s="626"/>
      <c r="BE45" s="626"/>
      <c r="BF45" s="626"/>
      <c r="BG45" s="626"/>
      <c r="BH45" s="626"/>
      <c r="BI45" s="626"/>
      <c r="BJ45" s="626"/>
      <c r="BK45" s="626"/>
      <c r="BL45" s="626"/>
      <c r="BM45" s="626"/>
      <c r="BN45" s="626"/>
      <c r="BO45" s="626"/>
      <c r="BP45" s="626"/>
      <c r="BQ45" s="626"/>
      <c r="BR45" s="626"/>
      <c r="BS45" s="626"/>
      <c r="BT45" s="626"/>
      <c r="BU45" s="626"/>
      <c r="BV45" s="626"/>
      <c r="BW45" s="626"/>
      <c r="BX45" s="626"/>
      <c r="BY45" s="626"/>
      <c r="BZ45" s="626"/>
      <c r="CA45" s="626"/>
      <c r="CB45" s="626"/>
      <c r="CC45" s="626"/>
      <c r="CD45" s="626"/>
      <c r="CE45" s="626"/>
      <c r="CF45" s="626"/>
      <c r="CG45" s="626"/>
    </row>
    <row r="46" spans="1:85" s="604" customFormat="1" ht="13.15" customHeight="1" x14ac:dyDescent="0.2">
      <c r="D46" s="819"/>
    </row>
    <row r="47" spans="1:85" s="604" customFormat="1" ht="13.15" customHeight="1" x14ac:dyDescent="0.2">
      <c r="D47" s="819"/>
    </row>
    <row r="48" spans="1:85" s="604" customFormat="1" ht="13.15" customHeight="1" x14ac:dyDescent="0.2">
      <c r="D48" s="819"/>
    </row>
    <row r="49" spans="4:4" s="604" customFormat="1" ht="13.15" customHeight="1" x14ac:dyDescent="0.2">
      <c r="D49" s="819"/>
    </row>
    <row r="50" spans="4:4" s="604" customFormat="1" ht="13.15" customHeight="1" x14ac:dyDescent="0.2">
      <c r="D50" s="819"/>
    </row>
    <row r="51" spans="4:4" s="604" customFormat="1" ht="13.15" customHeight="1" x14ac:dyDescent="0.2">
      <c r="D51" s="819"/>
    </row>
    <row r="52" spans="4:4" s="604" customFormat="1" ht="13.15" customHeight="1" x14ac:dyDescent="0.2">
      <c r="D52" s="819"/>
    </row>
    <row r="53" spans="4:4" s="604" customFormat="1" ht="13.15" customHeight="1" x14ac:dyDescent="0.2">
      <c r="D53" s="819"/>
    </row>
    <row r="54" spans="4:4" s="604" customFormat="1" ht="13.15" customHeight="1" x14ac:dyDescent="0.2">
      <c r="D54" s="819"/>
    </row>
    <row r="55" spans="4:4" s="604" customFormat="1" ht="13.15" customHeight="1" x14ac:dyDescent="0.2">
      <c r="D55" s="819"/>
    </row>
    <row r="56" spans="4:4" s="604" customFormat="1" ht="13.15" customHeight="1" x14ac:dyDescent="0.2">
      <c r="D56" s="819"/>
    </row>
    <row r="57" spans="4:4" s="604" customFormat="1" ht="13.15" customHeight="1" x14ac:dyDescent="0.2">
      <c r="D57" s="819"/>
    </row>
    <row r="58" spans="4:4" s="604" customFormat="1" ht="13.15" customHeight="1" x14ac:dyDescent="0.2">
      <c r="D58" s="819"/>
    </row>
    <row r="59" spans="4:4" s="604" customFormat="1" ht="13.15" customHeight="1" x14ac:dyDescent="0.2">
      <c r="D59" s="819"/>
    </row>
    <row r="60" spans="4:4" s="604" customFormat="1" ht="13.15" customHeight="1" x14ac:dyDescent="0.2">
      <c r="D60" s="819"/>
    </row>
    <row r="61" spans="4:4" s="604" customFormat="1" ht="13.15" customHeight="1" x14ac:dyDescent="0.2">
      <c r="D61" s="819"/>
    </row>
    <row r="62" spans="4:4" s="604" customFormat="1" ht="13.15" customHeight="1" x14ac:dyDescent="0.2">
      <c r="D62" s="819"/>
    </row>
    <row r="63" spans="4:4" s="604" customFormat="1" ht="13.15" customHeight="1" x14ac:dyDescent="0.2">
      <c r="D63" s="819"/>
    </row>
    <row r="64" spans="4:4" s="604" customFormat="1" ht="13.15" customHeight="1" x14ac:dyDescent="0.2">
      <c r="D64" s="819"/>
    </row>
    <row r="65" spans="4:4" s="604" customFormat="1" ht="13.15" customHeight="1" x14ac:dyDescent="0.2">
      <c r="D65" s="819"/>
    </row>
    <row r="66" spans="4:4" s="604" customFormat="1" ht="13.15" customHeight="1" x14ac:dyDescent="0.2">
      <c r="D66" s="819"/>
    </row>
    <row r="67" spans="4:4" s="604" customFormat="1" ht="13.15" customHeight="1" x14ac:dyDescent="0.2">
      <c r="D67" s="819"/>
    </row>
    <row r="68" spans="4:4" s="604" customFormat="1" ht="13.15" customHeight="1" x14ac:dyDescent="0.2">
      <c r="D68" s="819"/>
    </row>
    <row r="69" spans="4:4" s="604" customFormat="1" ht="13.15" customHeight="1" x14ac:dyDescent="0.2">
      <c r="D69" s="819"/>
    </row>
    <row r="70" spans="4:4" s="604" customFormat="1" ht="13.15" customHeight="1" x14ac:dyDescent="0.2">
      <c r="D70" s="819"/>
    </row>
    <row r="71" spans="4:4" s="604" customFormat="1" ht="13.15" customHeight="1" x14ac:dyDescent="0.2">
      <c r="D71" s="819"/>
    </row>
    <row r="72" spans="4:4" s="604" customFormat="1" ht="13.15" customHeight="1" x14ac:dyDescent="0.2">
      <c r="D72" s="819"/>
    </row>
    <row r="73" spans="4:4" s="604" customFormat="1" ht="13.15" customHeight="1" x14ac:dyDescent="0.2">
      <c r="D73" s="819"/>
    </row>
    <row r="74" spans="4:4" s="604" customFormat="1" ht="13.15" customHeight="1" x14ac:dyDescent="0.2">
      <c r="D74" s="819"/>
    </row>
    <row r="75" spans="4:4" s="604" customFormat="1" ht="13.15" customHeight="1" x14ac:dyDescent="0.2">
      <c r="D75" s="819"/>
    </row>
    <row r="76" spans="4:4" s="604" customFormat="1" ht="13.15" customHeight="1" x14ac:dyDescent="0.2">
      <c r="D76" s="819"/>
    </row>
    <row r="77" spans="4:4" s="604" customFormat="1" ht="13.15" customHeight="1" x14ac:dyDescent="0.2">
      <c r="D77" s="819"/>
    </row>
    <row r="78" spans="4:4" s="604" customFormat="1" ht="13.15" customHeight="1" x14ac:dyDescent="0.2">
      <c r="D78" s="819"/>
    </row>
    <row r="79" spans="4:4" s="604" customFormat="1" ht="13.15" customHeight="1" x14ac:dyDescent="0.2">
      <c r="D79" s="819"/>
    </row>
    <row r="80" spans="4:4" s="604" customFormat="1" ht="13.15" customHeight="1" x14ac:dyDescent="0.2">
      <c r="D80" s="819"/>
    </row>
    <row r="81" spans="4:4" s="604" customFormat="1" ht="13.15" customHeight="1" x14ac:dyDescent="0.2">
      <c r="D81" s="819"/>
    </row>
    <row r="82" spans="4:4" s="604" customFormat="1" ht="13.15" customHeight="1" x14ac:dyDescent="0.2">
      <c r="D82" s="819"/>
    </row>
    <row r="83" spans="4:4" s="604" customFormat="1" ht="13.15" customHeight="1" x14ac:dyDescent="0.2">
      <c r="D83" s="819"/>
    </row>
    <row r="84" spans="4:4" s="604" customFormat="1" ht="13.15" customHeight="1" x14ac:dyDescent="0.2">
      <c r="D84" s="819"/>
    </row>
    <row r="85" spans="4:4" s="604" customFormat="1" ht="13.15" customHeight="1" x14ac:dyDescent="0.2">
      <c r="D85" s="819"/>
    </row>
    <row r="86" spans="4:4" s="604" customFormat="1" ht="13.15" customHeight="1" x14ac:dyDescent="0.2">
      <c r="D86" s="819"/>
    </row>
    <row r="87" spans="4:4" s="604" customFormat="1" ht="13.15" customHeight="1" x14ac:dyDescent="0.2">
      <c r="D87" s="819"/>
    </row>
    <row r="88" spans="4:4" s="604" customFormat="1" ht="13.15" customHeight="1" x14ac:dyDescent="0.2">
      <c r="D88" s="819"/>
    </row>
    <row r="89" spans="4:4" s="604" customFormat="1" ht="13.15" customHeight="1" x14ac:dyDescent="0.2">
      <c r="D89" s="819"/>
    </row>
    <row r="90" spans="4:4" s="604" customFormat="1" ht="13.15" customHeight="1" x14ac:dyDescent="0.2">
      <c r="D90" s="819"/>
    </row>
    <row r="91" spans="4:4" s="604" customFormat="1" ht="13.15" customHeight="1" x14ac:dyDescent="0.2">
      <c r="D91" s="819"/>
    </row>
    <row r="92" spans="4:4" s="604" customFormat="1" ht="13.15" customHeight="1" x14ac:dyDescent="0.2">
      <c r="D92" s="819"/>
    </row>
    <row r="93" spans="4:4" s="604" customFormat="1" ht="13.15" customHeight="1" x14ac:dyDescent="0.2">
      <c r="D93" s="819"/>
    </row>
    <row r="94" spans="4:4" s="604" customFormat="1" ht="13.15" customHeight="1" x14ac:dyDescent="0.2">
      <c r="D94" s="819"/>
    </row>
    <row r="95" spans="4:4" s="604" customFormat="1" ht="13.15" customHeight="1" x14ac:dyDescent="0.2">
      <c r="D95" s="819"/>
    </row>
    <row r="96" spans="4:4" s="604" customFormat="1" ht="13.15" customHeight="1" x14ac:dyDescent="0.2">
      <c r="D96" s="819"/>
    </row>
    <row r="97" spans="4:4" s="604" customFormat="1" ht="13.15" customHeight="1" x14ac:dyDescent="0.2">
      <c r="D97" s="819"/>
    </row>
    <row r="98" spans="4:4" s="604" customFormat="1" ht="13.15" customHeight="1" x14ac:dyDescent="0.2">
      <c r="D98" s="819"/>
    </row>
    <row r="99" spans="4:4" s="604" customFormat="1" ht="13.15" customHeight="1" x14ac:dyDescent="0.2">
      <c r="D99" s="819"/>
    </row>
    <row r="100" spans="4:4" s="604" customFormat="1" ht="13.15" customHeight="1" x14ac:dyDescent="0.2">
      <c r="D100" s="819"/>
    </row>
    <row r="101" spans="4:4" s="604" customFormat="1" ht="13.15" customHeight="1" x14ac:dyDescent="0.2">
      <c r="D101" s="819"/>
    </row>
    <row r="102" spans="4:4" s="604" customFormat="1" ht="13.15" customHeight="1" x14ac:dyDescent="0.2">
      <c r="D102" s="819"/>
    </row>
    <row r="103" spans="4:4" s="604" customFormat="1" ht="13.15" customHeight="1" x14ac:dyDescent="0.2">
      <c r="D103" s="819"/>
    </row>
    <row r="104" spans="4:4" s="604" customFormat="1" ht="13.15" customHeight="1" x14ac:dyDescent="0.2">
      <c r="D104" s="819"/>
    </row>
    <row r="105" spans="4:4" s="604" customFormat="1" ht="13.15" customHeight="1" x14ac:dyDescent="0.2">
      <c r="D105" s="819"/>
    </row>
    <row r="106" spans="4:4" s="604" customFormat="1" ht="13.15" customHeight="1" x14ac:dyDescent="0.2">
      <c r="D106" s="819"/>
    </row>
    <row r="107" spans="4:4" s="604" customFormat="1" ht="13.15" customHeight="1" x14ac:dyDescent="0.2">
      <c r="D107" s="819"/>
    </row>
    <row r="108" spans="4:4" s="604" customFormat="1" ht="13.15" customHeight="1" x14ac:dyDescent="0.2">
      <c r="D108" s="819"/>
    </row>
    <row r="109" spans="4:4" s="604" customFormat="1" ht="13.15" customHeight="1" x14ac:dyDescent="0.2">
      <c r="D109" s="819"/>
    </row>
    <row r="110" spans="4:4" s="604" customFormat="1" ht="13.15" customHeight="1" x14ac:dyDescent="0.2">
      <c r="D110" s="819"/>
    </row>
    <row r="111" spans="4:4" s="604" customFormat="1" ht="13.15" customHeight="1" x14ac:dyDescent="0.2">
      <c r="D111" s="819"/>
    </row>
    <row r="112" spans="4:4" s="604" customFormat="1" ht="13.15" customHeight="1" x14ac:dyDescent="0.2">
      <c r="D112" s="819"/>
    </row>
    <row r="113" spans="4:4" s="604" customFormat="1" ht="13.15" customHeight="1" x14ac:dyDescent="0.2">
      <c r="D113" s="819"/>
    </row>
    <row r="114" spans="4:4" s="604" customFormat="1" ht="13.15" customHeight="1" x14ac:dyDescent="0.2">
      <c r="D114" s="819"/>
    </row>
    <row r="115" spans="4:4" s="604" customFormat="1" ht="13.15" customHeight="1" x14ac:dyDescent="0.2">
      <c r="D115" s="819"/>
    </row>
    <row r="116" spans="4:4" s="604" customFormat="1" ht="13.15" customHeight="1" x14ac:dyDescent="0.2">
      <c r="D116" s="819"/>
    </row>
    <row r="117" spans="4:4" s="604" customFormat="1" ht="13.15" customHeight="1" x14ac:dyDescent="0.2">
      <c r="D117" s="819"/>
    </row>
    <row r="118" spans="4:4" s="604" customFormat="1" ht="13.15" customHeight="1" x14ac:dyDescent="0.2">
      <c r="D118" s="819"/>
    </row>
    <row r="119" spans="4:4" s="604" customFormat="1" ht="13.15" customHeight="1" x14ac:dyDescent="0.2">
      <c r="D119" s="819"/>
    </row>
    <row r="120" spans="4:4" s="604" customFormat="1" ht="13.15" customHeight="1" x14ac:dyDescent="0.2">
      <c r="D120" s="819"/>
    </row>
    <row r="121" spans="4:4" s="604" customFormat="1" ht="13.15" customHeight="1" x14ac:dyDescent="0.2">
      <c r="D121" s="819"/>
    </row>
    <row r="122" spans="4:4" s="604" customFormat="1" ht="13.15" customHeight="1" x14ac:dyDescent="0.2">
      <c r="D122" s="819"/>
    </row>
    <row r="123" spans="4:4" s="604" customFormat="1" ht="13.15" customHeight="1" x14ac:dyDescent="0.2">
      <c r="D123" s="819"/>
    </row>
    <row r="124" spans="4:4" s="604" customFormat="1" ht="13.15" customHeight="1" x14ac:dyDescent="0.2">
      <c r="D124" s="819"/>
    </row>
    <row r="125" spans="4:4" s="604" customFormat="1" ht="13.15" customHeight="1" x14ac:dyDescent="0.2">
      <c r="D125" s="819"/>
    </row>
    <row r="126" spans="4:4" s="604" customFormat="1" ht="13.15" customHeight="1" x14ac:dyDescent="0.2">
      <c r="D126" s="819"/>
    </row>
    <row r="127" spans="4:4" s="604" customFormat="1" ht="13.15" customHeight="1" x14ac:dyDescent="0.2">
      <c r="D127" s="819"/>
    </row>
    <row r="128" spans="4:4" s="604" customFormat="1" ht="13.15" customHeight="1" x14ac:dyDescent="0.2">
      <c r="D128" s="819"/>
    </row>
    <row r="129" spans="4:4" s="604" customFormat="1" ht="13.15" customHeight="1" x14ac:dyDescent="0.2">
      <c r="D129" s="819"/>
    </row>
    <row r="130" spans="4:4" s="604" customFormat="1" ht="13.15" customHeight="1" x14ac:dyDescent="0.2">
      <c r="D130" s="819"/>
    </row>
    <row r="131" spans="4:4" s="604" customFormat="1" ht="13.15" customHeight="1" x14ac:dyDescent="0.2">
      <c r="D131" s="819"/>
    </row>
    <row r="132" spans="4:4" s="604" customFormat="1" ht="13.15" customHeight="1" x14ac:dyDescent="0.2">
      <c r="D132" s="819"/>
    </row>
    <row r="133" spans="4:4" s="604" customFormat="1" ht="13.15" customHeight="1" x14ac:dyDescent="0.2">
      <c r="D133" s="819"/>
    </row>
    <row r="134" spans="4:4" s="604" customFormat="1" ht="13.15" customHeight="1" x14ac:dyDescent="0.2">
      <c r="D134" s="819"/>
    </row>
    <row r="135" spans="4:4" s="604" customFormat="1" ht="13.15" customHeight="1" x14ac:dyDescent="0.2">
      <c r="D135" s="819"/>
    </row>
    <row r="136" spans="4:4" s="604" customFormat="1" ht="13.15" customHeight="1" x14ac:dyDescent="0.2">
      <c r="D136" s="819"/>
    </row>
    <row r="137" spans="4:4" s="604" customFormat="1" ht="13.15" customHeight="1" x14ac:dyDescent="0.2">
      <c r="D137" s="819"/>
    </row>
    <row r="138" spans="4:4" s="604" customFormat="1" ht="13.15" customHeight="1" x14ac:dyDescent="0.2">
      <c r="D138" s="819"/>
    </row>
    <row r="139" spans="4:4" s="604" customFormat="1" ht="13.15" customHeight="1" x14ac:dyDescent="0.2">
      <c r="D139" s="819"/>
    </row>
    <row r="140" spans="4:4" s="604" customFormat="1" ht="13.15" customHeight="1" x14ac:dyDescent="0.2">
      <c r="D140" s="819"/>
    </row>
    <row r="141" spans="4:4" s="604" customFormat="1" ht="13.15" customHeight="1" x14ac:dyDescent="0.2">
      <c r="D141" s="819"/>
    </row>
    <row r="142" spans="4:4" s="604" customFormat="1" ht="13.15" customHeight="1" x14ac:dyDescent="0.2">
      <c r="D142" s="819"/>
    </row>
    <row r="143" spans="4:4" s="604" customFormat="1" ht="13.15" customHeight="1" x14ac:dyDescent="0.2">
      <c r="D143" s="819"/>
    </row>
    <row r="144" spans="4:4" s="604" customFormat="1" ht="13.15" customHeight="1" x14ac:dyDescent="0.2">
      <c r="D144" s="819"/>
    </row>
    <row r="145" spans="1:56" s="604" customFormat="1" ht="13.15" customHeight="1" x14ac:dyDescent="0.2">
      <c r="D145" s="819"/>
    </row>
    <row r="146" spans="1:56" s="604" customFormat="1" ht="13.15" customHeight="1" x14ac:dyDescent="0.2">
      <c r="D146" s="819"/>
    </row>
    <row r="147" spans="1:56" s="604" customFormat="1" ht="13.15" customHeight="1" x14ac:dyDescent="0.2">
      <c r="D147" s="819"/>
    </row>
    <row r="148" spans="1:56" s="604" customFormat="1" ht="13.15" customHeight="1" x14ac:dyDescent="0.2">
      <c r="D148" s="819"/>
    </row>
    <row r="149" spans="1:56" s="604" customFormat="1" ht="13.15" customHeight="1" x14ac:dyDescent="0.2">
      <c r="D149" s="819"/>
    </row>
    <row r="150" spans="1:56" s="604" customFormat="1" ht="13.15" customHeight="1" x14ac:dyDescent="0.2">
      <c r="D150" s="819"/>
    </row>
    <row r="151" spans="1:56" s="604" customFormat="1" ht="13.15" customHeight="1" x14ac:dyDescent="0.2">
      <c r="D151" s="819"/>
    </row>
    <row r="152" spans="1:56" s="604" customFormat="1" ht="13.15" customHeight="1" x14ac:dyDescent="0.2">
      <c r="D152" s="819"/>
    </row>
    <row r="153" spans="1:56" s="604" customFormat="1" ht="13.15" customHeight="1" x14ac:dyDescent="0.2">
      <c r="D153" s="819"/>
    </row>
    <row r="154" spans="1:56" s="604" customFormat="1" ht="13.15" customHeight="1" x14ac:dyDescent="0.2">
      <c r="D154" s="819"/>
    </row>
    <row r="155" spans="1:56" s="604" customFormat="1" ht="13.15" customHeight="1" x14ac:dyDescent="0.2">
      <c r="D155" s="819"/>
    </row>
    <row r="156" spans="1:56" s="604" customFormat="1" ht="13.15" customHeight="1" x14ac:dyDescent="0.2">
      <c r="D156" s="819"/>
    </row>
    <row r="157" spans="1:56" s="604" customFormat="1" ht="13.15" customHeight="1" x14ac:dyDescent="0.2">
      <c r="D157" s="819"/>
    </row>
    <row r="158" spans="1:56" s="604" customFormat="1" ht="13.15" customHeight="1" x14ac:dyDescent="0.2">
      <c r="D158" s="819"/>
    </row>
    <row r="159" spans="1:56" s="614" customFormat="1" ht="13.15" customHeight="1" x14ac:dyDescent="0.2">
      <c r="A159" s="601"/>
      <c r="D159" s="679"/>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604"/>
      <c r="AL159" s="604"/>
      <c r="AM159" s="604"/>
      <c r="AN159" s="604"/>
      <c r="AO159" s="604"/>
      <c r="AP159" s="604"/>
      <c r="AQ159" s="604"/>
      <c r="AR159" s="604"/>
      <c r="AS159" s="604"/>
      <c r="AT159" s="604"/>
      <c r="AU159" s="604"/>
      <c r="AV159" s="604"/>
      <c r="AW159" s="604"/>
      <c r="AX159" s="604"/>
      <c r="AY159" s="604"/>
      <c r="AZ159" s="604"/>
      <c r="BA159" s="604"/>
      <c r="BB159" s="604"/>
      <c r="BC159" s="604"/>
      <c r="BD159" s="604"/>
    </row>
    <row r="160" spans="1:56" s="614" customFormat="1" ht="13.15" customHeight="1" x14ac:dyDescent="0.2">
      <c r="A160" s="601"/>
      <c r="D160" s="679"/>
      <c r="Q160" s="604"/>
      <c r="R160" s="604"/>
      <c r="S160" s="604"/>
      <c r="T160" s="604"/>
      <c r="U160" s="604"/>
      <c r="V160" s="604"/>
      <c r="W160" s="604"/>
      <c r="X160" s="604"/>
      <c r="Y160" s="604"/>
      <c r="Z160" s="604"/>
      <c r="AA160" s="604"/>
      <c r="AB160" s="604"/>
      <c r="AC160" s="604"/>
      <c r="AD160" s="604"/>
      <c r="AE160" s="604"/>
      <c r="AF160" s="604"/>
      <c r="AG160" s="604"/>
      <c r="AH160" s="604"/>
      <c r="AI160" s="604"/>
      <c r="AJ160" s="604"/>
      <c r="AK160" s="604"/>
      <c r="AL160" s="604"/>
      <c r="AM160" s="604"/>
      <c r="AN160" s="604"/>
      <c r="AO160" s="604"/>
      <c r="AP160" s="604"/>
      <c r="AQ160" s="604"/>
      <c r="AR160" s="604"/>
      <c r="AS160" s="604"/>
      <c r="AT160" s="604"/>
      <c r="AU160" s="604"/>
      <c r="AV160" s="604"/>
      <c r="AW160" s="604"/>
      <c r="AX160" s="604"/>
      <c r="AY160" s="604"/>
      <c r="AZ160" s="604"/>
      <c r="BA160" s="604"/>
      <c r="BB160" s="604"/>
      <c r="BC160" s="604"/>
      <c r="BD160" s="604"/>
    </row>
    <row r="161" spans="1:56" s="614" customFormat="1" ht="13.15" customHeight="1" x14ac:dyDescent="0.2">
      <c r="A161" s="601"/>
      <c r="D161" s="679"/>
      <c r="Q161" s="604"/>
      <c r="R161" s="604"/>
      <c r="S161" s="604"/>
      <c r="T161" s="604"/>
      <c r="U161" s="604"/>
      <c r="V161" s="604"/>
      <c r="W161" s="604"/>
      <c r="X161" s="604"/>
      <c r="Y161" s="604"/>
      <c r="Z161" s="604"/>
      <c r="AA161" s="604"/>
      <c r="AB161" s="604"/>
      <c r="AC161" s="604"/>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604"/>
      <c r="AY161" s="604"/>
      <c r="AZ161" s="604"/>
      <c r="BA161" s="604"/>
      <c r="BB161" s="604"/>
      <c r="BC161" s="604"/>
      <c r="BD161" s="604"/>
    </row>
    <row r="162" spans="1:56" s="614" customFormat="1" ht="13.15" customHeight="1" x14ac:dyDescent="0.2">
      <c r="A162" s="601"/>
      <c r="D162" s="679"/>
      <c r="Q162" s="604"/>
      <c r="R162" s="604"/>
      <c r="S162" s="604"/>
      <c r="T162" s="604"/>
      <c r="U162" s="604"/>
      <c r="V162" s="604"/>
      <c r="W162" s="604"/>
      <c r="X162" s="604"/>
      <c r="Y162" s="604"/>
      <c r="Z162" s="604"/>
      <c r="AA162" s="604"/>
      <c r="AB162" s="604"/>
      <c r="AC162" s="604"/>
      <c r="AD162" s="604"/>
      <c r="AE162" s="604"/>
      <c r="AF162" s="604"/>
      <c r="AG162" s="604"/>
      <c r="AH162" s="604"/>
      <c r="AI162" s="604"/>
      <c r="AJ162" s="604"/>
      <c r="AK162" s="604"/>
      <c r="AL162" s="604"/>
      <c r="AM162" s="604"/>
      <c r="AN162" s="604"/>
      <c r="AO162" s="604"/>
      <c r="AP162" s="604"/>
      <c r="AQ162" s="604"/>
      <c r="AR162" s="604"/>
      <c r="AS162" s="604"/>
      <c r="AT162" s="604"/>
      <c r="AU162" s="604"/>
      <c r="AV162" s="604"/>
      <c r="AW162" s="604"/>
      <c r="AX162" s="604"/>
      <c r="AY162" s="604"/>
      <c r="AZ162" s="604"/>
      <c r="BA162" s="604"/>
      <c r="BB162" s="604"/>
      <c r="BC162" s="604"/>
      <c r="BD162" s="604"/>
    </row>
    <row r="163" spans="1:56" s="614" customFormat="1" ht="13.15" customHeight="1" x14ac:dyDescent="0.2">
      <c r="A163" s="601"/>
      <c r="D163" s="679"/>
      <c r="Q163" s="604"/>
      <c r="R163" s="604"/>
      <c r="S163" s="604"/>
      <c r="T163" s="604"/>
      <c r="U163" s="604"/>
      <c r="V163" s="604"/>
      <c r="W163" s="604"/>
      <c r="X163" s="604"/>
      <c r="Y163" s="604"/>
      <c r="Z163" s="604"/>
      <c r="AA163" s="604"/>
      <c r="AB163" s="604"/>
      <c r="AC163" s="604"/>
      <c r="AD163" s="604"/>
      <c r="AE163" s="604"/>
      <c r="AF163" s="604"/>
      <c r="AG163" s="604"/>
      <c r="AH163" s="604"/>
      <c r="AI163" s="604"/>
      <c r="AJ163" s="604"/>
      <c r="AK163" s="604"/>
      <c r="AL163" s="604"/>
      <c r="AM163" s="604"/>
      <c r="AN163" s="604"/>
      <c r="AO163" s="604"/>
      <c r="AP163" s="604"/>
      <c r="AQ163" s="604"/>
      <c r="AR163" s="604"/>
      <c r="AS163" s="604"/>
      <c r="AT163" s="604"/>
      <c r="AU163" s="604"/>
      <c r="AV163" s="604"/>
      <c r="AW163" s="604"/>
      <c r="AX163" s="604"/>
      <c r="AY163" s="604"/>
      <c r="AZ163" s="604"/>
      <c r="BA163" s="604"/>
      <c r="BB163" s="604"/>
      <c r="BC163" s="604"/>
      <c r="BD163" s="604"/>
    </row>
    <row r="262" spans="1:1" ht="13.15" customHeight="1" x14ac:dyDescent="0.2">
      <c r="A262" s="607"/>
    </row>
    <row r="263" spans="1:1" ht="13.15" customHeight="1" x14ac:dyDescent="0.2">
      <c r="A263" s="607"/>
    </row>
    <row r="264" spans="1:1" ht="13.15" customHeight="1" x14ac:dyDescent="0.2">
      <c r="A264" s="607"/>
    </row>
    <row r="267" spans="1:1" ht="13.15" customHeight="1" x14ac:dyDescent="0.2">
      <c r="A267" s="609"/>
    </row>
    <row r="268" spans="1:1" ht="13.15" customHeight="1" x14ac:dyDescent="0.2">
      <c r="A268" s="615"/>
    </row>
    <row r="269" spans="1:1" ht="13.15" customHeight="1" x14ac:dyDescent="0.2">
      <c r="A269" s="607"/>
    </row>
    <row r="382" spans="1:1" ht="13.15" customHeight="1" x14ac:dyDescent="0.2">
      <c r="A382" s="607"/>
    </row>
    <row r="383" spans="1:1" ht="13.15" customHeight="1" x14ac:dyDescent="0.2">
      <c r="A383" s="607"/>
    </row>
    <row r="384" spans="1:1" ht="13.15" customHeight="1" x14ac:dyDescent="0.2">
      <c r="A384" s="607"/>
    </row>
    <row r="385" spans="1:16" ht="13.15" customHeight="1" x14ac:dyDescent="0.2">
      <c r="E385" s="601"/>
      <c r="F385" s="601"/>
      <c r="G385" s="601"/>
      <c r="H385" s="601"/>
      <c r="I385" s="601"/>
      <c r="J385" s="601"/>
      <c r="K385" s="601"/>
      <c r="L385" s="601"/>
      <c r="M385" s="601"/>
      <c r="N385" s="601"/>
      <c r="O385" s="601"/>
      <c r="P385" s="601"/>
    </row>
    <row r="386" spans="1:16" ht="13.15" customHeight="1" x14ac:dyDescent="0.2">
      <c r="E386" s="601"/>
      <c r="F386" s="601"/>
      <c r="G386" s="601"/>
      <c r="H386" s="601"/>
      <c r="I386" s="601"/>
      <c r="J386" s="601"/>
      <c r="K386" s="601"/>
      <c r="L386" s="601"/>
      <c r="M386" s="601"/>
      <c r="N386" s="601"/>
      <c r="O386" s="601"/>
      <c r="P386" s="601"/>
    </row>
    <row r="387" spans="1:16" ht="13.15" customHeight="1" x14ac:dyDescent="0.2">
      <c r="E387" s="601"/>
      <c r="F387" s="601"/>
      <c r="G387" s="601"/>
      <c r="H387" s="601"/>
      <c r="I387" s="601"/>
      <c r="J387" s="601"/>
      <c r="K387" s="601"/>
      <c r="L387" s="601"/>
      <c r="M387" s="601"/>
      <c r="N387" s="601"/>
      <c r="O387" s="601"/>
      <c r="P387" s="601"/>
    </row>
    <row r="388" spans="1:16" ht="13.15" customHeight="1" x14ac:dyDescent="0.2">
      <c r="A388" s="609"/>
      <c r="E388" s="601"/>
      <c r="F388" s="601"/>
      <c r="G388" s="601"/>
      <c r="H388" s="601"/>
      <c r="I388" s="601"/>
      <c r="J388" s="601"/>
      <c r="K388" s="601"/>
      <c r="L388" s="601"/>
      <c r="M388" s="601"/>
      <c r="N388" s="601"/>
      <c r="O388" s="601"/>
      <c r="P388" s="601"/>
    </row>
    <row r="389" spans="1:16" ht="13.15" customHeight="1" x14ac:dyDescent="0.2">
      <c r="A389" s="615"/>
      <c r="E389" s="601"/>
      <c r="F389" s="601"/>
      <c r="G389" s="601"/>
      <c r="H389" s="601"/>
      <c r="I389" s="601"/>
      <c r="J389" s="601"/>
      <c r="K389" s="601"/>
      <c r="L389" s="601"/>
      <c r="M389" s="601"/>
      <c r="N389" s="601"/>
      <c r="O389" s="601"/>
      <c r="P389" s="601"/>
    </row>
    <row r="390" spans="1:16" ht="13.15" customHeight="1" x14ac:dyDescent="0.2">
      <c r="A390" s="607"/>
      <c r="E390" s="601"/>
      <c r="F390" s="601"/>
      <c r="G390" s="601"/>
      <c r="H390" s="601"/>
      <c r="I390" s="601"/>
      <c r="J390" s="601"/>
      <c r="K390" s="601"/>
      <c r="L390" s="601"/>
      <c r="M390" s="601"/>
      <c r="N390" s="601"/>
      <c r="O390" s="601"/>
      <c r="P390" s="601"/>
    </row>
    <row r="391" spans="1:16" ht="13.15" customHeight="1" x14ac:dyDescent="0.2">
      <c r="E391" s="601"/>
      <c r="F391" s="601"/>
      <c r="G391" s="601"/>
      <c r="H391" s="601"/>
      <c r="I391" s="601"/>
      <c r="J391" s="601"/>
      <c r="K391" s="601"/>
      <c r="L391" s="601"/>
      <c r="M391" s="601"/>
      <c r="N391" s="601"/>
      <c r="O391" s="601"/>
      <c r="P391" s="601"/>
    </row>
    <row r="392" spans="1:16" ht="13.15" customHeight="1" x14ac:dyDescent="0.2">
      <c r="E392" s="601"/>
      <c r="F392" s="601"/>
      <c r="G392" s="601"/>
      <c r="H392" s="601"/>
      <c r="I392" s="601"/>
      <c r="J392" s="601"/>
      <c r="K392" s="601"/>
      <c r="L392" s="601"/>
      <c r="M392" s="601"/>
      <c r="N392" s="601"/>
      <c r="O392" s="601"/>
      <c r="P392" s="601"/>
    </row>
    <row r="393" spans="1:16" ht="13.15" customHeight="1" x14ac:dyDescent="0.2">
      <c r="E393" s="601"/>
      <c r="F393" s="601"/>
      <c r="G393" s="601"/>
      <c r="H393" s="601"/>
      <c r="I393" s="601"/>
      <c r="J393" s="601"/>
      <c r="K393" s="601"/>
      <c r="L393" s="601"/>
      <c r="M393" s="601"/>
      <c r="N393" s="601"/>
      <c r="O393" s="601"/>
      <c r="P393" s="601"/>
    </row>
    <row r="394" spans="1:16" ht="13.15" customHeight="1" x14ac:dyDescent="0.2">
      <c r="E394" s="601"/>
      <c r="F394" s="601"/>
      <c r="G394" s="601"/>
      <c r="H394" s="601"/>
      <c r="I394" s="601"/>
      <c r="J394" s="601"/>
      <c r="K394" s="601"/>
      <c r="L394" s="601"/>
      <c r="M394" s="601"/>
      <c r="N394" s="601"/>
      <c r="O394" s="601"/>
      <c r="P394" s="601"/>
    </row>
    <row r="395" spans="1:16" ht="13.15" customHeight="1" x14ac:dyDescent="0.2">
      <c r="E395" s="601"/>
      <c r="F395" s="601"/>
      <c r="G395" s="601"/>
      <c r="H395" s="601"/>
      <c r="I395" s="601"/>
      <c r="J395" s="601"/>
      <c r="K395" s="601"/>
      <c r="L395" s="601"/>
      <c r="M395" s="601"/>
      <c r="N395" s="601"/>
      <c r="O395" s="601"/>
      <c r="P395" s="601"/>
    </row>
    <row r="396" spans="1:16" ht="13.15" customHeight="1" x14ac:dyDescent="0.2">
      <c r="E396" s="601"/>
      <c r="F396" s="601"/>
      <c r="G396" s="601"/>
      <c r="H396" s="601"/>
      <c r="I396" s="601"/>
      <c r="J396" s="601"/>
      <c r="K396" s="601"/>
      <c r="L396" s="601"/>
      <c r="M396" s="601"/>
      <c r="N396" s="601"/>
      <c r="O396" s="601"/>
      <c r="P396" s="601"/>
    </row>
    <row r="397" spans="1:16" ht="13.15" customHeight="1" x14ac:dyDescent="0.2">
      <c r="E397" s="601"/>
      <c r="F397" s="601"/>
      <c r="G397" s="601"/>
      <c r="H397" s="601"/>
      <c r="I397" s="601"/>
      <c r="J397" s="601"/>
      <c r="K397" s="601"/>
      <c r="L397" s="601"/>
      <c r="M397" s="601"/>
      <c r="N397" s="601"/>
      <c r="O397" s="601"/>
      <c r="P397" s="601"/>
    </row>
    <row r="398" spans="1:16" ht="13.15" customHeight="1" x14ac:dyDescent="0.2">
      <c r="E398" s="601"/>
      <c r="F398" s="601"/>
      <c r="G398" s="601"/>
      <c r="H398" s="601"/>
      <c r="I398" s="601"/>
      <c r="J398" s="601"/>
      <c r="K398" s="601"/>
      <c r="L398" s="601"/>
      <c r="M398" s="601"/>
      <c r="N398" s="601"/>
      <c r="O398" s="601"/>
      <c r="P398" s="601"/>
    </row>
    <row r="399" spans="1:16" ht="13.15" customHeight="1" x14ac:dyDescent="0.2">
      <c r="E399" s="601"/>
      <c r="F399" s="601"/>
      <c r="G399" s="601"/>
      <c r="H399" s="601"/>
      <c r="I399" s="601"/>
      <c r="J399" s="601"/>
      <c r="K399" s="601"/>
      <c r="L399" s="601"/>
      <c r="M399" s="601"/>
      <c r="N399" s="601"/>
      <c r="O399" s="601"/>
      <c r="P399" s="601"/>
    </row>
    <row r="400" spans="1:16" ht="13.15" customHeight="1" x14ac:dyDescent="0.2">
      <c r="E400" s="601"/>
      <c r="F400" s="601"/>
      <c r="G400" s="601"/>
      <c r="H400" s="601"/>
      <c r="I400" s="601"/>
      <c r="J400" s="601"/>
      <c r="K400" s="601"/>
      <c r="L400" s="601"/>
      <c r="M400" s="601"/>
      <c r="N400" s="601"/>
      <c r="O400" s="601"/>
      <c r="P400" s="601"/>
    </row>
    <row r="401" spans="5:16" ht="13.15" customHeight="1" x14ac:dyDescent="0.2">
      <c r="E401" s="601"/>
      <c r="F401" s="601"/>
      <c r="G401" s="601"/>
      <c r="H401" s="601"/>
      <c r="I401" s="601"/>
      <c r="J401" s="601"/>
      <c r="K401" s="601"/>
      <c r="L401" s="601"/>
      <c r="M401" s="601"/>
      <c r="N401" s="601"/>
      <c r="O401" s="601"/>
      <c r="P401" s="601"/>
    </row>
    <row r="402" spans="5:16" ht="13.15" customHeight="1" x14ac:dyDescent="0.2">
      <c r="E402" s="601"/>
      <c r="F402" s="601"/>
      <c r="G402" s="601"/>
      <c r="H402" s="601"/>
      <c r="I402" s="601"/>
      <c r="J402" s="601"/>
      <c r="K402" s="601"/>
      <c r="L402" s="601"/>
      <c r="M402" s="601"/>
      <c r="N402" s="601"/>
      <c r="O402" s="601"/>
      <c r="P402" s="601"/>
    </row>
    <row r="403" spans="5:16" ht="13.15" customHeight="1" x14ac:dyDescent="0.2">
      <c r="E403" s="601"/>
      <c r="F403" s="601"/>
      <c r="G403" s="601"/>
      <c r="H403" s="601"/>
      <c r="I403" s="601"/>
      <c r="J403" s="601"/>
      <c r="K403" s="601"/>
      <c r="L403" s="601"/>
      <c r="M403" s="601"/>
      <c r="N403" s="601"/>
      <c r="O403" s="601"/>
      <c r="P403" s="601"/>
    </row>
    <row r="404" spans="5:16" ht="13.15" customHeight="1" x14ac:dyDescent="0.2">
      <c r="E404" s="601"/>
      <c r="F404" s="601"/>
      <c r="G404" s="601"/>
      <c r="H404" s="601"/>
      <c r="I404" s="601"/>
      <c r="J404" s="601"/>
      <c r="K404" s="601"/>
      <c r="L404" s="601"/>
      <c r="M404" s="601"/>
      <c r="N404" s="601"/>
      <c r="O404" s="601"/>
      <c r="P404" s="601"/>
    </row>
    <row r="405" spans="5:16" ht="13.15" customHeight="1" x14ac:dyDescent="0.2">
      <c r="E405" s="601"/>
      <c r="F405" s="601"/>
      <c r="G405" s="601"/>
      <c r="H405" s="601"/>
      <c r="I405" s="601"/>
      <c r="J405" s="601"/>
      <c r="K405" s="601"/>
      <c r="L405" s="601"/>
      <c r="M405" s="601"/>
      <c r="N405" s="601"/>
      <c r="O405" s="601"/>
      <c r="P405" s="601"/>
    </row>
    <row r="406" spans="5:16" ht="13.15" customHeight="1" x14ac:dyDescent="0.2">
      <c r="E406" s="601"/>
      <c r="F406" s="601"/>
      <c r="G406" s="601"/>
      <c r="H406" s="601"/>
      <c r="I406" s="601"/>
      <c r="J406" s="601"/>
      <c r="K406" s="601"/>
      <c r="L406" s="601"/>
      <c r="M406" s="601"/>
      <c r="N406" s="601"/>
      <c r="O406" s="601"/>
      <c r="P406" s="601"/>
    </row>
    <row r="407" spans="5:16" ht="13.15" customHeight="1" x14ac:dyDescent="0.2">
      <c r="E407" s="601"/>
      <c r="F407" s="601"/>
      <c r="G407" s="601"/>
      <c r="H407" s="601"/>
      <c r="I407" s="601"/>
      <c r="J407" s="601"/>
      <c r="K407" s="601"/>
      <c r="L407" s="601"/>
      <c r="M407" s="601"/>
      <c r="N407" s="601"/>
      <c r="O407" s="601"/>
      <c r="P407" s="601"/>
    </row>
    <row r="408" spans="5:16" ht="13.15" customHeight="1" x14ac:dyDescent="0.2">
      <c r="E408" s="601"/>
      <c r="F408" s="601"/>
      <c r="G408" s="601"/>
      <c r="H408" s="601"/>
      <c r="I408" s="601"/>
      <c r="J408" s="601"/>
      <c r="K408" s="601"/>
      <c r="L408" s="601"/>
      <c r="M408" s="601"/>
      <c r="N408" s="601"/>
      <c r="O408" s="601"/>
      <c r="P408" s="601"/>
    </row>
    <row r="409" spans="5:16" ht="13.15" customHeight="1" x14ac:dyDescent="0.2">
      <c r="E409" s="601"/>
      <c r="F409" s="601"/>
      <c r="G409" s="601"/>
      <c r="H409" s="601"/>
      <c r="I409" s="601"/>
      <c r="J409" s="601"/>
      <c r="K409" s="601"/>
      <c r="L409" s="601"/>
      <c r="M409" s="601"/>
      <c r="N409" s="601"/>
      <c r="O409" s="601"/>
      <c r="P409" s="601"/>
    </row>
    <row r="410" spans="5:16" ht="13.15" customHeight="1" x14ac:dyDescent="0.2">
      <c r="E410" s="601"/>
      <c r="F410" s="601"/>
      <c r="G410" s="601"/>
      <c r="H410" s="601"/>
      <c r="I410" s="601"/>
      <c r="J410" s="601"/>
      <c r="K410" s="601"/>
      <c r="L410" s="601"/>
      <c r="M410" s="601"/>
      <c r="N410" s="601"/>
      <c r="O410" s="601"/>
      <c r="P410" s="601"/>
    </row>
    <row r="411" spans="5:16" ht="13.15" customHeight="1" x14ac:dyDescent="0.2">
      <c r="E411" s="601"/>
      <c r="F411" s="601"/>
      <c r="G411" s="601"/>
      <c r="H411" s="601"/>
      <c r="I411" s="601"/>
      <c r="J411" s="601"/>
      <c r="K411" s="601"/>
      <c r="L411" s="601"/>
      <c r="M411" s="601"/>
      <c r="N411" s="601"/>
      <c r="O411" s="601"/>
      <c r="P411" s="601"/>
    </row>
    <row r="412" spans="5:16" ht="13.15" customHeight="1" x14ac:dyDescent="0.2">
      <c r="E412" s="601"/>
      <c r="F412" s="601"/>
      <c r="G412" s="601"/>
      <c r="H412" s="601"/>
      <c r="I412" s="601"/>
      <c r="J412" s="601"/>
      <c r="K412" s="601"/>
      <c r="L412" s="601"/>
      <c r="M412" s="601"/>
      <c r="N412" s="601"/>
      <c r="O412" s="601"/>
      <c r="P412" s="601"/>
    </row>
    <row r="413" spans="5:16" ht="13.15" customHeight="1" x14ac:dyDescent="0.2">
      <c r="E413" s="601"/>
      <c r="F413" s="601"/>
      <c r="G413" s="601"/>
      <c r="H413" s="601"/>
      <c r="I413" s="601"/>
      <c r="J413" s="601"/>
      <c r="K413" s="601"/>
      <c r="L413" s="601"/>
      <c r="M413" s="601"/>
      <c r="N413" s="601"/>
      <c r="O413" s="601"/>
      <c r="P413" s="601"/>
    </row>
    <row r="414" spans="5:16" ht="13.15" customHeight="1" x14ac:dyDescent="0.2">
      <c r="E414" s="601"/>
      <c r="F414" s="601"/>
      <c r="G414" s="601"/>
      <c r="H414" s="601"/>
      <c r="I414" s="601"/>
      <c r="J414" s="601"/>
      <c r="K414" s="601"/>
      <c r="L414" s="601"/>
      <c r="M414" s="601"/>
      <c r="N414" s="601"/>
      <c r="O414" s="601"/>
      <c r="P414" s="601"/>
    </row>
    <row r="415" spans="5:16" ht="13.15" customHeight="1" x14ac:dyDescent="0.2">
      <c r="E415" s="601"/>
      <c r="F415" s="601"/>
      <c r="G415" s="601"/>
      <c r="H415" s="601"/>
      <c r="I415" s="601"/>
      <c r="J415" s="601"/>
      <c r="K415" s="601"/>
      <c r="L415" s="601"/>
      <c r="M415" s="601"/>
      <c r="N415" s="601"/>
      <c r="O415" s="601"/>
      <c r="P415" s="601"/>
    </row>
    <row r="416" spans="5:16" ht="13.15" customHeight="1" x14ac:dyDescent="0.2">
      <c r="E416" s="601"/>
      <c r="F416" s="601"/>
      <c r="G416" s="601"/>
      <c r="H416" s="601"/>
      <c r="I416" s="601"/>
      <c r="J416" s="601"/>
      <c r="K416" s="601"/>
      <c r="L416" s="601"/>
      <c r="M416" s="601"/>
      <c r="N416" s="601"/>
      <c r="O416" s="601"/>
      <c r="P416" s="601"/>
    </row>
    <row r="417" spans="5:16" ht="13.15" customHeight="1" x14ac:dyDescent="0.2">
      <c r="E417" s="601"/>
      <c r="F417" s="601"/>
      <c r="G417" s="601"/>
      <c r="H417" s="601"/>
      <c r="I417" s="601"/>
      <c r="J417" s="601"/>
      <c r="K417" s="601"/>
      <c r="L417" s="601"/>
      <c r="M417" s="601"/>
      <c r="N417" s="601"/>
      <c r="O417" s="601"/>
      <c r="P417" s="601"/>
    </row>
    <row r="418" spans="5:16" ht="13.15" customHeight="1" x14ac:dyDescent="0.2">
      <c r="E418" s="601"/>
      <c r="F418" s="601"/>
      <c r="G418" s="601"/>
      <c r="H418" s="601"/>
      <c r="I418" s="601"/>
      <c r="J418" s="601"/>
      <c r="K418" s="601"/>
      <c r="L418" s="601"/>
      <c r="M418" s="601"/>
      <c r="N418" s="601"/>
      <c r="O418" s="601"/>
      <c r="P418" s="601"/>
    </row>
    <row r="419" spans="5:16" ht="13.15" customHeight="1" x14ac:dyDescent="0.2">
      <c r="E419" s="601"/>
      <c r="F419" s="601"/>
      <c r="G419" s="601"/>
      <c r="H419" s="601"/>
      <c r="I419" s="601"/>
      <c r="J419" s="601"/>
      <c r="K419" s="601"/>
      <c r="L419" s="601"/>
      <c r="M419" s="601"/>
      <c r="N419" s="601"/>
      <c r="O419" s="601"/>
      <c r="P419" s="601"/>
    </row>
    <row r="420" spans="5:16" ht="13.15" customHeight="1" x14ac:dyDescent="0.2">
      <c r="E420" s="601"/>
      <c r="F420" s="601"/>
      <c r="G420" s="601"/>
      <c r="H420" s="601"/>
      <c r="I420" s="601"/>
      <c r="J420" s="601"/>
      <c r="K420" s="601"/>
      <c r="L420" s="601"/>
      <c r="M420" s="601"/>
      <c r="N420" s="601"/>
      <c r="O420" s="601"/>
      <c r="P420" s="601"/>
    </row>
    <row r="421" spans="5:16" ht="13.15" customHeight="1" x14ac:dyDescent="0.2">
      <c r="E421" s="601"/>
      <c r="F421" s="601"/>
      <c r="G421" s="601"/>
      <c r="H421" s="601"/>
      <c r="I421" s="601"/>
      <c r="J421" s="601"/>
      <c r="K421" s="601"/>
      <c r="L421" s="601"/>
      <c r="M421" s="601"/>
      <c r="N421" s="601"/>
      <c r="O421" s="601"/>
      <c r="P421" s="601"/>
    </row>
    <row r="422" spans="5:16" ht="13.15" customHeight="1" x14ac:dyDescent="0.2">
      <c r="E422" s="601"/>
      <c r="F422" s="601"/>
      <c r="G422" s="601"/>
      <c r="H422" s="601"/>
      <c r="I422" s="601"/>
      <c r="J422" s="601"/>
      <c r="K422" s="601"/>
      <c r="L422" s="601"/>
      <c r="M422" s="601"/>
      <c r="N422" s="601"/>
      <c r="O422" s="601"/>
      <c r="P422" s="601"/>
    </row>
    <row r="423" spans="5:16" ht="13.15" customHeight="1" x14ac:dyDescent="0.2">
      <c r="E423" s="601"/>
      <c r="F423" s="601"/>
      <c r="G423" s="601"/>
      <c r="H423" s="601"/>
      <c r="I423" s="601"/>
      <c r="J423" s="601"/>
      <c r="K423" s="601"/>
      <c r="L423" s="601"/>
      <c r="M423" s="601"/>
      <c r="N423" s="601"/>
      <c r="O423" s="601"/>
      <c r="P423" s="601"/>
    </row>
    <row r="424" spans="5:16" ht="13.15" customHeight="1" x14ac:dyDescent="0.2">
      <c r="E424" s="601"/>
      <c r="F424" s="601"/>
      <c r="G424" s="601"/>
      <c r="H424" s="601"/>
      <c r="I424" s="601"/>
      <c r="J424" s="601"/>
      <c r="K424" s="601"/>
      <c r="L424" s="601"/>
      <c r="M424" s="601"/>
      <c r="N424" s="601"/>
      <c r="O424" s="601"/>
      <c r="P424" s="601"/>
    </row>
    <row r="425" spans="5:16" ht="13.15" customHeight="1" x14ac:dyDescent="0.2">
      <c r="E425" s="601"/>
      <c r="F425" s="601"/>
      <c r="G425" s="601"/>
      <c r="H425" s="601"/>
      <c r="I425" s="601"/>
      <c r="J425" s="601"/>
      <c r="K425" s="601"/>
      <c r="L425" s="601"/>
      <c r="M425" s="601"/>
      <c r="N425" s="601"/>
      <c r="O425" s="601"/>
      <c r="P425" s="601"/>
    </row>
    <row r="426" spans="5:16" ht="13.15" customHeight="1" x14ac:dyDescent="0.2">
      <c r="E426" s="601"/>
      <c r="F426" s="601"/>
      <c r="G426" s="601"/>
      <c r="H426" s="601"/>
      <c r="I426" s="601"/>
      <c r="J426" s="601"/>
      <c r="K426" s="601"/>
      <c r="L426" s="601"/>
      <c r="M426" s="601"/>
      <c r="N426" s="601"/>
      <c r="O426" s="601"/>
      <c r="P426" s="601"/>
    </row>
    <row r="427" spans="5:16" ht="13.15" customHeight="1" x14ac:dyDescent="0.2">
      <c r="E427" s="601"/>
      <c r="F427" s="601"/>
      <c r="G427" s="601"/>
      <c r="H427" s="601"/>
      <c r="I427" s="601"/>
      <c r="J427" s="601"/>
      <c r="K427" s="601"/>
      <c r="L427" s="601"/>
      <c r="M427" s="601"/>
      <c r="N427" s="601"/>
      <c r="O427" s="601"/>
      <c r="P427" s="601"/>
    </row>
    <row r="428" spans="5:16" ht="13.15" customHeight="1" x14ac:dyDescent="0.2">
      <c r="E428" s="601"/>
      <c r="F428" s="601"/>
      <c r="G428" s="601"/>
      <c r="H428" s="601"/>
      <c r="I428" s="601"/>
      <c r="J428" s="601"/>
      <c r="K428" s="601"/>
      <c r="L428" s="601"/>
      <c r="M428" s="601"/>
      <c r="N428" s="601"/>
      <c r="O428" s="601"/>
      <c r="P428" s="601"/>
    </row>
    <row r="429" spans="5:16" ht="13.15" customHeight="1" x14ac:dyDescent="0.2">
      <c r="E429" s="601"/>
      <c r="F429" s="601"/>
      <c r="G429" s="601"/>
      <c r="H429" s="601"/>
      <c r="I429" s="601"/>
      <c r="J429" s="601"/>
      <c r="K429" s="601"/>
      <c r="L429" s="601"/>
      <c r="M429" s="601"/>
      <c r="N429" s="601"/>
      <c r="O429" s="601"/>
      <c r="P429" s="601"/>
    </row>
    <row r="430" spans="5:16" ht="13.15" customHeight="1" x14ac:dyDescent="0.2">
      <c r="E430" s="601"/>
      <c r="F430" s="601"/>
      <c r="G430" s="601"/>
      <c r="H430" s="601"/>
      <c r="I430" s="601"/>
      <c r="J430" s="601"/>
      <c r="K430" s="601"/>
      <c r="L430" s="601"/>
      <c r="M430" s="601"/>
      <c r="N430" s="601"/>
      <c r="O430" s="601"/>
      <c r="P430" s="601"/>
    </row>
    <row r="431" spans="5:16" ht="13.15" customHeight="1" x14ac:dyDescent="0.2">
      <c r="E431" s="601"/>
      <c r="F431" s="601"/>
      <c r="G431" s="601"/>
      <c r="H431" s="601"/>
      <c r="I431" s="601"/>
      <c r="J431" s="601"/>
      <c r="K431" s="601"/>
      <c r="L431" s="601"/>
      <c r="M431" s="601"/>
      <c r="N431" s="601"/>
      <c r="O431" s="601"/>
      <c r="P431" s="601"/>
    </row>
    <row r="432" spans="5:16" ht="13.15" customHeight="1" x14ac:dyDescent="0.2">
      <c r="E432" s="601"/>
      <c r="F432" s="601"/>
      <c r="G432" s="601"/>
      <c r="H432" s="601"/>
      <c r="I432" s="601"/>
      <c r="J432" s="601"/>
      <c r="K432" s="601"/>
      <c r="L432" s="601"/>
      <c r="M432" s="601"/>
      <c r="N432" s="601"/>
      <c r="O432" s="601"/>
      <c r="P432" s="601"/>
    </row>
    <row r="433" spans="5:16" ht="13.15" customHeight="1" x14ac:dyDescent="0.2">
      <c r="E433" s="601"/>
      <c r="F433" s="601"/>
      <c r="G433" s="601"/>
      <c r="H433" s="601"/>
      <c r="I433" s="601"/>
      <c r="J433" s="601"/>
      <c r="K433" s="601"/>
      <c r="L433" s="601"/>
      <c r="M433" s="601"/>
      <c r="N433" s="601"/>
      <c r="O433" s="601"/>
      <c r="P433" s="601"/>
    </row>
    <row r="434" spans="5:16" ht="13.15" customHeight="1" x14ac:dyDescent="0.2">
      <c r="E434" s="601"/>
      <c r="F434" s="601"/>
      <c r="G434" s="601"/>
      <c r="H434" s="601"/>
      <c r="I434" s="601"/>
      <c r="J434" s="601"/>
      <c r="K434" s="601"/>
      <c r="L434" s="601"/>
      <c r="M434" s="601"/>
      <c r="N434" s="601"/>
      <c r="O434" s="601"/>
      <c r="P434" s="601"/>
    </row>
    <row r="435" spans="5:16" ht="13.15" customHeight="1" x14ac:dyDescent="0.2">
      <c r="E435" s="601"/>
      <c r="F435" s="601"/>
      <c r="G435" s="601"/>
      <c r="H435" s="601"/>
      <c r="I435" s="601"/>
      <c r="J435" s="601"/>
      <c r="K435" s="601"/>
      <c r="L435" s="601"/>
      <c r="M435" s="601"/>
      <c r="N435" s="601"/>
      <c r="O435" s="601"/>
      <c r="P435" s="601"/>
    </row>
    <row r="436" spans="5:16" ht="13.15" customHeight="1" x14ac:dyDescent="0.2">
      <c r="E436" s="601"/>
      <c r="F436" s="601"/>
      <c r="G436" s="601"/>
      <c r="H436" s="601"/>
      <c r="I436" s="601"/>
      <c r="J436" s="601"/>
      <c r="K436" s="601"/>
      <c r="L436" s="601"/>
      <c r="M436" s="601"/>
      <c r="N436" s="601"/>
      <c r="O436" s="601"/>
      <c r="P436" s="601"/>
    </row>
    <row r="437" spans="5:16" ht="13.15" customHeight="1" x14ac:dyDescent="0.2">
      <c r="E437" s="601"/>
      <c r="F437" s="601"/>
      <c r="G437" s="601"/>
      <c r="H437" s="601"/>
      <c r="I437" s="601"/>
      <c r="J437" s="601"/>
      <c r="K437" s="601"/>
      <c r="L437" s="601"/>
      <c r="M437" s="601"/>
      <c r="N437" s="601"/>
      <c r="O437" s="601"/>
      <c r="P437" s="601"/>
    </row>
    <row r="438" spans="5:16" ht="13.15" customHeight="1" x14ac:dyDescent="0.2">
      <c r="E438" s="601"/>
      <c r="F438" s="601"/>
      <c r="G438" s="601"/>
      <c r="H438" s="601"/>
      <c r="I438" s="601"/>
      <c r="J438" s="601"/>
      <c r="K438" s="601"/>
      <c r="L438" s="601"/>
      <c r="M438" s="601"/>
      <c r="N438" s="601"/>
      <c r="O438" s="601"/>
      <c r="P438" s="601"/>
    </row>
    <row r="439" spans="5:16" ht="13.15" customHeight="1" x14ac:dyDescent="0.2">
      <c r="E439" s="601"/>
      <c r="F439" s="601"/>
      <c r="G439" s="601"/>
      <c r="H439" s="601"/>
      <c r="I439" s="601"/>
      <c r="J439" s="601"/>
      <c r="K439" s="601"/>
      <c r="L439" s="601"/>
      <c r="M439" s="601"/>
      <c r="N439" s="601"/>
      <c r="O439" s="601"/>
      <c r="P439" s="601"/>
    </row>
    <row r="440" spans="5:16" ht="13.15" customHeight="1" x14ac:dyDescent="0.2">
      <c r="E440" s="601"/>
      <c r="F440" s="601"/>
      <c r="G440" s="601"/>
      <c r="H440" s="601"/>
      <c r="I440" s="601"/>
      <c r="J440" s="601"/>
      <c r="K440" s="601"/>
      <c r="L440" s="601"/>
      <c r="M440" s="601"/>
      <c r="N440" s="601"/>
      <c r="O440" s="601"/>
      <c r="P440" s="601"/>
    </row>
    <row r="441" spans="5:16" ht="13.15" customHeight="1" x14ac:dyDescent="0.2">
      <c r="E441" s="601"/>
      <c r="F441" s="601"/>
      <c r="G441" s="601"/>
      <c r="H441" s="601"/>
      <c r="I441" s="601"/>
      <c r="J441" s="601"/>
      <c r="K441" s="601"/>
      <c r="L441" s="601"/>
      <c r="M441" s="601"/>
      <c r="N441" s="601"/>
      <c r="O441" s="601"/>
      <c r="P441" s="601"/>
    </row>
    <row r="442" spans="5:16" ht="13.15" customHeight="1" x14ac:dyDescent="0.2">
      <c r="E442" s="601"/>
      <c r="F442" s="601"/>
      <c r="G442" s="601"/>
      <c r="H442" s="601"/>
      <c r="I442" s="601"/>
      <c r="J442" s="601"/>
      <c r="K442" s="601"/>
      <c r="L442" s="601"/>
      <c r="M442" s="601"/>
      <c r="N442" s="601"/>
      <c r="O442" s="601"/>
      <c r="P442" s="601"/>
    </row>
    <row r="443" spans="5:16" ht="13.15" customHeight="1" x14ac:dyDescent="0.2">
      <c r="E443" s="601"/>
      <c r="F443" s="601"/>
      <c r="G443" s="601"/>
      <c r="H443" s="601"/>
      <c r="I443" s="601"/>
      <c r="J443" s="601"/>
      <c r="K443" s="601"/>
      <c r="L443" s="601"/>
      <c r="M443" s="601"/>
      <c r="N443" s="601"/>
      <c r="O443" s="601"/>
      <c r="P443" s="601"/>
    </row>
    <row r="444" spans="5:16" ht="13.15" customHeight="1" x14ac:dyDescent="0.2">
      <c r="E444" s="601"/>
      <c r="F444" s="601"/>
      <c r="G444" s="601"/>
      <c r="H444" s="601"/>
      <c r="I444" s="601"/>
      <c r="J444" s="601"/>
      <c r="K444" s="601"/>
      <c r="L444" s="601"/>
      <c r="M444" s="601"/>
      <c r="N444" s="601"/>
      <c r="O444" s="601"/>
      <c r="P444" s="601"/>
    </row>
    <row r="445" spans="5:16" ht="13.15" customHeight="1" x14ac:dyDescent="0.2">
      <c r="E445" s="601"/>
      <c r="F445" s="601"/>
      <c r="G445" s="601"/>
      <c r="H445" s="601"/>
      <c r="I445" s="601"/>
      <c r="J445" s="601"/>
      <c r="K445" s="601"/>
      <c r="L445" s="601"/>
      <c r="M445" s="601"/>
      <c r="N445" s="601"/>
      <c r="O445" s="601"/>
      <c r="P445" s="601"/>
    </row>
    <row r="446" spans="5:16" ht="13.15" customHeight="1" x14ac:dyDescent="0.2">
      <c r="E446" s="601"/>
      <c r="F446" s="601"/>
      <c r="G446" s="601"/>
      <c r="H446" s="601"/>
      <c r="I446" s="601"/>
      <c r="J446" s="601"/>
      <c r="K446" s="601"/>
      <c r="L446" s="601"/>
      <c r="M446" s="601"/>
      <c r="N446" s="601"/>
      <c r="O446" s="601"/>
      <c r="P446" s="601"/>
    </row>
    <row r="447" spans="5:16" ht="13.15" customHeight="1" x14ac:dyDescent="0.2">
      <c r="E447" s="601"/>
      <c r="F447" s="601"/>
      <c r="G447" s="601"/>
      <c r="H447" s="601"/>
      <c r="I447" s="601"/>
      <c r="J447" s="601"/>
      <c r="K447" s="601"/>
      <c r="L447" s="601"/>
      <c r="M447" s="601"/>
      <c r="N447" s="601"/>
      <c r="O447" s="601"/>
      <c r="P447" s="601"/>
    </row>
    <row r="448" spans="5:16" ht="13.15" customHeight="1" x14ac:dyDescent="0.2">
      <c r="E448" s="601"/>
      <c r="F448" s="601"/>
      <c r="G448" s="601"/>
      <c r="H448" s="601"/>
      <c r="I448" s="601"/>
      <c r="J448" s="601"/>
      <c r="K448" s="601"/>
      <c r="L448" s="601"/>
      <c r="M448" s="601"/>
      <c r="N448" s="601"/>
      <c r="O448" s="601"/>
      <c r="P448" s="601"/>
    </row>
    <row r="449" spans="5:16" ht="13.15" customHeight="1" x14ac:dyDescent="0.2">
      <c r="E449" s="601"/>
      <c r="F449" s="601"/>
      <c r="G449" s="601"/>
      <c r="H449" s="601"/>
      <c r="I449" s="601"/>
      <c r="J449" s="601"/>
      <c r="K449" s="601"/>
      <c r="L449" s="601"/>
      <c r="M449" s="601"/>
      <c r="N449" s="601"/>
      <c r="O449" s="601"/>
      <c r="P449" s="601"/>
    </row>
    <row r="450" spans="5:16" ht="13.15" customHeight="1" x14ac:dyDescent="0.2">
      <c r="E450" s="601"/>
      <c r="F450" s="601"/>
      <c r="G450" s="601"/>
      <c r="H450" s="601"/>
      <c r="I450" s="601"/>
      <c r="J450" s="601"/>
      <c r="K450" s="601"/>
      <c r="L450" s="601"/>
      <c r="M450" s="601"/>
      <c r="N450" s="601"/>
      <c r="O450" s="601"/>
      <c r="P450" s="601"/>
    </row>
    <row r="451" spans="5:16" ht="13.15" customHeight="1" x14ac:dyDescent="0.2">
      <c r="E451" s="601"/>
      <c r="F451" s="601"/>
      <c r="G451" s="601"/>
      <c r="H451" s="601"/>
      <c r="I451" s="601"/>
      <c r="J451" s="601"/>
      <c r="K451" s="601"/>
      <c r="L451" s="601"/>
      <c r="M451" s="601"/>
      <c r="N451" s="601"/>
      <c r="O451" s="601"/>
      <c r="P451" s="601"/>
    </row>
    <row r="452" spans="5:16" ht="13.15" customHeight="1" x14ac:dyDescent="0.2">
      <c r="E452" s="601"/>
      <c r="F452" s="601"/>
      <c r="G452" s="601"/>
      <c r="H452" s="601"/>
      <c r="I452" s="601"/>
      <c r="J452" s="601"/>
      <c r="K452" s="601"/>
      <c r="L452" s="601"/>
      <c r="M452" s="601"/>
      <c r="N452" s="601"/>
      <c r="O452" s="601"/>
      <c r="P452" s="601"/>
    </row>
    <row r="453" spans="5:16" ht="13.15" customHeight="1" x14ac:dyDescent="0.2">
      <c r="E453" s="601"/>
      <c r="F453" s="601"/>
      <c r="G453" s="601"/>
      <c r="H453" s="601"/>
      <c r="I453" s="601"/>
      <c r="J453" s="601"/>
      <c r="K453" s="601"/>
      <c r="L453" s="601"/>
      <c r="M453" s="601"/>
      <c r="N453" s="601"/>
      <c r="O453" s="601"/>
      <c r="P453" s="601"/>
    </row>
    <row r="454" spans="5:16" ht="13.15" customHeight="1" x14ac:dyDescent="0.2">
      <c r="E454" s="601"/>
      <c r="F454" s="601"/>
      <c r="G454" s="601"/>
      <c r="H454" s="601"/>
      <c r="I454" s="601"/>
      <c r="J454" s="601"/>
      <c r="K454" s="601"/>
      <c r="L454" s="601"/>
      <c r="M454" s="601"/>
      <c r="N454" s="601"/>
      <c r="O454" s="601"/>
      <c r="P454" s="601"/>
    </row>
    <row r="455" spans="5:16" ht="13.15" customHeight="1" x14ac:dyDescent="0.2">
      <c r="E455" s="601"/>
      <c r="F455" s="601"/>
      <c r="G455" s="601"/>
      <c r="H455" s="601"/>
      <c r="I455" s="601"/>
      <c r="J455" s="601"/>
      <c r="K455" s="601"/>
      <c r="L455" s="601"/>
      <c r="M455" s="601"/>
      <c r="N455" s="601"/>
      <c r="O455" s="601"/>
      <c r="P455" s="601"/>
    </row>
    <row r="456" spans="5:16" ht="13.15" customHeight="1" x14ac:dyDescent="0.2">
      <c r="E456" s="601"/>
      <c r="F456" s="601"/>
      <c r="G456" s="601"/>
      <c r="H456" s="601"/>
      <c r="I456" s="601"/>
      <c r="J456" s="601"/>
      <c r="K456" s="601"/>
      <c r="L456" s="601"/>
      <c r="M456" s="601"/>
      <c r="N456" s="601"/>
      <c r="O456" s="601"/>
      <c r="P456" s="601"/>
    </row>
    <row r="457" spans="5:16" ht="13.15" customHeight="1" x14ac:dyDescent="0.2">
      <c r="E457" s="601"/>
      <c r="F457" s="601"/>
      <c r="G457" s="601"/>
      <c r="H457" s="601"/>
      <c r="I457" s="601"/>
      <c r="J457" s="601"/>
      <c r="K457" s="601"/>
      <c r="L457" s="601"/>
      <c r="M457" s="601"/>
      <c r="N457" s="601"/>
      <c r="O457" s="601"/>
      <c r="P457" s="601"/>
    </row>
    <row r="458" spans="5:16" ht="13.15" customHeight="1" x14ac:dyDescent="0.2">
      <c r="E458" s="601"/>
      <c r="F458" s="601"/>
      <c r="G458" s="601"/>
      <c r="H458" s="601"/>
      <c r="I458" s="601"/>
      <c r="J458" s="601"/>
      <c r="K458" s="601"/>
      <c r="L458" s="601"/>
      <c r="M458" s="601"/>
      <c r="N458" s="601"/>
      <c r="O458" s="601"/>
      <c r="P458" s="601"/>
    </row>
    <row r="459" spans="5:16" ht="13.15" customHeight="1" x14ac:dyDescent="0.2">
      <c r="E459" s="601"/>
      <c r="F459" s="601"/>
      <c r="G459" s="601"/>
      <c r="H459" s="601"/>
      <c r="I459" s="601"/>
      <c r="J459" s="601"/>
      <c r="K459" s="601"/>
      <c r="L459" s="601"/>
      <c r="M459" s="601"/>
      <c r="N459" s="601"/>
      <c r="O459" s="601"/>
      <c r="P459" s="601"/>
    </row>
    <row r="460" spans="5:16" ht="13.15" customHeight="1" x14ac:dyDescent="0.2">
      <c r="E460" s="601"/>
      <c r="F460" s="601"/>
      <c r="G460" s="601"/>
      <c r="H460" s="601"/>
      <c r="I460" s="601"/>
      <c r="J460" s="601"/>
      <c r="K460" s="601"/>
      <c r="L460" s="601"/>
      <c r="M460" s="601"/>
      <c r="N460" s="601"/>
      <c r="O460" s="601"/>
      <c r="P460" s="601"/>
    </row>
    <row r="461" spans="5:16" ht="13.15" customHeight="1" x14ac:dyDescent="0.2">
      <c r="E461" s="601"/>
      <c r="F461" s="601"/>
      <c r="G461" s="601"/>
      <c r="H461" s="601"/>
      <c r="I461" s="601"/>
      <c r="J461" s="601"/>
      <c r="K461" s="601"/>
      <c r="L461" s="601"/>
      <c r="M461" s="601"/>
      <c r="N461" s="601"/>
      <c r="O461" s="601"/>
      <c r="P461" s="601"/>
    </row>
    <row r="462" spans="5:16" ht="13.15" customHeight="1" x14ac:dyDescent="0.2">
      <c r="E462" s="601"/>
      <c r="F462" s="601"/>
      <c r="G462" s="601"/>
      <c r="H462" s="601"/>
      <c r="I462" s="601"/>
      <c r="J462" s="601"/>
      <c r="K462" s="601"/>
      <c r="L462" s="601"/>
      <c r="M462" s="601"/>
      <c r="N462" s="601"/>
      <c r="O462" s="601"/>
      <c r="P462" s="601"/>
    </row>
    <row r="463" spans="5:16" ht="13.15" customHeight="1" x14ac:dyDescent="0.2">
      <c r="E463" s="601"/>
      <c r="F463" s="601"/>
      <c r="G463" s="601"/>
      <c r="H463" s="601"/>
      <c r="I463" s="601"/>
      <c r="J463" s="601"/>
      <c r="K463" s="601"/>
      <c r="L463" s="601"/>
      <c r="M463" s="601"/>
      <c r="N463" s="601"/>
      <c r="O463" s="601"/>
      <c r="P463" s="601"/>
    </row>
    <row r="464" spans="5:16" ht="13.15" customHeight="1" x14ac:dyDescent="0.2">
      <c r="E464" s="601"/>
      <c r="F464" s="601"/>
      <c r="G464" s="601"/>
      <c r="H464" s="601"/>
      <c r="I464" s="601"/>
      <c r="J464" s="601"/>
      <c r="K464" s="601"/>
      <c r="L464" s="601"/>
      <c r="M464" s="601"/>
      <c r="N464" s="601"/>
      <c r="O464" s="601"/>
      <c r="P464" s="601"/>
    </row>
    <row r="465" spans="5:16" ht="13.15" customHeight="1" x14ac:dyDescent="0.2">
      <c r="E465" s="601"/>
      <c r="F465" s="601"/>
      <c r="G465" s="601"/>
      <c r="H465" s="601"/>
      <c r="I465" s="601"/>
      <c r="J465" s="601"/>
      <c r="K465" s="601"/>
      <c r="L465" s="601"/>
      <c r="M465" s="601"/>
      <c r="N465" s="601"/>
      <c r="O465" s="601"/>
      <c r="P465" s="601"/>
    </row>
    <row r="466" spans="5:16" ht="13.15" customHeight="1" x14ac:dyDescent="0.2">
      <c r="E466" s="601"/>
      <c r="F466" s="601"/>
      <c r="G466" s="601"/>
      <c r="H466" s="601"/>
      <c r="I466" s="601"/>
      <c r="J466" s="601"/>
      <c r="K466" s="601"/>
      <c r="L466" s="601"/>
      <c r="M466" s="601"/>
      <c r="N466" s="601"/>
      <c r="O466" s="601"/>
      <c r="P466" s="601"/>
    </row>
    <row r="467" spans="5:16" ht="13.15" customHeight="1" x14ac:dyDescent="0.2">
      <c r="E467" s="601"/>
      <c r="F467" s="601"/>
      <c r="G467" s="601"/>
      <c r="H467" s="601"/>
      <c r="I467" s="601"/>
      <c r="J467" s="601"/>
      <c r="K467" s="601"/>
      <c r="L467" s="601"/>
      <c r="M467" s="601"/>
      <c r="N467" s="601"/>
      <c r="O467" s="601"/>
      <c r="P467" s="601"/>
    </row>
    <row r="468" spans="5:16" ht="13.15" customHeight="1" x14ac:dyDescent="0.2">
      <c r="E468" s="601"/>
      <c r="F468" s="601"/>
      <c r="G468" s="601"/>
      <c r="H468" s="601"/>
      <c r="I468" s="601"/>
      <c r="J468" s="601"/>
      <c r="K468" s="601"/>
      <c r="L468" s="601"/>
      <c r="M468" s="601"/>
      <c r="N468" s="601"/>
      <c r="O468" s="601"/>
      <c r="P468" s="601"/>
    </row>
    <row r="469" spans="5:16" ht="13.15" customHeight="1" x14ac:dyDescent="0.2">
      <c r="E469" s="601"/>
      <c r="F469" s="601"/>
      <c r="G469" s="601"/>
      <c r="H469" s="601"/>
      <c r="I469" s="601"/>
      <c r="J469" s="601"/>
      <c r="K469" s="601"/>
      <c r="L469" s="601"/>
      <c r="M469" s="601"/>
      <c r="N469" s="601"/>
      <c r="O469" s="601"/>
      <c r="P469" s="601"/>
    </row>
    <row r="470" spans="5:16" ht="13.15" customHeight="1" x14ac:dyDescent="0.2">
      <c r="E470" s="601"/>
      <c r="F470" s="601"/>
      <c r="G470" s="601"/>
      <c r="H470" s="601"/>
      <c r="I470" s="601"/>
      <c r="J470" s="601"/>
      <c r="K470" s="601"/>
      <c r="L470" s="601"/>
      <c r="M470" s="601"/>
      <c r="N470" s="601"/>
      <c r="O470" s="601"/>
      <c r="P470" s="601"/>
    </row>
    <row r="471" spans="5:16" ht="13.15" customHeight="1" x14ac:dyDescent="0.2">
      <c r="E471" s="601"/>
      <c r="F471" s="601"/>
      <c r="G471" s="601"/>
      <c r="H471" s="601"/>
      <c r="I471" s="601"/>
      <c r="J471" s="601"/>
      <c r="K471" s="601"/>
      <c r="L471" s="601"/>
      <c r="M471" s="601"/>
      <c r="N471" s="601"/>
      <c r="O471" s="601"/>
      <c r="P471" s="601"/>
    </row>
    <row r="472" spans="5:16" ht="13.15" customHeight="1" x14ac:dyDescent="0.2">
      <c r="E472" s="601"/>
      <c r="F472" s="601"/>
      <c r="G472" s="601"/>
      <c r="H472" s="601"/>
      <c r="I472" s="601"/>
      <c r="J472" s="601"/>
      <c r="K472" s="601"/>
      <c r="L472" s="601"/>
      <c r="M472" s="601"/>
      <c r="N472" s="601"/>
      <c r="O472" s="601"/>
      <c r="P472" s="601"/>
    </row>
    <row r="473" spans="5:16" ht="13.15" customHeight="1" x14ac:dyDescent="0.2">
      <c r="E473" s="601"/>
      <c r="F473" s="601"/>
      <c r="G473" s="601"/>
      <c r="H473" s="601"/>
      <c r="I473" s="601"/>
      <c r="J473" s="601"/>
      <c r="K473" s="601"/>
      <c r="L473" s="601"/>
      <c r="M473" s="601"/>
      <c r="N473" s="601"/>
      <c r="O473" s="601"/>
      <c r="P473" s="601"/>
    </row>
    <row r="474" spans="5:16" ht="13.15" customHeight="1" x14ac:dyDescent="0.2">
      <c r="E474" s="601"/>
      <c r="F474" s="601"/>
      <c r="G474" s="601"/>
      <c r="H474" s="601"/>
      <c r="I474" s="601"/>
      <c r="J474" s="601"/>
      <c r="K474" s="601"/>
      <c r="L474" s="601"/>
      <c r="M474" s="601"/>
      <c r="N474" s="601"/>
      <c r="O474" s="601"/>
      <c r="P474" s="601"/>
    </row>
    <row r="475" spans="5:16" ht="13.15" customHeight="1" x14ac:dyDescent="0.2">
      <c r="E475" s="601"/>
      <c r="F475" s="601"/>
      <c r="G475" s="601"/>
      <c r="H475" s="601"/>
      <c r="I475" s="601"/>
      <c r="J475" s="601"/>
      <c r="K475" s="601"/>
      <c r="L475" s="601"/>
      <c r="M475" s="601"/>
      <c r="N475" s="601"/>
      <c r="O475" s="601"/>
      <c r="P475" s="601"/>
    </row>
    <row r="476" spans="5:16" ht="13.15" customHeight="1" x14ac:dyDescent="0.2">
      <c r="E476" s="601"/>
      <c r="F476" s="601"/>
      <c r="G476" s="601"/>
      <c r="H476" s="601"/>
      <c r="I476" s="601"/>
      <c r="J476" s="601"/>
      <c r="K476" s="601"/>
      <c r="L476" s="601"/>
      <c r="M476" s="601"/>
      <c r="N476" s="601"/>
      <c r="O476" s="601"/>
      <c r="P476" s="601"/>
    </row>
    <row r="477" spans="5:16" ht="13.15" customHeight="1" x14ac:dyDescent="0.2">
      <c r="E477" s="601"/>
      <c r="F477" s="601"/>
      <c r="G477" s="601"/>
      <c r="H477" s="601"/>
      <c r="I477" s="601"/>
      <c r="J477" s="601"/>
      <c r="K477" s="601"/>
      <c r="L477" s="601"/>
      <c r="M477" s="601"/>
      <c r="N477" s="601"/>
      <c r="O477" s="601"/>
      <c r="P477" s="601"/>
    </row>
    <row r="478" spans="5:16" ht="13.15" customHeight="1" x14ac:dyDescent="0.2">
      <c r="E478" s="601"/>
      <c r="F478" s="601"/>
      <c r="G478" s="601"/>
      <c r="H478" s="601"/>
      <c r="I478" s="601"/>
      <c r="J478" s="601"/>
      <c r="K478" s="601"/>
      <c r="L478" s="601"/>
      <c r="M478" s="601"/>
      <c r="N478" s="601"/>
      <c r="O478" s="601"/>
      <c r="P478" s="601"/>
    </row>
    <row r="479" spans="5:16" ht="13.15" customHeight="1" x14ac:dyDescent="0.2">
      <c r="E479" s="601"/>
      <c r="F479" s="601"/>
      <c r="G479" s="601"/>
      <c r="H479" s="601"/>
      <c r="I479" s="601"/>
      <c r="J479" s="601"/>
      <c r="K479" s="601"/>
      <c r="L479" s="601"/>
      <c r="M479" s="601"/>
      <c r="N479" s="601"/>
      <c r="O479" s="601"/>
      <c r="P479" s="601"/>
    </row>
    <row r="480" spans="5:16" ht="13.15" customHeight="1" x14ac:dyDescent="0.2">
      <c r="E480" s="601"/>
      <c r="F480" s="601"/>
      <c r="G480" s="601"/>
      <c r="H480" s="601"/>
      <c r="I480" s="601"/>
      <c r="J480" s="601"/>
      <c r="K480" s="601"/>
      <c r="L480" s="601"/>
      <c r="M480" s="601"/>
      <c r="N480" s="601"/>
      <c r="O480" s="601"/>
      <c r="P480" s="601"/>
    </row>
    <row r="481" spans="5:16" ht="13.15" customHeight="1" x14ac:dyDescent="0.2">
      <c r="E481" s="601"/>
      <c r="F481" s="601"/>
      <c r="G481" s="601"/>
      <c r="H481" s="601"/>
      <c r="I481" s="601"/>
      <c r="J481" s="601"/>
      <c r="K481" s="601"/>
      <c r="L481" s="601"/>
      <c r="M481" s="601"/>
      <c r="N481" s="601"/>
      <c r="O481" s="601"/>
      <c r="P481" s="601"/>
    </row>
    <row r="482" spans="5:16" ht="13.15" customHeight="1" x14ac:dyDescent="0.2">
      <c r="E482" s="601"/>
      <c r="F482" s="601"/>
      <c r="G482" s="601"/>
      <c r="H482" s="601"/>
      <c r="I482" s="601"/>
      <c r="J482" s="601"/>
      <c r="K482" s="601"/>
      <c r="L482" s="601"/>
      <c r="M482" s="601"/>
      <c r="N482" s="601"/>
      <c r="O482" s="601"/>
      <c r="P482" s="601"/>
    </row>
    <row r="483" spans="5:16" ht="13.15" customHeight="1" x14ac:dyDescent="0.2">
      <c r="E483" s="601"/>
      <c r="F483" s="601"/>
      <c r="G483" s="601"/>
      <c r="H483" s="601"/>
      <c r="I483" s="601"/>
      <c r="J483" s="601"/>
      <c r="K483" s="601"/>
      <c r="L483" s="601"/>
      <c r="M483" s="601"/>
      <c r="N483" s="601"/>
      <c r="O483" s="601"/>
      <c r="P483" s="601"/>
    </row>
    <row r="484" spans="5:16" ht="13.15" customHeight="1" x14ac:dyDescent="0.2">
      <c r="E484" s="601"/>
      <c r="F484" s="601"/>
      <c r="G484" s="601"/>
      <c r="H484" s="601"/>
      <c r="I484" s="601"/>
      <c r="J484" s="601"/>
      <c r="K484" s="601"/>
      <c r="L484" s="601"/>
      <c r="M484" s="601"/>
      <c r="N484" s="601"/>
      <c r="O484" s="601"/>
      <c r="P484" s="601"/>
    </row>
    <row r="485" spans="5:16" ht="13.15" customHeight="1" x14ac:dyDescent="0.2">
      <c r="E485" s="601"/>
      <c r="F485" s="601"/>
      <c r="G485" s="601"/>
      <c r="H485" s="601"/>
      <c r="I485" s="601"/>
      <c r="J485" s="601"/>
      <c r="K485" s="601"/>
      <c r="L485" s="601"/>
      <c r="M485" s="601"/>
      <c r="N485" s="601"/>
      <c r="O485" s="601"/>
      <c r="P485" s="601"/>
    </row>
    <row r="486" spans="5:16" ht="13.15" customHeight="1" x14ac:dyDescent="0.2">
      <c r="E486" s="601"/>
      <c r="F486" s="601"/>
      <c r="G486" s="601"/>
      <c r="H486" s="601"/>
      <c r="I486" s="601"/>
      <c r="J486" s="601"/>
      <c r="K486" s="601"/>
      <c r="L486" s="601"/>
      <c r="M486" s="601"/>
      <c r="N486" s="601"/>
      <c r="O486" s="601"/>
      <c r="P486" s="601"/>
    </row>
    <row r="487" spans="5:16" ht="13.15" customHeight="1" x14ac:dyDescent="0.2">
      <c r="E487" s="601"/>
      <c r="F487" s="601"/>
      <c r="G487" s="601"/>
      <c r="H487" s="601"/>
      <c r="I487" s="601"/>
      <c r="J487" s="601"/>
      <c r="K487" s="601"/>
      <c r="L487" s="601"/>
      <c r="M487" s="601"/>
      <c r="N487" s="601"/>
      <c r="O487" s="601"/>
      <c r="P487" s="601"/>
    </row>
    <row r="488" spans="5:16" ht="13.15" customHeight="1" x14ac:dyDescent="0.2">
      <c r="E488" s="601"/>
      <c r="F488" s="601"/>
      <c r="G488" s="601"/>
      <c r="H488" s="601"/>
      <c r="I488" s="601"/>
      <c r="J488" s="601"/>
      <c r="K488" s="601"/>
      <c r="L488" s="601"/>
      <c r="M488" s="601"/>
      <c r="N488" s="601"/>
      <c r="O488" s="601"/>
      <c r="P488" s="601"/>
    </row>
    <row r="489" spans="5:16" ht="13.15" customHeight="1" x14ac:dyDescent="0.2">
      <c r="E489" s="601"/>
      <c r="F489" s="601"/>
      <c r="G489" s="601"/>
      <c r="H489" s="601"/>
      <c r="I489" s="601"/>
      <c r="J489" s="601"/>
      <c r="K489" s="601"/>
      <c r="L489" s="601"/>
      <c r="M489" s="601"/>
      <c r="N489" s="601"/>
      <c r="O489" s="601"/>
      <c r="P489" s="601"/>
    </row>
    <row r="490" spans="5:16" ht="13.15" customHeight="1" x14ac:dyDescent="0.2">
      <c r="E490" s="601"/>
      <c r="F490" s="601"/>
      <c r="G490" s="601"/>
      <c r="H490" s="601"/>
      <c r="I490" s="601"/>
      <c r="J490" s="601"/>
      <c r="K490" s="601"/>
      <c r="L490" s="601"/>
      <c r="M490" s="601"/>
      <c r="N490" s="601"/>
      <c r="O490" s="601"/>
      <c r="P490" s="601"/>
    </row>
    <row r="491" spans="5:16" ht="13.15" customHeight="1" x14ac:dyDescent="0.2">
      <c r="E491" s="601"/>
      <c r="F491" s="601"/>
      <c r="G491" s="601"/>
      <c r="H491" s="601"/>
      <c r="I491" s="601"/>
      <c r="J491" s="601"/>
      <c r="K491" s="601"/>
      <c r="L491" s="601"/>
      <c r="M491" s="601"/>
      <c r="N491" s="601"/>
      <c r="O491" s="601"/>
      <c r="P491" s="601"/>
    </row>
    <row r="492" spans="5:16" ht="13.15" customHeight="1" x14ac:dyDescent="0.2">
      <c r="E492" s="601"/>
      <c r="F492" s="601"/>
      <c r="G492" s="601"/>
      <c r="H492" s="601"/>
      <c r="I492" s="601"/>
      <c r="J492" s="601"/>
      <c r="K492" s="601"/>
      <c r="L492" s="601"/>
      <c r="M492" s="601"/>
      <c r="N492" s="601"/>
      <c r="O492" s="601"/>
      <c r="P492" s="601"/>
    </row>
    <row r="493" spans="5:16" ht="13.15" customHeight="1" x14ac:dyDescent="0.2">
      <c r="E493" s="601"/>
      <c r="F493" s="601"/>
      <c r="G493" s="601"/>
      <c r="H493" s="601"/>
      <c r="I493" s="601"/>
      <c r="J493" s="601"/>
      <c r="K493" s="601"/>
      <c r="L493" s="601"/>
      <c r="M493" s="601"/>
      <c r="N493" s="601"/>
      <c r="O493" s="601"/>
      <c r="P493" s="601"/>
    </row>
    <row r="494" spans="5:16" ht="13.15" customHeight="1" x14ac:dyDescent="0.2">
      <c r="E494" s="601"/>
      <c r="F494" s="601"/>
      <c r="G494" s="601"/>
      <c r="H494" s="601"/>
      <c r="I494" s="601"/>
      <c r="J494" s="601"/>
      <c r="K494" s="601"/>
      <c r="L494" s="601"/>
      <c r="M494" s="601"/>
      <c r="N494" s="601"/>
      <c r="O494" s="601"/>
      <c r="P494" s="601"/>
    </row>
    <row r="495" spans="5:16" ht="13.15" customHeight="1" x14ac:dyDescent="0.2">
      <c r="E495" s="601"/>
      <c r="F495" s="601"/>
      <c r="G495" s="601"/>
      <c r="H495" s="601"/>
      <c r="I495" s="601"/>
      <c r="J495" s="601"/>
      <c r="K495" s="601"/>
      <c r="L495" s="601"/>
      <c r="M495" s="601"/>
      <c r="N495" s="601"/>
      <c r="O495" s="601"/>
      <c r="P495" s="601"/>
    </row>
    <row r="496" spans="5:16" ht="13.15" customHeight="1" x14ac:dyDescent="0.2">
      <c r="E496" s="601"/>
      <c r="F496" s="601"/>
      <c r="G496" s="601"/>
      <c r="H496" s="601"/>
      <c r="I496" s="601"/>
      <c r="J496" s="601"/>
      <c r="K496" s="601"/>
      <c r="L496" s="601"/>
      <c r="M496" s="601"/>
      <c r="N496" s="601"/>
      <c r="O496" s="601"/>
      <c r="P496" s="601"/>
    </row>
    <row r="497" spans="1:16" ht="13.15" customHeight="1" x14ac:dyDescent="0.2">
      <c r="E497" s="601"/>
      <c r="F497" s="601"/>
      <c r="G497" s="601"/>
      <c r="H497" s="601"/>
      <c r="I497" s="601"/>
      <c r="J497" s="601"/>
      <c r="K497" s="601"/>
      <c r="L497" s="601"/>
      <c r="M497" s="601"/>
      <c r="N497" s="601"/>
      <c r="O497" s="601"/>
      <c r="P497" s="601"/>
    </row>
    <row r="498" spans="1:16" ht="13.15" customHeight="1" x14ac:dyDescent="0.2">
      <c r="E498" s="601"/>
      <c r="F498" s="601"/>
      <c r="G498" s="601"/>
      <c r="H498" s="601"/>
      <c r="I498" s="601"/>
      <c r="J498" s="601"/>
      <c r="K498" s="601"/>
      <c r="L498" s="601"/>
      <c r="M498" s="601"/>
      <c r="N498" s="601"/>
      <c r="O498" s="601"/>
      <c r="P498" s="601"/>
    </row>
    <row r="499" spans="1:16" ht="13.15" customHeight="1" x14ac:dyDescent="0.2">
      <c r="E499" s="601"/>
      <c r="F499" s="601"/>
      <c r="G499" s="601"/>
      <c r="H499" s="601"/>
      <c r="I499" s="601"/>
      <c r="J499" s="601"/>
      <c r="K499" s="601"/>
      <c r="L499" s="601"/>
      <c r="M499" s="601"/>
      <c r="N499" s="601"/>
      <c r="O499" s="601"/>
      <c r="P499" s="601"/>
    </row>
    <row r="500" spans="1:16" ht="13.15" customHeight="1" x14ac:dyDescent="0.2">
      <c r="E500" s="601"/>
      <c r="F500" s="601"/>
      <c r="G500" s="601"/>
      <c r="H500" s="601"/>
      <c r="I500" s="601"/>
      <c r="J500" s="601"/>
      <c r="K500" s="601"/>
      <c r="L500" s="601"/>
      <c r="M500" s="601"/>
      <c r="N500" s="601"/>
      <c r="O500" s="601"/>
      <c r="P500" s="601"/>
    </row>
    <row r="501" spans="1:16" ht="13.15" customHeight="1" x14ac:dyDescent="0.2">
      <c r="E501" s="601"/>
      <c r="F501" s="601"/>
      <c r="G501" s="601"/>
      <c r="H501" s="601"/>
      <c r="I501" s="601"/>
      <c r="J501" s="601"/>
      <c r="K501" s="601"/>
      <c r="L501" s="601"/>
      <c r="M501" s="601"/>
      <c r="N501" s="601"/>
      <c r="O501" s="601"/>
      <c r="P501" s="601"/>
    </row>
    <row r="502" spans="1:16" ht="13.15" customHeight="1" x14ac:dyDescent="0.2">
      <c r="E502" s="601"/>
      <c r="F502" s="601"/>
      <c r="G502" s="601"/>
      <c r="H502" s="601"/>
      <c r="I502" s="601"/>
      <c r="J502" s="601"/>
      <c r="K502" s="601"/>
      <c r="L502" s="601"/>
      <c r="M502" s="601"/>
      <c r="N502" s="601"/>
      <c r="O502" s="601"/>
      <c r="P502" s="601"/>
    </row>
    <row r="503" spans="1:16" ht="13.15" customHeight="1" x14ac:dyDescent="0.2">
      <c r="A503" s="607"/>
      <c r="E503" s="601"/>
      <c r="F503" s="601"/>
      <c r="G503" s="601"/>
      <c r="H503" s="601"/>
      <c r="I503" s="601"/>
      <c r="J503" s="601"/>
      <c r="K503" s="601"/>
      <c r="L503" s="601"/>
      <c r="M503" s="601"/>
      <c r="N503" s="601"/>
      <c r="O503" s="601"/>
      <c r="P503" s="601"/>
    </row>
    <row r="504" spans="1:16" ht="13.15" customHeight="1" x14ac:dyDescent="0.2">
      <c r="A504" s="607"/>
      <c r="E504" s="601"/>
      <c r="F504" s="601"/>
      <c r="G504" s="601"/>
      <c r="H504" s="601"/>
      <c r="I504" s="601"/>
      <c r="J504" s="601"/>
      <c r="K504" s="601"/>
      <c r="L504" s="601"/>
      <c r="M504" s="601"/>
      <c r="N504" s="601"/>
      <c r="O504" s="601"/>
      <c r="P504" s="601"/>
    </row>
    <row r="505" spans="1:16" ht="13.15" customHeight="1" x14ac:dyDescent="0.2">
      <c r="A505" s="607"/>
      <c r="E505" s="601"/>
      <c r="F505" s="601"/>
      <c r="G505" s="601"/>
      <c r="H505" s="601"/>
      <c r="I505" s="601"/>
      <c r="J505" s="601"/>
      <c r="K505" s="601"/>
      <c r="L505" s="601"/>
      <c r="M505" s="601"/>
      <c r="N505" s="601"/>
      <c r="O505" s="601"/>
      <c r="P505" s="601"/>
    </row>
    <row r="506" spans="1:16" ht="13.15" customHeight="1" x14ac:dyDescent="0.2">
      <c r="E506" s="601"/>
      <c r="F506" s="601"/>
      <c r="G506" s="601"/>
      <c r="H506" s="601"/>
      <c r="I506" s="601"/>
      <c r="J506" s="601"/>
      <c r="K506" s="601"/>
      <c r="L506" s="601"/>
      <c r="M506" s="601"/>
      <c r="N506" s="601"/>
      <c r="O506" s="601"/>
      <c r="P506" s="601"/>
    </row>
    <row r="507" spans="1:16" ht="13.15" customHeight="1" x14ac:dyDescent="0.2">
      <c r="E507" s="601"/>
      <c r="F507" s="601"/>
      <c r="G507" s="601"/>
      <c r="H507" s="601"/>
      <c r="I507" s="601"/>
      <c r="J507" s="601"/>
      <c r="K507" s="601"/>
      <c r="L507" s="601"/>
      <c r="M507" s="601"/>
      <c r="N507" s="601"/>
      <c r="O507" s="601"/>
      <c r="P507" s="601"/>
    </row>
    <row r="508" spans="1:16" ht="13.15" customHeight="1" x14ac:dyDescent="0.2">
      <c r="E508" s="601"/>
      <c r="F508" s="601"/>
      <c r="G508" s="601"/>
      <c r="H508" s="601"/>
      <c r="I508" s="601"/>
      <c r="J508" s="601"/>
      <c r="K508" s="601"/>
      <c r="L508" s="601"/>
      <c r="M508" s="601"/>
      <c r="N508" s="601"/>
      <c r="O508" s="601"/>
      <c r="P508" s="601"/>
    </row>
    <row r="509" spans="1:16" ht="13.15" customHeight="1" x14ac:dyDescent="0.2">
      <c r="A509" s="609"/>
      <c r="E509" s="601"/>
      <c r="F509" s="601"/>
      <c r="G509" s="601"/>
      <c r="H509" s="601"/>
      <c r="I509" s="601"/>
      <c r="J509" s="601"/>
      <c r="K509" s="601"/>
      <c r="L509" s="601"/>
      <c r="M509" s="601"/>
      <c r="N509" s="601"/>
      <c r="O509" s="601"/>
      <c r="P509" s="601"/>
    </row>
    <row r="510" spans="1:16" ht="13.15" customHeight="1" x14ac:dyDescent="0.2">
      <c r="A510" s="615"/>
      <c r="E510" s="601"/>
      <c r="F510" s="601"/>
      <c r="G510" s="601"/>
      <c r="H510" s="601"/>
      <c r="I510" s="601"/>
      <c r="J510" s="601"/>
      <c r="K510" s="601"/>
      <c r="L510" s="601"/>
      <c r="M510" s="601"/>
      <c r="N510" s="601"/>
      <c r="O510" s="601"/>
      <c r="P510" s="601"/>
    </row>
    <row r="511" spans="1:16" ht="13.15" customHeight="1" x14ac:dyDescent="0.2">
      <c r="A511" s="607"/>
      <c r="E511" s="601"/>
      <c r="F511" s="601"/>
      <c r="G511" s="601"/>
      <c r="H511" s="601"/>
      <c r="I511" s="601"/>
      <c r="J511" s="601"/>
      <c r="K511" s="601"/>
      <c r="L511" s="601"/>
      <c r="M511" s="601"/>
      <c r="N511" s="601"/>
      <c r="O511" s="601"/>
      <c r="P511" s="601"/>
    </row>
    <row r="512" spans="1:16" ht="13.15" customHeight="1" x14ac:dyDescent="0.2">
      <c r="E512" s="601"/>
      <c r="F512" s="601"/>
      <c r="G512" s="601"/>
      <c r="H512" s="601"/>
      <c r="I512" s="601"/>
      <c r="J512" s="601"/>
      <c r="K512" s="601"/>
      <c r="L512" s="601"/>
      <c r="M512" s="601"/>
      <c r="N512" s="601"/>
      <c r="O512" s="601"/>
      <c r="P512" s="601"/>
    </row>
    <row r="513" spans="5:16" ht="13.15" customHeight="1" x14ac:dyDescent="0.2">
      <c r="E513" s="601"/>
      <c r="F513" s="601"/>
      <c r="G513" s="601"/>
      <c r="H513" s="601"/>
      <c r="I513" s="601"/>
      <c r="J513" s="601"/>
      <c r="K513" s="601"/>
      <c r="L513" s="601"/>
      <c r="M513" s="601"/>
      <c r="N513" s="601"/>
      <c r="O513" s="601"/>
      <c r="P513" s="601"/>
    </row>
    <row r="514" spans="5:16" ht="13.15" customHeight="1" x14ac:dyDescent="0.2">
      <c r="E514" s="601"/>
      <c r="F514" s="601"/>
      <c r="G514" s="601"/>
      <c r="H514" s="601"/>
      <c r="I514" s="601"/>
      <c r="J514" s="601"/>
      <c r="K514" s="601"/>
      <c r="L514" s="601"/>
      <c r="M514" s="601"/>
      <c r="N514" s="601"/>
      <c r="O514" s="601"/>
      <c r="P514" s="601"/>
    </row>
    <row r="515" spans="5:16" ht="13.15" customHeight="1" x14ac:dyDescent="0.2">
      <c r="E515" s="601"/>
      <c r="F515" s="601"/>
      <c r="G515" s="601"/>
      <c r="H515" s="601"/>
      <c r="I515" s="601"/>
      <c r="J515" s="601"/>
      <c r="K515" s="601"/>
      <c r="L515" s="601"/>
      <c r="M515" s="601"/>
      <c r="N515" s="601"/>
      <c r="O515" s="601"/>
      <c r="P515" s="601"/>
    </row>
    <row r="516" spans="5:16" ht="13.15" customHeight="1" x14ac:dyDescent="0.2">
      <c r="E516" s="601"/>
      <c r="F516" s="601"/>
      <c r="G516" s="601"/>
      <c r="H516" s="601"/>
      <c r="I516" s="601"/>
      <c r="J516" s="601"/>
      <c r="K516" s="601"/>
      <c r="L516" s="601"/>
      <c r="M516" s="601"/>
      <c r="N516" s="601"/>
      <c r="O516" s="601"/>
      <c r="P516" s="601"/>
    </row>
    <row r="517" spans="5:16" ht="13.15" customHeight="1" x14ac:dyDescent="0.2">
      <c r="E517" s="601"/>
      <c r="F517" s="601"/>
      <c r="G517" s="601"/>
      <c r="H517" s="601"/>
      <c r="I517" s="601"/>
      <c r="J517" s="601"/>
      <c r="K517" s="601"/>
      <c r="L517" s="601"/>
      <c r="M517" s="601"/>
      <c r="N517" s="601"/>
      <c r="O517" s="601"/>
      <c r="P517" s="601"/>
    </row>
    <row r="518" spans="5:16" ht="13.15" customHeight="1" x14ac:dyDescent="0.2">
      <c r="E518" s="601"/>
      <c r="F518" s="601"/>
      <c r="G518" s="601"/>
      <c r="H518" s="601"/>
      <c r="I518" s="601"/>
      <c r="J518" s="601"/>
      <c r="K518" s="601"/>
      <c r="L518" s="601"/>
      <c r="M518" s="601"/>
      <c r="N518" s="601"/>
      <c r="O518" s="601"/>
      <c r="P518" s="601"/>
    </row>
    <row r="519" spans="5:16" ht="13.15" customHeight="1" x14ac:dyDescent="0.2">
      <c r="E519" s="601"/>
      <c r="F519" s="601"/>
      <c r="G519" s="601"/>
      <c r="H519" s="601"/>
      <c r="I519" s="601"/>
      <c r="J519" s="601"/>
      <c r="K519" s="601"/>
      <c r="L519" s="601"/>
      <c r="M519" s="601"/>
      <c r="N519" s="601"/>
      <c r="O519" s="601"/>
      <c r="P519" s="601"/>
    </row>
    <row r="520" spans="5:16" ht="13.15" customHeight="1" x14ac:dyDescent="0.2">
      <c r="E520" s="601"/>
      <c r="F520" s="601"/>
      <c r="G520" s="601"/>
      <c r="H520" s="601"/>
      <c r="I520" s="601"/>
      <c r="J520" s="601"/>
      <c r="K520" s="601"/>
      <c r="L520" s="601"/>
      <c r="M520" s="601"/>
      <c r="N520" s="601"/>
      <c r="O520" s="601"/>
      <c r="P520" s="601"/>
    </row>
    <row r="521" spans="5:16" ht="13.15" customHeight="1" x14ac:dyDescent="0.2">
      <c r="E521" s="601"/>
      <c r="F521" s="601"/>
      <c r="G521" s="601"/>
      <c r="H521" s="601"/>
      <c r="I521" s="601"/>
      <c r="J521" s="601"/>
      <c r="K521" s="601"/>
      <c r="L521" s="601"/>
      <c r="M521" s="601"/>
      <c r="N521" s="601"/>
      <c r="O521" s="601"/>
      <c r="P521" s="601"/>
    </row>
    <row r="522" spans="5:16" ht="13.15" customHeight="1" x14ac:dyDescent="0.2">
      <c r="E522" s="601"/>
      <c r="F522" s="601"/>
      <c r="G522" s="601"/>
      <c r="H522" s="601"/>
      <c r="I522" s="601"/>
      <c r="J522" s="601"/>
      <c r="K522" s="601"/>
      <c r="L522" s="601"/>
      <c r="M522" s="601"/>
      <c r="N522" s="601"/>
      <c r="O522" s="601"/>
      <c r="P522" s="601"/>
    </row>
    <row r="523" spans="5:16" ht="13.15" customHeight="1" x14ac:dyDescent="0.2">
      <c r="E523" s="601"/>
      <c r="F523" s="601"/>
      <c r="G523" s="601"/>
      <c r="H523" s="601"/>
      <c r="I523" s="601"/>
      <c r="J523" s="601"/>
      <c r="K523" s="601"/>
      <c r="L523" s="601"/>
      <c r="M523" s="601"/>
      <c r="N523" s="601"/>
      <c r="O523" s="601"/>
      <c r="P523" s="601"/>
    </row>
    <row r="524" spans="5:16" ht="13.15" customHeight="1" x14ac:dyDescent="0.2">
      <c r="E524" s="601"/>
      <c r="F524" s="601"/>
      <c r="G524" s="601"/>
      <c r="H524" s="601"/>
      <c r="I524" s="601"/>
      <c r="J524" s="601"/>
      <c r="K524" s="601"/>
      <c r="L524" s="601"/>
      <c r="M524" s="601"/>
      <c r="N524" s="601"/>
      <c r="O524" s="601"/>
      <c r="P524" s="601"/>
    </row>
    <row r="525" spans="5:16" ht="13.15" customHeight="1" x14ac:dyDescent="0.2">
      <c r="E525" s="601"/>
      <c r="F525" s="601"/>
      <c r="G525" s="601"/>
      <c r="H525" s="601"/>
      <c r="I525" s="601"/>
      <c r="J525" s="601"/>
      <c r="K525" s="601"/>
      <c r="L525" s="601"/>
      <c r="M525" s="601"/>
      <c r="N525" s="601"/>
      <c r="O525" s="601"/>
      <c r="P525" s="601"/>
    </row>
    <row r="526" spans="5:16" ht="13.15" customHeight="1" x14ac:dyDescent="0.2">
      <c r="E526" s="601"/>
      <c r="F526" s="601"/>
      <c r="G526" s="601"/>
      <c r="H526" s="601"/>
      <c r="I526" s="601"/>
      <c r="J526" s="601"/>
      <c r="K526" s="601"/>
      <c r="L526" s="601"/>
      <c r="M526" s="601"/>
      <c r="N526" s="601"/>
      <c r="O526" s="601"/>
      <c r="P526" s="601"/>
    </row>
    <row r="527" spans="5:16" ht="13.15" customHeight="1" x14ac:dyDescent="0.2">
      <c r="E527" s="601"/>
      <c r="F527" s="601"/>
      <c r="G527" s="601"/>
      <c r="H527" s="601"/>
      <c r="I527" s="601"/>
      <c r="J527" s="601"/>
      <c r="K527" s="601"/>
      <c r="L527" s="601"/>
      <c r="M527" s="601"/>
      <c r="N527" s="601"/>
      <c r="O527" s="601"/>
      <c r="P527" s="601"/>
    </row>
    <row r="528" spans="5:16" ht="13.15" customHeight="1" x14ac:dyDescent="0.2">
      <c r="E528" s="601"/>
      <c r="F528" s="601"/>
      <c r="G528" s="601"/>
      <c r="H528" s="601"/>
      <c r="I528" s="601"/>
      <c r="J528" s="601"/>
      <c r="K528" s="601"/>
      <c r="L528" s="601"/>
      <c r="M528" s="601"/>
      <c r="N528" s="601"/>
      <c r="O528" s="601"/>
      <c r="P528" s="601"/>
    </row>
    <row r="529" spans="5:16" ht="13.15" customHeight="1" x14ac:dyDescent="0.2">
      <c r="E529" s="601"/>
      <c r="F529" s="601"/>
      <c r="G529" s="601"/>
      <c r="H529" s="601"/>
      <c r="I529" s="601"/>
      <c r="J529" s="601"/>
      <c r="K529" s="601"/>
      <c r="L529" s="601"/>
      <c r="M529" s="601"/>
      <c r="N529" s="601"/>
      <c r="O529" s="601"/>
      <c r="P529" s="601"/>
    </row>
    <row r="530" spans="5:16" ht="13.15" customHeight="1" x14ac:dyDescent="0.2">
      <c r="E530" s="601"/>
      <c r="F530" s="601"/>
      <c r="G530" s="601"/>
      <c r="H530" s="601"/>
      <c r="I530" s="601"/>
      <c r="J530" s="601"/>
      <c r="K530" s="601"/>
      <c r="L530" s="601"/>
      <c r="M530" s="601"/>
      <c r="N530" s="601"/>
      <c r="O530" s="601"/>
      <c r="P530" s="601"/>
    </row>
    <row r="531" spans="5:16" ht="13.15" customHeight="1" x14ac:dyDescent="0.2">
      <c r="E531" s="601"/>
      <c r="F531" s="601"/>
      <c r="G531" s="601"/>
      <c r="H531" s="601"/>
      <c r="I531" s="601"/>
      <c r="J531" s="601"/>
      <c r="K531" s="601"/>
      <c r="L531" s="601"/>
      <c r="M531" s="601"/>
      <c r="N531" s="601"/>
      <c r="O531" s="601"/>
      <c r="P531" s="601"/>
    </row>
    <row r="532" spans="5:16" ht="13.15" customHeight="1" x14ac:dyDescent="0.2">
      <c r="E532" s="601"/>
      <c r="F532" s="601"/>
      <c r="G532" s="601"/>
      <c r="H532" s="601"/>
      <c r="I532" s="601"/>
      <c r="J532" s="601"/>
      <c r="K532" s="601"/>
      <c r="L532" s="601"/>
      <c r="M532" s="601"/>
      <c r="N532" s="601"/>
      <c r="O532" s="601"/>
      <c r="P532" s="601"/>
    </row>
    <row r="533" spans="5:16" ht="13.15" customHeight="1" x14ac:dyDescent="0.2">
      <c r="E533" s="601"/>
      <c r="F533" s="601"/>
      <c r="G533" s="601"/>
      <c r="H533" s="601"/>
      <c r="I533" s="601"/>
      <c r="J533" s="601"/>
      <c r="K533" s="601"/>
      <c r="L533" s="601"/>
      <c r="M533" s="601"/>
      <c r="N533" s="601"/>
      <c r="O533" s="601"/>
      <c r="P533" s="601"/>
    </row>
    <row r="534" spans="5:16" ht="13.15" customHeight="1" x14ac:dyDescent="0.2">
      <c r="E534" s="601"/>
      <c r="F534" s="601"/>
      <c r="G534" s="601"/>
      <c r="H534" s="601"/>
      <c r="I534" s="601"/>
      <c r="J534" s="601"/>
      <c r="K534" s="601"/>
      <c r="L534" s="601"/>
      <c r="M534" s="601"/>
      <c r="N534" s="601"/>
      <c r="O534" s="601"/>
      <c r="P534" s="601"/>
    </row>
    <row r="535" spans="5:16" ht="13.15" customHeight="1" x14ac:dyDescent="0.2">
      <c r="E535" s="601"/>
      <c r="F535" s="601"/>
      <c r="G535" s="601"/>
      <c r="H535" s="601"/>
      <c r="I535" s="601"/>
      <c r="J535" s="601"/>
      <c r="K535" s="601"/>
      <c r="L535" s="601"/>
      <c r="M535" s="601"/>
      <c r="N535" s="601"/>
      <c r="O535" s="601"/>
      <c r="P535" s="601"/>
    </row>
    <row r="536" spans="5:16" ht="13.15" customHeight="1" x14ac:dyDescent="0.2">
      <c r="E536" s="601"/>
      <c r="F536" s="601"/>
      <c r="G536" s="601"/>
      <c r="H536" s="601"/>
      <c r="I536" s="601"/>
      <c r="J536" s="601"/>
      <c r="K536" s="601"/>
      <c r="L536" s="601"/>
      <c r="M536" s="601"/>
      <c r="N536" s="601"/>
      <c r="O536" s="601"/>
      <c r="P536" s="601"/>
    </row>
    <row r="537" spans="5:16" ht="13.15" customHeight="1" x14ac:dyDescent="0.2">
      <c r="E537" s="601"/>
      <c r="F537" s="601"/>
      <c r="G537" s="601"/>
      <c r="H537" s="601"/>
      <c r="I537" s="601"/>
      <c r="J537" s="601"/>
      <c r="K537" s="601"/>
      <c r="L537" s="601"/>
      <c r="M537" s="601"/>
      <c r="N537" s="601"/>
      <c r="O537" s="601"/>
      <c r="P537" s="601"/>
    </row>
    <row r="538" spans="5:16" ht="13.15" customHeight="1" x14ac:dyDescent="0.2">
      <c r="E538" s="601"/>
      <c r="F538" s="601"/>
      <c r="G538" s="601"/>
      <c r="H538" s="601"/>
      <c r="I538" s="601"/>
      <c r="J538" s="601"/>
      <c r="K538" s="601"/>
      <c r="L538" s="601"/>
      <c r="M538" s="601"/>
      <c r="N538" s="601"/>
      <c r="O538" s="601"/>
      <c r="P538" s="601"/>
    </row>
    <row r="539" spans="5:16" ht="13.15" customHeight="1" x14ac:dyDescent="0.2">
      <c r="E539" s="601"/>
      <c r="F539" s="601"/>
      <c r="G539" s="601"/>
      <c r="H539" s="601"/>
      <c r="I539" s="601"/>
      <c r="J539" s="601"/>
      <c r="K539" s="601"/>
      <c r="L539" s="601"/>
      <c r="M539" s="601"/>
      <c r="N539" s="601"/>
      <c r="O539" s="601"/>
      <c r="P539" s="601"/>
    </row>
    <row r="540" spans="5:16" ht="13.15" customHeight="1" x14ac:dyDescent="0.2">
      <c r="E540" s="601"/>
      <c r="F540" s="601"/>
      <c r="G540" s="601"/>
      <c r="H540" s="601"/>
      <c r="I540" s="601"/>
      <c r="J540" s="601"/>
      <c r="K540" s="601"/>
      <c r="L540" s="601"/>
      <c r="M540" s="601"/>
      <c r="N540" s="601"/>
      <c r="O540" s="601"/>
      <c r="P540" s="601"/>
    </row>
    <row r="541" spans="5:16" ht="13.15" customHeight="1" x14ac:dyDescent="0.2">
      <c r="E541" s="601"/>
      <c r="F541" s="601"/>
      <c r="G541" s="601"/>
      <c r="H541" s="601"/>
      <c r="I541" s="601"/>
      <c r="J541" s="601"/>
      <c r="K541" s="601"/>
      <c r="L541" s="601"/>
      <c r="M541" s="601"/>
      <c r="N541" s="601"/>
      <c r="O541" s="601"/>
      <c r="P541" s="601"/>
    </row>
    <row r="542" spans="5:16" ht="13.15" customHeight="1" x14ac:dyDescent="0.2">
      <c r="E542" s="601"/>
      <c r="F542" s="601"/>
      <c r="G542" s="601"/>
      <c r="H542" s="601"/>
      <c r="I542" s="601"/>
      <c r="J542" s="601"/>
      <c r="K542" s="601"/>
      <c r="L542" s="601"/>
      <c r="M542" s="601"/>
      <c r="N542" s="601"/>
      <c r="O542" s="601"/>
      <c r="P542" s="601"/>
    </row>
    <row r="543" spans="5:16" ht="13.15" customHeight="1" x14ac:dyDescent="0.2">
      <c r="E543" s="601"/>
      <c r="F543" s="601"/>
      <c r="G543" s="601"/>
      <c r="H543" s="601"/>
      <c r="I543" s="601"/>
      <c r="J543" s="601"/>
      <c r="K543" s="601"/>
      <c r="L543" s="601"/>
      <c r="M543" s="601"/>
      <c r="N543" s="601"/>
      <c r="O543" s="601"/>
      <c r="P543" s="601"/>
    </row>
    <row r="544" spans="5:16" ht="13.15" customHeight="1" x14ac:dyDescent="0.2">
      <c r="E544" s="601"/>
      <c r="F544" s="601"/>
      <c r="G544" s="601"/>
      <c r="H544" s="601"/>
      <c r="I544" s="601"/>
      <c r="J544" s="601"/>
      <c r="K544" s="601"/>
      <c r="L544" s="601"/>
      <c r="M544" s="601"/>
      <c r="N544" s="601"/>
      <c r="O544" s="601"/>
      <c r="P544" s="601"/>
    </row>
    <row r="545" spans="5:16" ht="13.15" customHeight="1" x14ac:dyDescent="0.2">
      <c r="E545" s="601"/>
      <c r="F545" s="601"/>
      <c r="G545" s="601"/>
      <c r="H545" s="601"/>
      <c r="I545" s="601"/>
      <c r="J545" s="601"/>
      <c r="K545" s="601"/>
      <c r="L545" s="601"/>
      <c r="M545" s="601"/>
      <c r="N545" s="601"/>
      <c r="O545" s="601"/>
      <c r="P545" s="601"/>
    </row>
    <row r="546" spans="5:16" ht="13.15" customHeight="1" x14ac:dyDescent="0.2">
      <c r="E546" s="601"/>
      <c r="F546" s="601"/>
      <c r="G546" s="601"/>
      <c r="H546" s="601"/>
      <c r="I546" s="601"/>
      <c r="J546" s="601"/>
      <c r="K546" s="601"/>
      <c r="L546" s="601"/>
      <c r="M546" s="601"/>
      <c r="N546" s="601"/>
      <c r="O546" s="601"/>
      <c r="P546" s="601"/>
    </row>
    <row r="547" spans="5:16" ht="13.15" customHeight="1" x14ac:dyDescent="0.2">
      <c r="E547" s="601"/>
      <c r="F547" s="601"/>
      <c r="G547" s="601"/>
      <c r="H547" s="601"/>
      <c r="I547" s="601"/>
      <c r="J547" s="601"/>
      <c r="K547" s="601"/>
      <c r="L547" s="601"/>
      <c r="M547" s="601"/>
      <c r="N547" s="601"/>
      <c r="O547" s="601"/>
      <c r="P547" s="601"/>
    </row>
    <row r="548" spans="5:16" ht="13.15" customHeight="1" x14ac:dyDescent="0.2">
      <c r="E548" s="601"/>
      <c r="F548" s="601"/>
      <c r="G548" s="601"/>
      <c r="H548" s="601"/>
      <c r="I548" s="601"/>
      <c r="J548" s="601"/>
      <c r="K548" s="601"/>
      <c r="L548" s="601"/>
      <c r="M548" s="601"/>
      <c r="N548" s="601"/>
      <c r="O548" s="601"/>
      <c r="P548" s="601"/>
    </row>
    <row r="549" spans="5:16" ht="13.15" customHeight="1" x14ac:dyDescent="0.2">
      <c r="E549" s="601"/>
      <c r="F549" s="601"/>
      <c r="G549" s="601"/>
      <c r="H549" s="601"/>
      <c r="I549" s="601"/>
      <c r="J549" s="601"/>
      <c r="K549" s="601"/>
      <c r="L549" s="601"/>
      <c r="M549" s="601"/>
      <c r="N549" s="601"/>
      <c r="O549" s="601"/>
      <c r="P549" s="601"/>
    </row>
    <row r="550" spans="5:16" ht="13.15" customHeight="1" x14ac:dyDescent="0.2">
      <c r="E550" s="601"/>
      <c r="F550" s="601"/>
      <c r="G550" s="601"/>
      <c r="H550" s="601"/>
      <c r="I550" s="601"/>
      <c r="J550" s="601"/>
      <c r="K550" s="601"/>
      <c r="L550" s="601"/>
      <c r="M550" s="601"/>
      <c r="N550" s="601"/>
      <c r="O550" s="601"/>
      <c r="P550" s="601"/>
    </row>
    <row r="551" spans="5:16" ht="13.15" customHeight="1" x14ac:dyDescent="0.2">
      <c r="E551" s="601"/>
      <c r="F551" s="601"/>
      <c r="G551" s="601"/>
      <c r="H551" s="601"/>
      <c r="I551" s="601"/>
      <c r="J551" s="601"/>
      <c r="K551" s="601"/>
      <c r="L551" s="601"/>
      <c r="M551" s="601"/>
      <c r="N551" s="601"/>
      <c r="O551" s="601"/>
      <c r="P551" s="601"/>
    </row>
    <row r="552" spans="5:16" ht="13.15" customHeight="1" x14ac:dyDescent="0.2">
      <c r="E552" s="601"/>
      <c r="F552" s="601"/>
      <c r="G552" s="601"/>
      <c r="H552" s="601"/>
      <c r="I552" s="601"/>
      <c r="J552" s="601"/>
      <c r="K552" s="601"/>
      <c r="L552" s="601"/>
      <c r="M552" s="601"/>
      <c r="N552" s="601"/>
      <c r="O552" s="601"/>
      <c r="P552" s="601"/>
    </row>
    <row r="553" spans="5:16" ht="13.15" customHeight="1" x14ac:dyDescent="0.2">
      <c r="E553" s="601"/>
      <c r="F553" s="601"/>
      <c r="G553" s="601"/>
      <c r="H553" s="601"/>
      <c r="I553" s="601"/>
      <c r="J553" s="601"/>
      <c r="K553" s="601"/>
      <c r="L553" s="601"/>
      <c r="M553" s="601"/>
      <c r="N553" s="601"/>
      <c r="O553" s="601"/>
      <c r="P553" s="601"/>
    </row>
    <row r="554" spans="5:16" ht="13.15" customHeight="1" x14ac:dyDescent="0.2">
      <c r="E554" s="601"/>
      <c r="F554" s="601"/>
      <c r="G554" s="601"/>
      <c r="H554" s="601"/>
      <c r="I554" s="601"/>
      <c r="J554" s="601"/>
      <c r="K554" s="601"/>
      <c r="L554" s="601"/>
      <c r="M554" s="601"/>
      <c r="N554" s="601"/>
      <c r="O554" s="601"/>
      <c r="P554" s="601"/>
    </row>
    <row r="555" spans="5:16" ht="13.15" customHeight="1" x14ac:dyDescent="0.2">
      <c r="E555" s="601"/>
      <c r="F555" s="601"/>
      <c r="G555" s="601"/>
      <c r="H555" s="601"/>
      <c r="I555" s="601"/>
      <c r="J555" s="601"/>
      <c r="K555" s="601"/>
      <c r="L555" s="601"/>
      <c r="M555" s="601"/>
      <c r="N555" s="601"/>
      <c r="O555" s="601"/>
      <c r="P555" s="601"/>
    </row>
    <row r="556" spans="5:16" ht="13.15" customHeight="1" x14ac:dyDescent="0.2">
      <c r="E556" s="601"/>
      <c r="F556" s="601"/>
      <c r="G556" s="601"/>
      <c r="H556" s="601"/>
      <c r="I556" s="601"/>
      <c r="J556" s="601"/>
      <c r="K556" s="601"/>
      <c r="L556" s="601"/>
      <c r="M556" s="601"/>
      <c r="N556" s="601"/>
      <c r="O556" s="601"/>
      <c r="P556" s="601"/>
    </row>
    <row r="557" spans="5:16" ht="13.15" customHeight="1" x14ac:dyDescent="0.2">
      <c r="E557" s="601"/>
      <c r="F557" s="601"/>
      <c r="G557" s="601"/>
      <c r="H557" s="601"/>
      <c r="I557" s="601"/>
      <c r="J557" s="601"/>
      <c r="K557" s="601"/>
      <c r="L557" s="601"/>
      <c r="M557" s="601"/>
      <c r="N557" s="601"/>
      <c r="O557" s="601"/>
      <c r="P557" s="601"/>
    </row>
    <row r="558" spans="5:16" ht="13.15" customHeight="1" x14ac:dyDescent="0.2">
      <c r="E558" s="601"/>
      <c r="F558" s="601"/>
      <c r="G558" s="601"/>
      <c r="H558" s="601"/>
      <c r="I558" s="601"/>
      <c r="J558" s="601"/>
      <c r="K558" s="601"/>
      <c r="L558" s="601"/>
      <c r="M558" s="601"/>
      <c r="N558" s="601"/>
      <c r="O558" s="601"/>
      <c r="P558" s="601"/>
    </row>
    <row r="559" spans="5:16" ht="13.15" customHeight="1" x14ac:dyDescent="0.2">
      <c r="E559" s="601"/>
      <c r="F559" s="601"/>
      <c r="G559" s="601"/>
      <c r="H559" s="601"/>
      <c r="I559" s="601"/>
      <c r="J559" s="601"/>
      <c r="K559" s="601"/>
      <c r="L559" s="601"/>
      <c r="M559" s="601"/>
      <c r="N559" s="601"/>
      <c r="O559" s="601"/>
      <c r="P559" s="601"/>
    </row>
    <row r="560" spans="5:16" ht="13.15" customHeight="1" x14ac:dyDescent="0.2">
      <c r="E560" s="601"/>
      <c r="F560" s="601"/>
      <c r="G560" s="601"/>
      <c r="H560" s="601"/>
      <c r="I560" s="601"/>
      <c r="J560" s="601"/>
      <c r="K560" s="601"/>
      <c r="L560" s="601"/>
      <c r="M560" s="601"/>
      <c r="N560" s="601"/>
      <c r="O560" s="601"/>
      <c r="P560" s="601"/>
    </row>
    <row r="561" spans="5:16" ht="13.15" customHeight="1" x14ac:dyDescent="0.2">
      <c r="E561" s="601"/>
      <c r="F561" s="601"/>
      <c r="G561" s="601"/>
      <c r="H561" s="601"/>
      <c r="I561" s="601"/>
      <c r="J561" s="601"/>
      <c r="K561" s="601"/>
      <c r="L561" s="601"/>
      <c r="M561" s="601"/>
      <c r="N561" s="601"/>
      <c r="O561" s="601"/>
      <c r="P561" s="601"/>
    </row>
    <row r="562" spans="5:16" ht="13.15" customHeight="1" x14ac:dyDescent="0.2">
      <c r="E562" s="601"/>
      <c r="F562" s="601"/>
      <c r="G562" s="601"/>
      <c r="H562" s="601"/>
      <c r="I562" s="601"/>
      <c r="J562" s="601"/>
      <c r="K562" s="601"/>
      <c r="L562" s="601"/>
      <c r="M562" s="601"/>
      <c r="N562" s="601"/>
      <c r="O562" s="601"/>
      <c r="P562" s="601"/>
    </row>
    <row r="563" spans="5:16" ht="13.15" customHeight="1" x14ac:dyDescent="0.2">
      <c r="E563" s="601"/>
      <c r="F563" s="601"/>
      <c r="G563" s="601"/>
      <c r="H563" s="601"/>
      <c r="I563" s="601"/>
      <c r="J563" s="601"/>
      <c r="K563" s="601"/>
      <c r="L563" s="601"/>
      <c r="M563" s="601"/>
      <c r="N563" s="601"/>
      <c r="O563" s="601"/>
      <c r="P563" s="601"/>
    </row>
    <row r="564" spans="5:16" ht="13.15" customHeight="1" x14ac:dyDescent="0.2">
      <c r="E564" s="601"/>
      <c r="F564" s="601"/>
      <c r="G564" s="601"/>
      <c r="H564" s="601"/>
      <c r="I564" s="601"/>
      <c r="J564" s="601"/>
      <c r="K564" s="601"/>
      <c r="L564" s="601"/>
      <c r="M564" s="601"/>
      <c r="N564" s="601"/>
      <c r="O564" s="601"/>
      <c r="P564" s="601"/>
    </row>
    <row r="565" spans="5:16" ht="13.15" customHeight="1" x14ac:dyDescent="0.2">
      <c r="E565" s="601"/>
      <c r="F565" s="601"/>
      <c r="G565" s="601"/>
      <c r="H565" s="601"/>
      <c r="I565" s="601"/>
      <c r="J565" s="601"/>
      <c r="K565" s="601"/>
      <c r="L565" s="601"/>
      <c r="M565" s="601"/>
      <c r="N565" s="601"/>
      <c r="O565" s="601"/>
      <c r="P565" s="601"/>
    </row>
    <row r="566" spans="5:16" ht="13.15" customHeight="1" x14ac:dyDescent="0.2">
      <c r="E566" s="601"/>
      <c r="F566" s="601"/>
      <c r="G566" s="601"/>
      <c r="H566" s="601"/>
      <c r="I566" s="601"/>
      <c r="J566" s="601"/>
      <c r="K566" s="601"/>
      <c r="L566" s="601"/>
      <c r="M566" s="601"/>
      <c r="N566" s="601"/>
      <c r="O566" s="601"/>
      <c r="P566" s="601"/>
    </row>
    <row r="567" spans="5:16" ht="13.15" customHeight="1" x14ac:dyDescent="0.2">
      <c r="E567" s="601"/>
      <c r="F567" s="601"/>
      <c r="G567" s="601"/>
      <c r="H567" s="601"/>
      <c r="I567" s="601"/>
      <c r="J567" s="601"/>
      <c r="K567" s="601"/>
      <c r="L567" s="601"/>
      <c r="M567" s="601"/>
      <c r="N567" s="601"/>
      <c r="O567" s="601"/>
      <c r="P567" s="601"/>
    </row>
    <row r="568" spans="5:16" ht="13.15" customHeight="1" x14ac:dyDescent="0.2">
      <c r="E568" s="601"/>
      <c r="F568" s="601"/>
      <c r="G568" s="601"/>
      <c r="H568" s="601"/>
      <c r="I568" s="601"/>
      <c r="J568" s="601"/>
      <c r="K568" s="601"/>
      <c r="L568" s="601"/>
      <c r="M568" s="601"/>
      <c r="N568" s="601"/>
      <c r="O568" s="601"/>
      <c r="P568" s="601"/>
    </row>
    <row r="569" spans="5:16" ht="13.15" customHeight="1" x14ac:dyDescent="0.2">
      <c r="E569" s="601"/>
      <c r="F569" s="601"/>
      <c r="G569" s="601"/>
      <c r="H569" s="601"/>
      <c r="I569" s="601"/>
      <c r="J569" s="601"/>
      <c r="K569" s="601"/>
      <c r="L569" s="601"/>
      <c r="M569" s="601"/>
      <c r="N569" s="601"/>
      <c r="O569" s="601"/>
      <c r="P569" s="601"/>
    </row>
    <row r="570" spans="5:16" ht="13.15" customHeight="1" x14ac:dyDescent="0.2">
      <c r="E570" s="601"/>
      <c r="F570" s="601"/>
      <c r="G570" s="601"/>
      <c r="H570" s="601"/>
      <c r="I570" s="601"/>
      <c r="J570" s="601"/>
      <c r="K570" s="601"/>
      <c r="L570" s="601"/>
      <c r="M570" s="601"/>
      <c r="N570" s="601"/>
      <c r="O570" s="601"/>
      <c r="P570" s="601"/>
    </row>
    <row r="571" spans="5:16" ht="13.15" customHeight="1" x14ac:dyDescent="0.2">
      <c r="E571" s="601"/>
      <c r="F571" s="601"/>
      <c r="G571" s="601"/>
      <c r="H571" s="601"/>
      <c r="I571" s="601"/>
      <c r="J571" s="601"/>
      <c r="K571" s="601"/>
      <c r="L571" s="601"/>
      <c r="M571" s="601"/>
      <c r="N571" s="601"/>
      <c r="O571" s="601"/>
      <c r="P571" s="601"/>
    </row>
    <row r="572" spans="5:16" ht="13.15" customHeight="1" x14ac:dyDescent="0.2">
      <c r="E572" s="601"/>
      <c r="F572" s="601"/>
      <c r="G572" s="601"/>
      <c r="H572" s="601"/>
      <c r="I572" s="601"/>
      <c r="J572" s="601"/>
      <c r="K572" s="601"/>
      <c r="L572" s="601"/>
      <c r="M572" s="601"/>
      <c r="N572" s="601"/>
      <c r="O572" s="601"/>
      <c r="P572" s="601"/>
    </row>
    <row r="573" spans="5:16" ht="13.15" customHeight="1" x14ac:dyDescent="0.2">
      <c r="E573" s="601"/>
      <c r="F573" s="601"/>
      <c r="G573" s="601"/>
      <c r="H573" s="601"/>
      <c r="I573" s="601"/>
      <c r="J573" s="601"/>
      <c r="K573" s="601"/>
      <c r="L573" s="601"/>
      <c r="M573" s="601"/>
      <c r="N573" s="601"/>
      <c r="O573" s="601"/>
      <c r="P573" s="601"/>
    </row>
    <row r="574" spans="5:16" ht="13.15" customHeight="1" x14ac:dyDescent="0.2">
      <c r="E574" s="601"/>
      <c r="F574" s="601"/>
      <c r="G574" s="601"/>
      <c r="H574" s="601"/>
      <c r="I574" s="601"/>
      <c r="J574" s="601"/>
      <c r="K574" s="601"/>
      <c r="L574" s="601"/>
      <c r="M574" s="601"/>
      <c r="N574" s="601"/>
      <c r="O574" s="601"/>
      <c r="P574" s="601"/>
    </row>
    <row r="575" spans="5:16" ht="13.15" customHeight="1" x14ac:dyDescent="0.2">
      <c r="E575" s="601"/>
      <c r="F575" s="601"/>
      <c r="G575" s="601"/>
      <c r="H575" s="601"/>
      <c r="I575" s="601"/>
      <c r="J575" s="601"/>
      <c r="K575" s="601"/>
      <c r="L575" s="601"/>
      <c r="M575" s="601"/>
      <c r="N575" s="601"/>
      <c r="O575" s="601"/>
      <c r="P575" s="601"/>
    </row>
    <row r="576" spans="5:16" ht="13.15" customHeight="1" x14ac:dyDescent="0.2">
      <c r="E576" s="601"/>
      <c r="F576" s="601"/>
      <c r="G576" s="601"/>
      <c r="H576" s="601"/>
      <c r="I576" s="601"/>
      <c r="J576" s="601"/>
      <c r="K576" s="601"/>
      <c r="L576" s="601"/>
      <c r="M576" s="601"/>
      <c r="N576" s="601"/>
      <c r="O576" s="601"/>
      <c r="P576" s="601"/>
    </row>
    <row r="577" spans="5:16" ht="13.15" customHeight="1" x14ac:dyDescent="0.2">
      <c r="E577" s="601"/>
      <c r="F577" s="601"/>
      <c r="G577" s="601"/>
      <c r="H577" s="601"/>
      <c r="I577" s="601"/>
      <c r="J577" s="601"/>
      <c r="K577" s="601"/>
      <c r="L577" s="601"/>
      <c r="M577" s="601"/>
      <c r="N577" s="601"/>
      <c r="O577" s="601"/>
      <c r="P577" s="601"/>
    </row>
    <row r="578" spans="5:16" ht="13.15" customHeight="1" x14ac:dyDescent="0.2">
      <c r="E578" s="601"/>
      <c r="F578" s="601"/>
      <c r="G578" s="601"/>
      <c r="H578" s="601"/>
      <c r="I578" s="601"/>
      <c r="J578" s="601"/>
      <c r="K578" s="601"/>
      <c r="L578" s="601"/>
      <c r="M578" s="601"/>
      <c r="N578" s="601"/>
      <c r="O578" s="601"/>
      <c r="P578" s="601"/>
    </row>
    <row r="579" spans="5:16" ht="13.15" customHeight="1" x14ac:dyDescent="0.2">
      <c r="E579" s="601"/>
      <c r="F579" s="601"/>
      <c r="G579" s="601"/>
      <c r="H579" s="601"/>
      <c r="I579" s="601"/>
      <c r="J579" s="601"/>
      <c r="K579" s="601"/>
      <c r="L579" s="601"/>
      <c r="M579" s="601"/>
      <c r="N579" s="601"/>
      <c r="O579" s="601"/>
      <c r="P579" s="601"/>
    </row>
    <row r="580" spans="5:16" ht="13.15" customHeight="1" x14ac:dyDescent="0.2">
      <c r="E580" s="601"/>
      <c r="F580" s="601"/>
      <c r="G580" s="601"/>
      <c r="H580" s="601"/>
      <c r="I580" s="601"/>
      <c r="J580" s="601"/>
      <c r="K580" s="601"/>
      <c r="L580" s="601"/>
      <c r="M580" s="601"/>
      <c r="N580" s="601"/>
      <c r="O580" s="601"/>
      <c r="P580" s="601"/>
    </row>
    <row r="581" spans="5:16" ht="13.15" customHeight="1" x14ac:dyDescent="0.2">
      <c r="E581" s="601"/>
      <c r="F581" s="601"/>
      <c r="G581" s="601"/>
      <c r="H581" s="601"/>
      <c r="I581" s="601"/>
      <c r="J581" s="601"/>
      <c r="K581" s="601"/>
      <c r="L581" s="601"/>
      <c r="M581" s="601"/>
      <c r="N581" s="601"/>
      <c r="O581" s="601"/>
      <c r="P581" s="601"/>
    </row>
    <row r="582" spans="5:16" ht="13.15" customHeight="1" x14ac:dyDescent="0.2">
      <c r="E582" s="601"/>
      <c r="F582" s="601"/>
      <c r="G582" s="601"/>
      <c r="H582" s="601"/>
      <c r="I582" s="601"/>
      <c r="J582" s="601"/>
      <c r="K582" s="601"/>
      <c r="L582" s="601"/>
      <c r="M582" s="601"/>
      <c r="N582" s="601"/>
      <c r="O582" s="601"/>
      <c r="P582" s="601"/>
    </row>
    <row r="583" spans="5:16" ht="13.15" customHeight="1" x14ac:dyDescent="0.2">
      <c r="E583" s="601"/>
      <c r="F583" s="601"/>
      <c r="G583" s="601"/>
      <c r="H583" s="601"/>
      <c r="I583" s="601"/>
      <c r="J583" s="601"/>
      <c r="K583" s="601"/>
      <c r="L583" s="601"/>
      <c r="M583" s="601"/>
      <c r="N583" s="601"/>
      <c r="O583" s="601"/>
      <c r="P583" s="601"/>
    </row>
    <row r="584" spans="5:16" ht="13.15" customHeight="1" x14ac:dyDescent="0.2">
      <c r="E584" s="601"/>
      <c r="F584" s="601"/>
      <c r="G584" s="601"/>
      <c r="H584" s="601"/>
      <c r="I584" s="601"/>
      <c r="J584" s="601"/>
      <c r="K584" s="601"/>
      <c r="L584" s="601"/>
      <c r="M584" s="601"/>
      <c r="N584" s="601"/>
      <c r="O584" s="601"/>
      <c r="P584" s="601"/>
    </row>
    <row r="585" spans="5:16" ht="13.15" customHeight="1" x14ac:dyDescent="0.2">
      <c r="E585" s="601"/>
      <c r="F585" s="601"/>
      <c r="G585" s="601"/>
      <c r="H585" s="601"/>
      <c r="I585" s="601"/>
      <c r="J585" s="601"/>
      <c r="K585" s="601"/>
      <c r="L585" s="601"/>
      <c r="M585" s="601"/>
      <c r="N585" s="601"/>
      <c r="O585" s="601"/>
      <c r="P585" s="601"/>
    </row>
    <row r="586" spans="5:16" ht="13.15" customHeight="1" x14ac:dyDescent="0.2">
      <c r="E586" s="601"/>
      <c r="F586" s="601"/>
      <c r="G586" s="601"/>
      <c r="H586" s="601"/>
      <c r="I586" s="601"/>
      <c r="J586" s="601"/>
      <c r="K586" s="601"/>
      <c r="L586" s="601"/>
      <c r="M586" s="601"/>
      <c r="N586" s="601"/>
      <c r="O586" s="601"/>
      <c r="P586" s="601"/>
    </row>
    <row r="587" spans="5:16" ht="13.15" customHeight="1" x14ac:dyDescent="0.2">
      <c r="E587" s="601"/>
      <c r="F587" s="601"/>
      <c r="G587" s="601"/>
      <c r="H587" s="601"/>
      <c r="I587" s="601"/>
      <c r="J587" s="601"/>
      <c r="K587" s="601"/>
      <c r="L587" s="601"/>
      <c r="M587" s="601"/>
      <c r="N587" s="601"/>
      <c r="O587" s="601"/>
      <c r="P587" s="601"/>
    </row>
    <row r="588" spans="5:16" ht="13.15" customHeight="1" x14ac:dyDescent="0.2">
      <c r="E588" s="601"/>
      <c r="F588" s="601"/>
      <c r="G588" s="601"/>
      <c r="H588" s="601"/>
      <c r="I588" s="601"/>
      <c r="J588" s="601"/>
      <c r="K588" s="601"/>
      <c r="L588" s="601"/>
      <c r="M588" s="601"/>
      <c r="N588" s="601"/>
      <c r="O588" s="601"/>
      <c r="P588" s="601"/>
    </row>
    <row r="589" spans="5:16" ht="13.15" customHeight="1" x14ac:dyDescent="0.2">
      <c r="E589" s="601"/>
      <c r="F589" s="601"/>
      <c r="G589" s="601"/>
      <c r="H589" s="601"/>
      <c r="I589" s="601"/>
      <c r="J589" s="601"/>
      <c r="K589" s="601"/>
      <c r="L589" s="601"/>
      <c r="M589" s="601"/>
      <c r="N589" s="601"/>
      <c r="O589" s="601"/>
      <c r="P589" s="601"/>
    </row>
    <row r="590" spans="5:16" ht="13.15" customHeight="1" x14ac:dyDescent="0.2">
      <c r="E590" s="601"/>
      <c r="F590" s="601"/>
      <c r="G590" s="601"/>
      <c r="H590" s="601"/>
      <c r="I590" s="601"/>
      <c r="J590" s="601"/>
      <c r="K590" s="601"/>
      <c r="L590" s="601"/>
      <c r="M590" s="601"/>
      <c r="N590" s="601"/>
      <c r="O590" s="601"/>
      <c r="P590" s="601"/>
    </row>
    <row r="591" spans="5:16" ht="13.15" customHeight="1" x14ac:dyDescent="0.2">
      <c r="E591" s="601"/>
      <c r="F591" s="601"/>
      <c r="G591" s="601"/>
      <c r="H591" s="601"/>
      <c r="I591" s="601"/>
      <c r="J591" s="601"/>
      <c r="K591" s="601"/>
      <c r="L591" s="601"/>
      <c r="M591" s="601"/>
      <c r="N591" s="601"/>
      <c r="O591" s="601"/>
      <c r="P591" s="601"/>
    </row>
    <row r="592" spans="5:16" ht="13.15" customHeight="1" x14ac:dyDescent="0.2">
      <c r="E592" s="601"/>
      <c r="F592" s="601"/>
      <c r="G592" s="601"/>
      <c r="H592" s="601"/>
      <c r="I592" s="601"/>
      <c r="J592" s="601"/>
      <c r="K592" s="601"/>
      <c r="L592" s="601"/>
      <c r="M592" s="601"/>
      <c r="N592" s="601"/>
      <c r="O592" s="601"/>
      <c r="P592" s="601"/>
    </row>
    <row r="593" spans="5:16" ht="13.15" customHeight="1" x14ac:dyDescent="0.2">
      <c r="E593" s="601"/>
      <c r="F593" s="601"/>
      <c r="G593" s="601"/>
      <c r="H593" s="601"/>
      <c r="I593" s="601"/>
      <c r="J593" s="601"/>
      <c r="K593" s="601"/>
      <c r="L593" s="601"/>
      <c r="M593" s="601"/>
      <c r="N593" s="601"/>
      <c r="O593" s="601"/>
      <c r="P593" s="601"/>
    </row>
    <row r="594" spans="5:16" ht="13.15" customHeight="1" x14ac:dyDescent="0.2">
      <c r="E594" s="601"/>
      <c r="F594" s="601"/>
      <c r="G594" s="601"/>
      <c r="H594" s="601"/>
      <c r="I594" s="601"/>
      <c r="J594" s="601"/>
      <c r="K594" s="601"/>
      <c r="L594" s="601"/>
      <c r="M594" s="601"/>
      <c r="N594" s="601"/>
      <c r="O594" s="601"/>
      <c r="P594" s="601"/>
    </row>
    <row r="595" spans="5:16" ht="13.15" customHeight="1" x14ac:dyDescent="0.2">
      <c r="E595" s="601"/>
      <c r="F595" s="601"/>
      <c r="G595" s="601"/>
      <c r="H595" s="601"/>
      <c r="I595" s="601"/>
      <c r="J595" s="601"/>
      <c r="K595" s="601"/>
      <c r="L595" s="601"/>
      <c r="M595" s="601"/>
      <c r="N595" s="601"/>
      <c r="O595" s="601"/>
      <c r="P595" s="601"/>
    </row>
    <row r="596" spans="5:16" ht="13.15" customHeight="1" x14ac:dyDescent="0.2">
      <c r="E596" s="601"/>
      <c r="F596" s="601"/>
      <c r="G596" s="601"/>
      <c r="H596" s="601"/>
      <c r="I596" s="601"/>
      <c r="J596" s="601"/>
      <c r="K596" s="601"/>
      <c r="L596" s="601"/>
      <c r="M596" s="601"/>
      <c r="N596" s="601"/>
      <c r="O596" s="601"/>
      <c r="P596" s="601"/>
    </row>
    <row r="597" spans="5:16" ht="13.15" customHeight="1" x14ac:dyDescent="0.2">
      <c r="E597" s="601"/>
      <c r="F597" s="601"/>
      <c r="G597" s="601"/>
      <c r="H597" s="601"/>
      <c r="I597" s="601"/>
      <c r="J597" s="601"/>
      <c r="K597" s="601"/>
      <c r="L597" s="601"/>
      <c r="M597" s="601"/>
      <c r="N597" s="601"/>
      <c r="O597" s="601"/>
      <c r="P597" s="601"/>
    </row>
    <row r="598" spans="5:16" ht="13.15" customHeight="1" x14ac:dyDescent="0.2">
      <c r="E598" s="601"/>
      <c r="F598" s="601"/>
      <c r="G598" s="601"/>
      <c r="H598" s="601"/>
      <c r="I598" s="601"/>
      <c r="J598" s="601"/>
      <c r="K598" s="601"/>
      <c r="L598" s="601"/>
      <c r="M598" s="601"/>
      <c r="N598" s="601"/>
      <c r="O598" s="601"/>
      <c r="P598" s="601"/>
    </row>
    <row r="599" spans="5:16" ht="13.15" customHeight="1" x14ac:dyDescent="0.2">
      <c r="E599" s="601"/>
      <c r="F599" s="601"/>
      <c r="G599" s="601"/>
      <c r="H599" s="601"/>
      <c r="I599" s="601"/>
      <c r="J599" s="601"/>
      <c r="K599" s="601"/>
      <c r="L599" s="601"/>
      <c r="M599" s="601"/>
      <c r="N599" s="601"/>
      <c r="O599" s="601"/>
      <c r="P599" s="601"/>
    </row>
    <row r="600" spans="5:16" ht="13.15" customHeight="1" x14ac:dyDescent="0.2">
      <c r="E600" s="601"/>
      <c r="F600" s="601"/>
      <c r="G600" s="601"/>
      <c r="H600" s="601"/>
      <c r="I600" s="601"/>
      <c r="J600" s="601"/>
      <c r="K600" s="601"/>
      <c r="L600" s="601"/>
      <c r="M600" s="601"/>
      <c r="N600" s="601"/>
      <c r="O600" s="601"/>
      <c r="P600" s="601"/>
    </row>
    <row r="601" spans="5:16" ht="13.15" customHeight="1" x14ac:dyDescent="0.2">
      <c r="E601" s="601"/>
      <c r="F601" s="601"/>
      <c r="G601" s="601"/>
      <c r="H601" s="601"/>
      <c r="I601" s="601"/>
      <c r="J601" s="601"/>
      <c r="K601" s="601"/>
      <c r="L601" s="601"/>
      <c r="M601" s="601"/>
      <c r="N601" s="601"/>
      <c r="O601" s="601"/>
      <c r="P601" s="601"/>
    </row>
    <row r="602" spans="5:16" ht="13.15" customHeight="1" x14ac:dyDescent="0.2">
      <c r="E602" s="601"/>
      <c r="F602" s="601"/>
      <c r="G602" s="601"/>
      <c r="H602" s="601"/>
      <c r="I602" s="601"/>
      <c r="J602" s="601"/>
      <c r="K602" s="601"/>
      <c r="L602" s="601"/>
      <c r="M602" s="601"/>
      <c r="N602" s="601"/>
      <c r="O602" s="601"/>
      <c r="P602" s="601"/>
    </row>
    <row r="603" spans="5:16" ht="13.15" customHeight="1" x14ac:dyDescent="0.2">
      <c r="E603" s="601"/>
      <c r="F603" s="601"/>
      <c r="G603" s="601"/>
      <c r="H603" s="601"/>
      <c r="I603" s="601"/>
      <c r="J603" s="601"/>
      <c r="K603" s="601"/>
      <c r="L603" s="601"/>
      <c r="M603" s="601"/>
      <c r="N603" s="601"/>
      <c r="O603" s="601"/>
      <c r="P603" s="601"/>
    </row>
    <row r="604" spans="5:16" ht="13.15" customHeight="1" x14ac:dyDescent="0.2">
      <c r="E604" s="601"/>
      <c r="F604" s="601"/>
      <c r="G604" s="601"/>
      <c r="H604" s="601"/>
      <c r="I604" s="601"/>
      <c r="J604" s="601"/>
      <c r="K604" s="601"/>
      <c r="L604" s="601"/>
      <c r="M604" s="601"/>
      <c r="N604" s="601"/>
      <c r="O604" s="601"/>
      <c r="P604" s="601"/>
    </row>
    <row r="605" spans="5:16" ht="13.15" customHeight="1" x14ac:dyDescent="0.2">
      <c r="E605" s="601"/>
      <c r="F605" s="601"/>
      <c r="G605" s="601"/>
      <c r="H605" s="601"/>
      <c r="I605" s="601"/>
      <c r="J605" s="601"/>
      <c r="K605" s="601"/>
      <c r="L605" s="601"/>
      <c r="M605" s="601"/>
      <c r="N605" s="601"/>
      <c r="O605" s="601"/>
      <c r="P605" s="601"/>
    </row>
    <row r="606" spans="5:16" ht="13.15" customHeight="1" x14ac:dyDescent="0.2">
      <c r="E606" s="601"/>
      <c r="F606" s="601"/>
      <c r="G606" s="601"/>
      <c r="H606" s="601"/>
      <c r="I606" s="601"/>
      <c r="J606" s="601"/>
      <c r="K606" s="601"/>
      <c r="L606" s="601"/>
      <c r="M606" s="601"/>
      <c r="N606" s="601"/>
      <c r="O606" s="601"/>
      <c r="P606" s="601"/>
    </row>
    <row r="607" spans="5:16" ht="13.15" customHeight="1" x14ac:dyDescent="0.2">
      <c r="E607" s="601"/>
      <c r="F607" s="601"/>
      <c r="G607" s="601"/>
      <c r="H607" s="601"/>
      <c r="I607" s="601"/>
      <c r="J607" s="601"/>
      <c r="K607" s="601"/>
      <c r="L607" s="601"/>
      <c r="M607" s="601"/>
      <c r="N607" s="601"/>
      <c r="O607" s="601"/>
      <c r="P607" s="601"/>
    </row>
    <row r="608" spans="5:16" ht="13.15" customHeight="1" x14ac:dyDescent="0.2">
      <c r="E608" s="601"/>
      <c r="F608" s="601"/>
      <c r="G608" s="601"/>
      <c r="H608" s="601"/>
      <c r="I608" s="601"/>
      <c r="J608" s="601"/>
      <c r="K608" s="601"/>
      <c r="L608" s="601"/>
      <c r="M608" s="601"/>
      <c r="N608" s="601"/>
      <c r="O608" s="601"/>
      <c r="P608" s="601"/>
    </row>
    <row r="609" spans="1:16" ht="13.15" customHeight="1" x14ac:dyDescent="0.2">
      <c r="E609" s="601"/>
      <c r="F609" s="601"/>
      <c r="G609" s="601"/>
      <c r="H609" s="601"/>
      <c r="I609" s="601"/>
      <c r="J609" s="601"/>
      <c r="K609" s="601"/>
      <c r="L609" s="601"/>
      <c r="M609" s="601"/>
      <c r="N609" s="601"/>
      <c r="O609" s="601"/>
      <c r="P609" s="601"/>
    </row>
    <row r="610" spans="1:16" ht="13.15" customHeight="1" x14ac:dyDescent="0.2">
      <c r="E610" s="601"/>
      <c r="F610" s="601"/>
      <c r="G610" s="601"/>
      <c r="H610" s="601"/>
      <c r="I610" s="601"/>
      <c r="J610" s="601"/>
      <c r="K610" s="601"/>
      <c r="L610" s="601"/>
      <c r="M610" s="601"/>
      <c r="N610" s="601"/>
      <c r="O610" s="601"/>
      <c r="P610" s="601"/>
    </row>
    <row r="611" spans="1:16" ht="13.15" customHeight="1" x14ac:dyDescent="0.2">
      <c r="E611" s="601"/>
      <c r="F611" s="601"/>
      <c r="G611" s="601"/>
      <c r="H611" s="601"/>
      <c r="I611" s="601"/>
      <c r="J611" s="601"/>
      <c r="K611" s="601"/>
      <c r="L611" s="601"/>
      <c r="M611" s="601"/>
      <c r="N611" s="601"/>
      <c r="O611" s="601"/>
      <c r="P611" s="601"/>
    </row>
    <row r="612" spans="1:16" ht="13.15" customHeight="1" x14ac:dyDescent="0.2">
      <c r="E612" s="601"/>
      <c r="F612" s="601"/>
      <c r="G612" s="601"/>
      <c r="H612" s="601"/>
      <c r="I612" s="601"/>
      <c r="J612" s="601"/>
      <c r="K612" s="601"/>
      <c r="L612" s="601"/>
      <c r="M612" s="601"/>
      <c r="N612" s="601"/>
      <c r="O612" s="601"/>
      <c r="P612" s="601"/>
    </row>
    <row r="613" spans="1:16" ht="13.15" customHeight="1" x14ac:dyDescent="0.2">
      <c r="E613" s="601"/>
      <c r="F613" s="601"/>
      <c r="G613" s="601"/>
      <c r="H613" s="601"/>
      <c r="I613" s="601"/>
      <c r="J613" s="601"/>
      <c r="K613" s="601"/>
      <c r="L613" s="601"/>
      <c r="M613" s="601"/>
      <c r="N613" s="601"/>
      <c r="O613" s="601"/>
      <c r="P613" s="601"/>
    </row>
    <row r="614" spans="1:16" ht="13.15" customHeight="1" x14ac:dyDescent="0.2">
      <c r="E614" s="601"/>
      <c r="F614" s="601"/>
      <c r="G614" s="601"/>
      <c r="H614" s="601"/>
      <c r="I614" s="601"/>
      <c r="J614" s="601"/>
      <c r="K614" s="601"/>
      <c r="L614" s="601"/>
      <c r="M614" s="601"/>
      <c r="N614" s="601"/>
      <c r="O614" s="601"/>
      <c r="P614" s="601"/>
    </row>
    <row r="615" spans="1:16" ht="13.15" customHeight="1" x14ac:dyDescent="0.2">
      <c r="E615" s="601"/>
      <c r="F615" s="601"/>
      <c r="G615" s="601"/>
      <c r="H615" s="601"/>
      <c r="I615" s="601"/>
      <c r="J615" s="601"/>
      <c r="K615" s="601"/>
      <c r="L615" s="601"/>
      <c r="M615" s="601"/>
      <c r="N615" s="601"/>
      <c r="O615" s="601"/>
      <c r="P615" s="601"/>
    </row>
    <row r="616" spans="1:16" ht="13.15" customHeight="1" x14ac:dyDescent="0.2">
      <c r="E616" s="601"/>
      <c r="F616" s="601"/>
      <c r="G616" s="601"/>
      <c r="H616" s="601"/>
      <c r="I616" s="601"/>
      <c r="J616" s="601"/>
      <c r="K616" s="601"/>
      <c r="L616" s="601"/>
      <c r="M616" s="601"/>
      <c r="N616" s="601"/>
      <c r="O616" s="601"/>
      <c r="P616" s="601"/>
    </row>
    <row r="617" spans="1:16" ht="13.15" customHeight="1" x14ac:dyDescent="0.2">
      <c r="E617" s="601"/>
      <c r="F617" s="601"/>
      <c r="G617" s="601"/>
      <c r="H617" s="601"/>
      <c r="I617" s="601"/>
      <c r="J617" s="601"/>
      <c r="K617" s="601"/>
      <c r="L617" s="601"/>
      <c r="M617" s="601"/>
      <c r="N617" s="601"/>
      <c r="O617" s="601"/>
      <c r="P617" s="601"/>
    </row>
    <row r="618" spans="1:16" ht="13.15" customHeight="1" x14ac:dyDescent="0.2">
      <c r="E618" s="601"/>
      <c r="F618" s="601"/>
      <c r="G618" s="601"/>
      <c r="H618" s="601"/>
      <c r="I618" s="601"/>
      <c r="J618" s="601"/>
      <c r="K618" s="601"/>
      <c r="L618" s="601"/>
      <c r="M618" s="601"/>
      <c r="N618" s="601"/>
      <c r="O618" s="601"/>
      <c r="P618" s="601"/>
    </row>
    <row r="619" spans="1:16" ht="13.15" customHeight="1" x14ac:dyDescent="0.2">
      <c r="E619" s="601"/>
      <c r="F619" s="601"/>
      <c r="G619" s="601"/>
      <c r="H619" s="601"/>
      <c r="I619" s="601"/>
      <c r="J619" s="601"/>
      <c r="K619" s="601"/>
      <c r="L619" s="601"/>
      <c r="M619" s="601"/>
      <c r="N619" s="601"/>
      <c r="O619" s="601"/>
      <c r="P619" s="601"/>
    </row>
    <row r="620" spans="1:16" ht="13.15" customHeight="1" x14ac:dyDescent="0.2">
      <c r="E620" s="601"/>
      <c r="F620" s="601"/>
      <c r="G620" s="601"/>
      <c r="H620" s="601"/>
      <c r="I620" s="601"/>
      <c r="J620" s="601"/>
      <c r="K620" s="601"/>
      <c r="L620" s="601"/>
      <c r="M620" s="601"/>
      <c r="N620" s="601"/>
      <c r="O620" s="601"/>
      <c r="P620" s="601"/>
    </row>
    <row r="621" spans="1:16" ht="13.15" customHeight="1" x14ac:dyDescent="0.2">
      <c r="E621" s="601"/>
      <c r="F621" s="601"/>
      <c r="G621" s="601"/>
      <c r="H621" s="601"/>
      <c r="I621" s="601"/>
      <c r="J621" s="601"/>
      <c r="K621" s="601"/>
      <c r="L621" s="601"/>
      <c r="M621" s="601"/>
      <c r="N621" s="601"/>
      <c r="O621" s="601"/>
      <c r="P621" s="601"/>
    </row>
    <row r="622" spans="1:16" ht="13.15" customHeight="1" x14ac:dyDescent="0.2">
      <c r="E622" s="601"/>
      <c r="F622" s="601"/>
      <c r="G622" s="601"/>
      <c r="H622" s="601"/>
      <c r="I622" s="601"/>
      <c r="J622" s="601"/>
      <c r="K622" s="601"/>
      <c r="L622" s="601"/>
      <c r="M622" s="601"/>
      <c r="N622" s="601"/>
      <c r="O622" s="601"/>
      <c r="P622" s="601"/>
    </row>
    <row r="623" spans="1:16" ht="13.15" customHeight="1" x14ac:dyDescent="0.2">
      <c r="E623" s="601"/>
      <c r="F623" s="601"/>
      <c r="G623" s="601"/>
      <c r="H623" s="601"/>
      <c r="I623" s="601"/>
      <c r="J623" s="601"/>
      <c r="K623" s="601"/>
      <c r="L623" s="601"/>
      <c r="M623" s="601"/>
      <c r="N623" s="601"/>
      <c r="O623" s="601"/>
      <c r="P623" s="601"/>
    </row>
    <row r="624" spans="1:16" ht="13.15" customHeight="1" x14ac:dyDescent="0.2">
      <c r="A624" s="607"/>
      <c r="E624" s="601"/>
      <c r="F624" s="601"/>
      <c r="G624" s="601"/>
      <c r="H624" s="601"/>
      <c r="I624" s="601"/>
      <c r="J624" s="601"/>
      <c r="K624" s="601"/>
      <c r="L624" s="601"/>
      <c r="M624" s="601"/>
      <c r="N624" s="601"/>
      <c r="O624" s="601"/>
      <c r="P624" s="601"/>
    </row>
    <row r="625" spans="1:16" ht="13.15" customHeight="1" x14ac:dyDescent="0.2">
      <c r="A625" s="607"/>
      <c r="E625" s="601"/>
      <c r="F625" s="601"/>
      <c r="G625" s="601"/>
      <c r="H625" s="601"/>
      <c r="I625" s="601"/>
      <c r="J625" s="601"/>
      <c r="K625" s="601"/>
      <c r="L625" s="601"/>
      <c r="M625" s="601"/>
      <c r="N625" s="601"/>
      <c r="O625" s="601"/>
      <c r="P625" s="601"/>
    </row>
    <row r="626" spans="1:16" ht="13.15" customHeight="1" x14ac:dyDescent="0.2">
      <c r="A626" s="607"/>
      <c r="E626" s="601"/>
      <c r="F626" s="601"/>
      <c r="G626" s="601"/>
      <c r="H626" s="601"/>
      <c r="I626" s="601"/>
      <c r="J626" s="601"/>
      <c r="K626" s="601"/>
      <c r="L626" s="601"/>
      <c r="M626" s="601"/>
      <c r="N626" s="601"/>
      <c r="O626" s="601"/>
      <c r="P626" s="601"/>
    </row>
    <row r="627" spans="1:16" ht="13.15" customHeight="1" x14ac:dyDescent="0.2">
      <c r="E627" s="601"/>
      <c r="F627" s="601"/>
      <c r="G627" s="601"/>
      <c r="H627" s="601"/>
      <c r="I627" s="601"/>
      <c r="J627" s="601"/>
      <c r="K627" s="601"/>
      <c r="L627" s="601"/>
      <c r="M627" s="601"/>
      <c r="N627" s="601"/>
      <c r="O627" s="601"/>
      <c r="P627" s="601"/>
    </row>
    <row r="628" spans="1:16" ht="13.15" customHeight="1" x14ac:dyDescent="0.2">
      <c r="E628" s="601"/>
      <c r="F628" s="601"/>
      <c r="G628" s="601"/>
      <c r="H628" s="601"/>
      <c r="I628" s="601"/>
      <c r="J628" s="601"/>
      <c r="K628" s="601"/>
      <c r="L628" s="601"/>
      <c r="M628" s="601"/>
      <c r="N628" s="601"/>
      <c r="O628" s="601"/>
      <c r="P628" s="601"/>
    </row>
    <row r="629" spans="1:16" ht="13.15" customHeight="1" x14ac:dyDescent="0.2">
      <c r="A629" s="609"/>
      <c r="E629" s="601"/>
      <c r="F629" s="601"/>
      <c r="G629" s="601"/>
      <c r="H629" s="601"/>
      <c r="I629" s="601"/>
      <c r="J629" s="601"/>
      <c r="K629" s="601"/>
      <c r="L629" s="601"/>
      <c r="M629" s="601"/>
      <c r="N629" s="601"/>
      <c r="O629" s="601"/>
      <c r="P629" s="601"/>
    </row>
    <row r="630" spans="1:16" ht="13.15" customHeight="1" x14ac:dyDescent="0.2">
      <c r="A630" s="615"/>
      <c r="E630" s="601"/>
      <c r="F630" s="601"/>
      <c r="G630" s="601"/>
      <c r="H630" s="601"/>
      <c r="I630" s="601"/>
      <c r="J630" s="601"/>
      <c r="K630" s="601"/>
      <c r="L630" s="601"/>
      <c r="M630" s="601"/>
      <c r="N630" s="601"/>
      <c r="O630" s="601"/>
      <c r="P630" s="601"/>
    </row>
    <row r="631" spans="1:16" ht="13.15" customHeight="1" x14ac:dyDescent="0.2">
      <c r="A631" s="607"/>
      <c r="E631" s="601"/>
      <c r="F631" s="601"/>
      <c r="G631" s="601"/>
      <c r="H631" s="601"/>
      <c r="I631" s="601"/>
      <c r="J631" s="601"/>
      <c r="K631" s="601"/>
      <c r="L631" s="601"/>
      <c r="M631" s="601"/>
      <c r="N631" s="601"/>
      <c r="O631" s="601"/>
      <c r="P631" s="601"/>
    </row>
    <row r="632" spans="1:16" ht="13.15" customHeight="1" x14ac:dyDescent="0.2">
      <c r="E632" s="601"/>
      <c r="F632" s="601"/>
      <c r="G632" s="601"/>
      <c r="H632" s="601"/>
      <c r="I632" s="601"/>
      <c r="J632" s="601"/>
      <c r="K632" s="601"/>
      <c r="L632" s="601"/>
      <c r="M632" s="601"/>
      <c r="N632" s="601"/>
      <c r="O632" s="601"/>
      <c r="P632" s="601"/>
    </row>
    <row r="633" spans="1:16" ht="13.15" customHeight="1" x14ac:dyDescent="0.2">
      <c r="E633" s="601"/>
      <c r="F633" s="601"/>
      <c r="G633" s="601"/>
      <c r="H633" s="601"/>
      <c r="I633" s="601"/>
      <c r="J633" s="601"/>
      <c r="K633" s="601"/>
      <c r="L633" s="601"/>
      <c r="M633" s="601"/>
      <c r="N633" s="601"/>
      <c r="O633" s="601"/>
      <c r="P633" s="601"/>
    </row>
    <row r="634" spans="1:16" ht="13.15" customHeight="1" x14ac:dyDescent="0.2">
      <c r="E634" s="601"/>
      <c r="F634" s="601"/>
      <c r="G634" s="601"/>
      <c r="H634" s="601"/>
      <c r="I634" s="601"/>
      <c r="J634" s="601"/>
      <c r="K634" s="601"/>
      <c r="L634" s="601"/>
      <c r="M634" s="601"/>
      <c r="N634" s="601"/>
      <c r="O634" s="601"/>
      <c r="P634" s="601"/>
    </row>
    <row r="635" spans="1:16" ht="13.15" customHeight="1" x14ac:dyDescent="0.2">
      <c r="E635" s="601"/>
      <c r="F635" s="601"/>
      <c r="G635" s="601"/>
      <c r="H635" s="601"/>
      <c r="I635" s="601"/>
      <c r="J635" s="601"/>
      <c r="K635" s="601"/>
      <c r="L635" s="601"/>
      <c r="M635" s="601"/>
      <c r="N635" s="601"/>
      <c r="O635" s="601"/>
      <c r="P635" s="601"/>
    </row>
    <row r="636" spans="1:16" ht="13.15" customHeight="1" x14ac:dyDescent="0.2">
      <c r="E636" s="601"/>
      <c r="F636" s="601"/>
      <c r="G636" s="601"/>
      <c r="H636" s="601"/>
      <c r="I636" s="601"/>
      <c r="J636" s="601"/>
      <c r="K636" s="601"/>
      <c r="L636" s="601"/>
      <c r="M636" s="601"/>
      <c r="N636" s="601"/>
      <c r="O636" s="601"/>
      <c r="P636" s="601"/>
    </row>
    <row r="637" spans="1:16" ht="13.15" customHeight="1" x14ac:dyDescent="0.2">
      <c r="E637" s="601"/>
      <c r="F637" s="601"/>
      <c r="G637" s="601"/>
      <c r="H637" s="601"/>
      <c r="I637" s="601"/>
      <c r="J637" s="601"/>
      <c r="K637" s="601"/>
      <c r="L637" s="601"/>
      <c r="M637" s="601"/>
      <c r="N637" s="601"/>
      <c r="O637" s="601"/>
      <c r="P637" s="601"/>
    </row>
    <row r="638" spans="1:16" ht="13.15" customHeight="1" x14ac:dyDescent="0.2">
      <c r="E638" s="601"/>
      <c r="F638" s="601"/>
      <c r="G638" s="601"/>
      <c r="H638" s="601"/>
      <c r="I638" s="601"/>
      <c r="J638" s="601"/>
      <c r="K638" s="601"/>
      <c r="L638" s="601"/>
      <c r="M638" s="601"/>
      <c r="N638" s="601"/>
      <c r="O638" s="601"/>
      <c r="P638" s="601"/>
    </row>
    <row r="639" spans="1:16" ht="13.15" customHeight="1" x14ac:dyDescent="0.2">
      <c r="E639" s="601"/>
      <c r="F639" s="601"/>
      <c r="G639" s="601"/>
      <c r="H639" s="601"/>
      <c r="I639" s="601"/>
      <c r="J639" s="601"/>
      <c r="K639" s="601"/>
      <c r="L639" s="601"/>
      <c r="M639" s="601"/>
      <c r="N639" s="601"/>
      <c r="O639" s="601"/>
      <c r="P639" s="601"/>
    </row>
    <row r="640" spans="1:16" ht="13.15" customHeight="1" x14ac:dyDescent="0.2">
      <c r="E640" s="601"/>
      <c r="F640" s="601"/>
      <c r="G640" s="601"/>
      <c r="H640" s="601"/>
      <c r="I640" s="601"/>
      <c r="J640" s="601"/>
      <c r="K640" s="601"/>
      <c r="L640" s="601"/>
      <c r="M640" s="601"/>
      <c r="N640" s="601"/>
      <c r="O640" s="601"/>
      <c r="P640" s="601"/>
    </row>
    <row r="641" spans="5:16" ht="13.15" customHeight="1" x14ac:dyDescent="0.2">
      <c r="E641" s="601"/>
      <c r="F641" s="601"/>
      <c r="G641" s="601"/>
      <c r="H641" s="601"/>
      <c r="I641" s="601"/>
      <c r="J641" s="601"/>
      <c r="K641" s="601"/>
      <c r="L641" s="601"/>
      <c r="M641" s="601"/>
      <c r="N641" s="601"/>
      <c r="O641" s="601"/>
      <c r="P641" s="601"/>
    </row>
    <row r="642" spans="5:16" ht="13.15" customHeight="1" x14ac:dyDescent="0.2">
      <c r="E642" s="601"/>
      <c r="F642" s="601"/>
      <c r="G642" s="601"/>
      <c r="H642" s="601"/>
      <c r="I642" s="601"/>
      <c r="J642" s="601"/>
      <c r="K642" s="601"/>
      <c r="L642" s="601"/>
      <c r="M642" s="601"/>
      <c r="N642" s="601"/>
      <c r="O642" s="601"/>
      <c r="P642" s="601"/>
    </row>
    <row r="643" spans="5:16" ht="13.15" customHeight="1" x14ac:dyDescent="0.2">
      <c r="E643" s="601"/>
      <c r="F643" s="601"/>
      <c r="G643" s="601"/>
      <c r="H643" s="601"/>
      <c r="I643" s="601"/>
      <c r="J643" s="601"/>
      <c r="K643" s="601"/>
      <c r="L643" s="601"/>
      <c r="M643" s="601"/>
      <c r="N643" s="601"/>
      <c r="O643" s="601"/>
      <c r="P643" s="601"/>
    </row>
    <row r="644" spans="5:16" ht="13.15" customHeight="1" x14ac:dyDescent="0.2">
      <c r="E644" s="601"/>
      <c r="F644" s="601"/>
      <c r="G644" s="601"/>
      <c r="H644" s="601"/>
      <c r="I644" s="601"/>
      <c r="J644" s="601"/>
      <c r="K644" s="601"/>
      <c r="L644" s="601"/>
      <c r="M644" s="601"/>
      <c r="N644" s="601"/>
      <c r="O644" s="601"/>
      <c r="P644" s="601"/>
    </row>
    <row r="645" spans="5:16" ht="13.15" customHeight="1" x14ac:dyDescent="0.2">
      <c r="E645" s="601"/>
      <c r="F645" s="601"/>
      <c r="G645" s="601"/>
      <c r="H645" s="601"/>
      <c r="I645" s="601"/>
      <c r="J645" s="601"/>
      <c r="K645" s="601"/>
      <c r="L645" s="601"/>
      <c r="M645" s="601"/>
      <c r="N645" s="601"/>
      <c r="O645" s="601"/>
      <c r="P645" s="601"/>
    </row>
    <row r="646" spans="5:16" ht="13.15" customHeight="1" x14ac:dyDescent="0.2">
      <c r="E646" s="601"/>
      <c r="F646" s="601"/>
      <c r="G646" s="601"/>
      <c r="H646" s="601"/>
      <c r="I646" s="601"/>
      <c r="J646" s="601"/>
      <c r="K646" s="601"/>
      <c r="L646" s="601"/>
      <c r="M646" s="601"/>
      <c r="N646" s="601"/>
      <c r="O646" s="601"/>
      <c r="P646" s="601"/>
    </row>
    <row r="647" spans="5:16" ht="13.15" customHeight="1" x14ac:dyDescent="0.2">
      <c r="E647" s="601"/>
      <c r="F647" s="601"/>
      <c r="G647" s="601"/>
      <c r="H647" s="601"/>
      <c r="I647" s="601"/>
      <c r="J647" s="601"/>
      <c r="K647" s="601"/>
      <c r="L647" s="601"/>
      <c r="M647" s="601"/>
      <c r="N647" s="601"/>
      <c r="O647" s="601"/>
      <c r="P647" s="601"/>
    </row>
    <row r="648" spans="5:16" ht="13.15" customHeight="1" x14ac:dyDescent="0.2">
      <c r="E648" s="601"/>
      <c r="F648" s="601"/>
      <c r="G648" s="601"/>
      <c r="H648" s="601"/>
      <c r="I648" s="601"/>
      <c r="J648" s="601"/>
      <c r="K648" s="601"/>
      <c r="L648" s="601"/>
      <c r="M648" s="601"/>
      <c r="N648" s="601"/>
      <c r="O648" s="601"/>
      <c r="P648" s="601"/>
    </row>
    <row r="649" spans="5:16" ht="13.15" customHeight="1" x14ac:dyDescent="0.2">
      <c r="E649" s="601"/>
      <c r="F649" s="601"/>
      <c r="G649" s="601"/>
      <c r="H649" s="601"/>
      <c r="I649" s="601"/>
      <c r="J649" s="601"/>
      <c r="K649" s="601"/>
      <c r="L649" s="601"/>
      <c r="M649" s="601"/>
      <c r="N649" s="601"/>
      <c r="O649" s="601"/>
      <c r="P649" s="601"/>
    </row>
    <row r="650" spans="5:16" ht="13.15" customHeight="1" x14ac:dyDescent="0.2">
      <c r="E650" s="601"/>
      <c r="F650" s="601"/>
      <c r="G650" s="601"/>
      <c r="H650" s="601"/>
      <c r="I650" s="601"/>
      <c r="J650" s="601"/>
      <c r="K650" s="601"/>
      <c r="L650" s="601"/>
      <c r="M650" s="601"/>
      <c r="N650" s="601"/>
      <c r="O650" s="601"/>
      <c r="P650" s="601"/>
    </row>
    <row r="651" spans="5:16" ht="13.15" customHeight="1" x14ac:dyDescent="0.2">
      <c r="E651" s="601"/>
      <c r="F651" s="601"/>
      <c r="G651" s="601"/>
      <c r="H651" s="601"/>
      <c r="I651" s="601"/>
      <c r="J651" s="601"/>
      <c r="K651" s="601"/>
      <c r="L651" s="601"/>
      <c r="M651" s="601"/>
      <c r="N651" s="601"/>
      <c r="O651" s="601"/>
      <c r="P651" s="601"/>
    </row>
    <row r="652" spans="5:16" ht="13.15" customHeight="1" x14ac:dyDescent="0.2">
      <c r="E652" s="601"/>
      <c r="F652" s="601"/>
      <c r="G652" s="601"/>
      <c r="H652" s="601"/>
      <c r="I652" s="601"/>
      <c r="J652" s="601"/>
      <c r="K652" s="601"/>
      <c r="L652" s="601"/>
      <c r="M652" s="601"/>
      <c r="N652" s="601"/>
      <c r="O652" s="601"/>
      <c r="P652" s="601"/>
    </row>
    <row r="653" spans="5:16" ht="13.15" customHeight="1" x14ac:dyDescent="0.2">
      <c r="E653" s="601"/>
      <c r="F653" s="601"/>
      <c r="G653" s="601"/>
      <c r="H653" s="601"/>
      <c r="I653" s="601"/>
      <c r="J653" s="601"/>
      <c r="K653" s="601"/>
      <c r="L653" s="601"/>
      <c r="M653" s="601"/>
      <c r="N653" s="601"/>
      <c r="O653" s="601"/>
      <c r="P653" s="601"/>
    </row>
    <row r="654" spans="5:16" ht="13.15" customHeight="1" x14ac:dyDescent="0.2">
      <c r="E654" s="601"/>
      <c r="F654" s="601"/>
      <c r="G654" s="601"/>
      <c r="H654" s="601"/>
      <c r="I654" s="601"/>
      <c r="J654" s="601"/>
      <c r="K654" s="601"/>
      <c r="L654" s="601"/>
      <c r="M654" s="601"/>
      <c r="N654" s="601"/>
      <c r="O654" s="601"/>
      <c r="P654" s="601"/>
    </row>
    <row r="655" spans="5:16" ht="13.15" customHeight="1" x14ac:dyDescent="0.2">
      <c r="E655" s="601"/>
      <c r="F655" s="601"/>
      <c r="G655" s="601"/>
      <c r="H655" s="601"/>
      <c r="I655" s="601"/>
      <c r="J655" s="601"/>
      <c r="K655" s="601"/>
      <c r="L655" s="601"/>
      <c r="M655" s="601"/>
      <c r="N655" s="601"/>
      <c r="O655" s="601"/>
      <c r="P655" s="601"/>
    </row>
    <row r="656" spans="5:16" ht="13.15" customHeight="1" x14ac:dyDescent="0.2">
      <c r="E656" s="601"/>
      <c r="F656" s="601"/>
      <c r="G656" s="601"/>
      <c r="H656" s="601"/>
      <c r="I656" s="601"/>
      <c r="J656" s="601"/>
      <c r="K656" s="601"/>
      <c r="L656" s="601"/>
      <c r="M656" s="601"/>
      <c r="N656" s="601"/>
      <c r="O656" s="601"/>
      <c r="P656" s="601"/>
    </row>
    <row r="657" spans="5:16" ht="13.15" customHeight="1" x14ac:dyDescent="0.2">
      <c r="E657" s="601"/>
      <c r="F657" s="601"/>
      <c r="G657" s="601"/>
      <c r="H657" s="601"/>
      <c r="I657" s="601"/>
      <c r="J657" s="601"/>
      <c r="K657" s="601"/>
      <c r="L657" s="601"/>
      <c r="M657" s="601"/>
      <c r="N657" s="601"/>
      <c r="O657" s="601"/>
      <c r="P657" s="601"/>
    </row>
    <row r="658" spans="5:16" ht="13.15" customHeight="1" x14ac:dyDescent="0.2">
      <c r="E658" s="601"/>
      <c r="F658" s="601"/>
      <c r="G658" s="601"/>
      <c r="H658" s="601"/>
      <c r="I658" s="601"/>
      <c r="J658" s="601"/>
      <c r="K658" s="601"/>
      <c r="L658" s="601"/>
      <c r="M658" s="601"/>
      <c r="N658" s="601"/>
      <c r="O658" s="601"/>
      <c r="P658" s="601"/>
    </row>
    <row r="659" spans="5:16" ht="13.15" customHeight="1" x14ac:dyDescent="0.2">
      <c r="E659" s="601"/>
      <c r="F659" s="601"/>
      <c r="G659" s="601"/>
      <c r="H659" s="601"/>
      <c r="I659" s="601"/>
      <c r="J659" s="601"/>
      <c r="K659" s="601"/>
      <c r="L659" s="601"/>
      <c r="M659" s="601"/>
      <c r="N659" s="601"/>
      <c r="O659" s="601"/>
      <c r="P659" s="601"/>
    </row>
    <row r="660" spans="5:16" ht="13.15" customHeight="1" x14ac:dyDescent="0.2">
      <c r="E660" s="601"/>
      <c r="F660" s="601"/>
      <c r="G660" s="601"/>
      <c r="H660" s="601"/>
      <c r="I660" s="601"/>
      <c r="J660" s="601"/>
      <c r="K660" s="601"/>
      <c r="L660" s="601"/>
      <c r="M660" s="601"/>
      <c r="N660" s="601"/>
      <c r="O660" s="601"/>
      <c r="P660" s="601"/>
    </row>
    <row r="661" spans="5:16" ht="13.15" customHeight="1" x14ac:dyDescent="0.2">
      <c r="E661" s="601"/>
      <c r="F661" s="601"/>
      <c r="G661" s="601"/>
      <c r="H661" s="601"/>
      <c r="I661" s="601"/>
      <c r="J661" s="601"/>
      <c r="K661" s="601"/>
      <c r="L661" s="601"/>
      <c r="M661" s="601"/>
      <c r="N661" s="601"/>
      <c r="O661" s="601"/>
      <c r="P661" s="601"/>
    </row>
    <row r="662" spans="5:16" ht="13.15" customHeight="1" x14ac:dyDescent="0.2">
      <c r="E662" s="601"/>
      <c r="F662" s="601"/>
      <c r="G662" s="601"/>
      <c r="H662" s="601"/>
      <c r="I662" s="601"/>
      <c r="J662" s="601"/>
      <c r="K662" s="601"/>
      <c r="L662" s="601"/>
      <c r="M662" s="601"/>
      <c r="N662" s="601"/>
      <c r="O662" s="601"/>
      <c r="P662" s="601"/>
    </row>
    <row r="663" spans="5:16" ht="13.15" customHeight="1" x14ac:dyDescent="0.2">
      <c r="E663" s="601"/>
      <c r="F663" s="601"/>
      <c r="G663" s="601"/>
      <c r="H663" s="601"/>
      <c r="I663" s="601"/>
      <c r="J663" s="601"/>
      <c r="K663" s="601"/>
      <c r="L663" s="601"/>
      <c r="M663" s="601"/>
      <c r="N663" s="601"/>
      <c r="O663" s="601"/>
      <c r="P663" s="601"/>
    </row>
    <row r="664" spans="5:16" ht="13.15" customHeight="1" x14ac:dyDescent="0.2">
      <c r="E664" s="601"/>
      <c r="F664" s="601"/>
      <c r="G664" s="601"/>
      <c r="H664" s="601"/>
      <c r="I664" s="601"/>
      <c r="J664" s="601"/>
      <c r="K664" s="601"/>
      <c r="L664" s="601"/>
      <c r="M664" s="601"/>
      <c r="N664" s="601"/>
      <c r="O664" s="601"/>
      <c r="P664" s="601"/>
    </row>
    <row r="665" spans="5:16" ht="13.15" customHeight="1" x14ac:dyDescent="0.2">
      <c r="E665" s="601"/>
      <c r="F665" s="601"/>
      <c r="G665" s="601"/>
      <c r="H665" s="601"/>
      <c r="I665" s="601"/>
      <c r="J665" s="601"/>
      <c r="K665" s="601"/>
      <c r="L665" s="601"/>
      <c r="M665" s="601"/>
      <c r="N665" s="601"/>
      <c r="O665" s="601"/>
      <c r="P665" s="601"/>
    </row>
    <row r="666" spans="5:16" ht="13.15" customHeight="1" x14ac:dyDescent="0.2">
      <c r="E666" s="601"/>
      <c r="F666" s="601"/>
      <c r="G666" s="601"/>
      <c r="H666" s="601"/>
      <c r="I666" s="601"/>
      <c r="J666" s="601"/>
      <c r="K666" s="601"/>
      <c r="L666" s="601"/>
      <c r="M666" s="601"/>
      <c r="N666" s="601"/>
      <c r="O666" s="601"/>
      <c r="P666" s="601"/>
    </row>
    <row r="667" spans="5:16" ht="13.15" customHeight="1" x14ac:dyDescent="0.2">
      <c r="E667" s="601"/>
      <c r="F667" s="601"/>
      <c r="G667" s="601"/>
      <c r="H667" s="601"/>
      <c r="I667" s="601"/>
      <c r="J667" s="601"/>
      <c r="K667" s="601"/>
      <c r="L667" s="601"/>
      <c r="M667" s="601"/>
      <c r="N667" s="601"/>
      <c r="O667" s="601"/>
      <c r="P667" s="601"/>
    </row>
    <row r="668" spans="5:16" ht="13.15" customHeight="1" x14ac:dyDescent="0.2">
      <c r="E668" s="601"/>
      <c r="F668" s="601"/>
      <c r="G668" s="601"/>
      <c r="H668" s="601"/>
      <c r="I668" s="601"/>
      <c r="J668" s="601"/>
      <c r="K668" s="601"/>
      <c r="L668" s="601"/>
      <c r="M668" s="601"/>
      <c r="N668" s="601"/>
      <c r="O668" s="601"/>
      <c r="P668" s="601"/>
    </row>
    <row r="669" spans="5:16" ht="13.15" customHeight="1" x14ac:dyDescent="0.2">
      <c r="E669" s="601"/>
      <c r="F669" s="601"/>
      <c r="G669" s="601"/>
      <c r="H669" s="601"/>
      <c r="I669" s="601"/>
      <c r="J669" s="601"/>
      <c r="K669" s="601"/>
      <c r="L669" s="601"/>
      <c r="M669" s="601"/>
      <c r="N669" s="601"/>
      <c r="O669" s="601"/>
      <c r="P669" s="601"/>
    </row>
    <row r="670" spans="5:16" ht="13.15" customHeight="1" x14ac:dyDescent="0.2">
      <c r="E670" s="601"/>
      <c r="F670" s="601"/>
      <c r="G670" s="601"/>
      <c r="H670" s="601"/>
      <c r="I670" s="601"/>
      <c r="J670" s="601"/>
      <c r="K670" s="601"/>
      <c r="L670" s="601"/>
      <c r="M670" s="601"/>
      <c r="N670" s="601"/>
      <c r="O670" s="601"/>
      <c r="P670" s="601"/>
    </row>
    <row r="671" spans="5:16" ht="13.15" customHeight="1" x14ac:dyDescent="0.2">
      <c r="E671" s="601"/>
      <c r="F671" s="601"/>
      <c r="G671" s="601"/>
      <c r="H671" s="601"/>
      <c r="I671" s="601"/>
      <c r="J671" s="601"/>
      <c r="K671" s="601"/>
      <c r="L671" s="601"/>
      <c r="M671" s="601"/>
      <c r="N671" s="601"/>
      <c r="O671" s="601"/>
      <c r="P671" s="601"/>
    </row>
    <row r="672" spans="5:16" ht="13.15" customHeight="1" x14ac:dyDescent="0.2">
      <c r="E672" s="601"/>
      <c r="F672" s="601"/>
      <c r="G672" s="601"/>
      <c r="H672" s="601"/>
      <c r="I672" s="601"/>
      <c r="J672" s="601"/>
      <c r="K672" s="601"/>
      <c r="L672" s="601"/>
      <c r="M672" s="601"/>
      <c r="N672" s="601"/>
      <c r="O672" s="601"/>
      <c r="P672" s="601"/>
    </row>
    <row r="673" spans="5:16" ht="13.15" customHeight="1" x14ac:dyDescent="0.2">
      <c r="E673" s="601"/>
      <c r="F673" s="601"/>
      <c r="G673" s="601"/>
      <c r="H673" s="601"/>
      <c r="I673" s="601"/>
      <c r="J673" s="601"/>
      <c r="K673" s="601"/>
      <c r="L673" s="601"/>
      <c r="M673" s="601"/>
      <c r="N673" s="601"/>
      <c r="O673" s="601"/>
      <c r="P673" s="601"/>
    </row>
    <row r="674" spans="5:16" ht="13.15" customHeight="1" x14ac:dyDescent="0.2">
      <c r="E674" s="601"/>
      <c r="F674" s="601"/>
      <c r="G674" s="601"/>
      <c r="H674" s="601"/>
      <c r="I674" s="601"/>
      <c r="J674" s="601"/>
      <c r="K674" s="601"/>
      <c r="L674" s="601"/>
      <c r="M674" s="601"/>
      <c r="N674" s="601"/>
      <c r="O674" s="601"/>
      <c r="P674" s="601"/>
    </row>
    <row r="675" spans="5:16" ht="13.15" customHeight="1" x14ac:dyDescent="0.2">
      <c r="E675" s="601"/>
      <c r="F675" s="601"/>
      <c r="G675" s="601"/>
      <c r="H675" s="601"/>
      <c r="I675" s="601"/>
      <c r="J675" s="601"/>
      <c r="K675" s="601"/>
      <c r="L675" s="601"/>
      <c r="M675" s="601"/>
      <c r="N675" s="601"/>
      <c r="O675" s="601"/>
      <c r="P675" s="601"/>
    </row>
    <row r="676" spans="5:16" ht="13.15" customHeight="1" x14ac:dyDescent="0.2">
      <c r="E676" s="601"/>
      <c r="F676" s="601"/>
      <c r="G676" s="601"/>
      <c r="H676" s="601"/>
      <c r="I676" s="601"/>
      <c r="J676" s="601"/>
      <c r="K676" s="601"/>
      <c r="L676" s="601"/>
      <c r="M676" s="601"/>
      <c r="N676" s="601"/>
      <c r="O676" s="601"/>
      <c r="P676" s="601"/>
    </row>
    <row r="677" spans="5:16" ht="13.15" customHeight="1" x14ac:dyDescent="0.2">
      <c r="E677" s="601"/>
      <c r="F677" s="601"/>
      <c r="G677" s="601"/>
      <c r="H677" s="601"/>
      <c r="I677" s="601"/>
      <c r="J677" s="601"/>
      <c r="K677" s="601"/>
      <c r="L677" s="601"/>
      <c r="M677" s="601"/>
      <c r="N677" s="601"/>
      <c r="O677" s="601"/>
      <c r="P677" s="601"/>
    </row>
    <row r="678" spans="5:16" ht="13.15" customHeight="1" x14ac:dyDescent="0.2">
      <c r="E678" s="601"/>
      <c r="F678" s="601"/>
      <c r="G678" s="601"/>
      <c r="H678" s="601"/>
      <c r="I678" s="601"/>
      <c r="J678" s="601"/>
      <c r="K678" s="601"/>
      <c r="L678" s="601"/>
      <c r="M678" s="601"/>
      <c r="N678" s="601"/>
      <c r="O678" s="601"/>
      <c r="P678" s="601"/>
    </row>
    <row r="679" spans="5:16" ht="13.15" customHeight="1" x14ac:dyDescent="0.2">
      <c r="E679" s="601"/>
      <c r="F679" s="601"/>
      <c r="G679" s="601"/>
      <c r="H679" s="601"/>
      <c r="I679" s="601"/>
      <c r="J679" s="601"/>
      <c r="K679" s="601"/>
      <c r="L679" s="601"/>
      <c r="M679" s="601"/>
      <c r="N679" s="601"/>
      <c r="O679" s="601"/>
      <c r="P679" s="601"/>
    </row>
    <row r="680" spans="5:16" ht="13.15" customHeight="1" x14ac:dyDescent="0.2">
      <c r="E680" s="601"/>
      <c r="F680" s="601"/>
      <c r="G680" s="601"/>
      <c r="H680" s="601"/>
      <c r="I680" s="601"/>
      <c r="J680" s="601"/>
      <c r="K680" s="601"/>
      <c r="L680" s="601"/>
      <c r="M680" s="601"/>
      <c r="N680" s="601"/>
      <c r="O680" s="601"/>
      <c r="P680" s="601"/>
    </row>
    <row r="681" spans="5:16" ht="13.15" customHeight="1" x14ac:dyDescent="0.2">
      <c r="E681" s="601"/>
      <c r="F681" s="601"/>
      <c r="G681" s="601"/>
      <c r="H681" s="601"/>
      <c r="I681" s="601"/>
      <c r="J681" s="601"/>
      <c r="K681" s="601"/>
      <c r="L681" s="601"/>
      <c r="M681" s="601"/>
      <c r="N681" s="601"/>
      <c r="O681" s="601"/>
      <c r="P681" s="601"/>
    </row>
    <row r="682" spans="5:16" ht="13.15" customHeight="1" x14ac:dyDescent="0.2">
      <c r="E682" s="601"/>
      <c r="F682" s="601"/>
      <c r="G682" s="601"/>
      <c r="H682" s="601"/>
      <c r="I682" s="601"/>
      <c r="J682" s="601"/>
      <c r="K682" s="601"/>
      <c r="L682" s="601"/>
      <c r="M682" s="601"/>
      <c r="N682" s="601"/>
      <c r="O682" s="601"/>
      <c r="P682" s="601"/>
    </row>
    <row r="683" spans="5:16" ht="13.15" customHeight="1" x14ac:dyDescent="0.2">
      <c r="E683" s="601"/>
      <c r="F683" s="601"/>
      <c r="G683" s="601"/>
      <c r="H683" s="601"/>
      <c r="I683" s="601"/>
      <c r="J683" s="601"/>
      <c r="K683" s="601"/>
      <c r="L683" s="601"/>
      <c r="M683" s="601"/>
      <c r="N683" s="601"/>
      <c r="O683" s="601"/>
      <c r="P683" s="601"/>
    </row>
    <row r="684" spans="5:16" ht="13.15" customHeight="1" x14ac:dyDescent="0.2">
      <c r="E684" s="601"/>
      <c r="F684" s="601"/>
      <c r="G684" s="601"/>
      <c r="H684" s="601"/>
      <c r="I684" s="601"/>
      <c r="J684" s="601"/>
      <c r="K684" s="601"/>
      <c r="L684" s="601"/>
      <c r="M684" s="601"/>
      <c r="N684" s="601"/>
      <c r="O684" s="601"/>
      <c r="P684" s="601"/>
    </row>
    <row r="685" spans="5:16" ht="13.15" customHeight="1" x14ac:dyDescent="0.2">
      <c r="E685" s="601"/>
      <c r="F685" s="601"/>
      <c r="G685" s="601"/>
      <c r="H685" s="601"/>
      <c r="I685" s="601"/>
      <c r="J685" s="601"/>
      <c r="K685" s="601"/>
      <c r="L685" s="601"/>
      <c r="M685" s="601"/>
      <c r="N685" s="601"/>
      <c r="O685" s="601"/>
      <c r="P685" s="601"/>
    </row>
    <row r="686" spans="5:16" ht="13.15" customHeight="1" x14ac:dyDescent="0.2">
      <c r="E686" s="601"/>
      <c r="F686" s="601"/>
      <c r="G686" s="601"/>
      <c r="H686" s="601"/>
      <c r="I686" s="601"/>
      <c r="J686" s="601"/>
      <c r="K686" s="601"/>
      <c r="L686" s="601"/>
      <c r="M686" s="601"/>
      <c r="N686" s="601"/>
      <c r="O686" s="601"/>
      <c r="P686" s="601"/>
    </row>
    <row r="687" spans="5:16" ht="13.15" customHeight="1" x14ac:dyDescent="0.2">
      <c r="E687" s="601"/>
      <c r="F687" s="601"/>
      <c r="G687" s="601"/>
      <c r="H687" s="601"/>
      <c r="I687" s="601"/>
      <c r="J687" s="601"/>
      <c r="K687" s="601"/>
      <c r="L687" s="601"/>
      <c r="M687" s="601"/>
      <c r="N687" s="601"/>
      <c r="O687" s="601"/>
      <c r="P687" s="601"/>
    </row>
    <row r="688" spans="5:16" ht="13.15" customHeight="1" x14ac:dyDescent="0.2">
      <c r="E688" s="601"/>
      <c r="F688" s="601"/>
      <c r="G688" s="601"/>
      <c r="H688" s="601"/>
      <c r="I688" s="601"/>
      <c r="J688" s="601"/>
      <c r="K688" s="601"/>
      <c r="L688" s="601"/>
      <c r="M688" s="601"/>
      <c r="N688" s="601"/>
      <c r="O688" s="601"/>
      <c r="P688" s="601"/>
    </row>
    <row r="689" spans="5:16" ht="13.15" customHeight="1" x14ac:dyDescent="0.2">
      <c r="E689" s="601"/>
      <c r="F689" s="601"/>
      <c r="G689" s="601"/>
      <c r="H689" s="601"/>
      <c r="I689" s="601"/>
      <c r="J689" s="601"/>
      <c r="K689" s="601"/>
      <c r="L689" s="601"/>
      <c r="M689" s="601"/>
      <c r="N689" s="601"/>
      <c r="O689" s="601"/>
      <c r="P689" s="601"/>
    </row>
    <row r="690" spans="5:16" ht="13.15" customHeight="1" x14ac:dyDescent="0.2">
      <c r="E690" s="601"/>
      <c r="F690" s="601"/>
      <c r="G690" s="601"/>
      <c r="H690" s="601"/>
      <c r="I690" s="601"/>
      <c r="J690" s="601"/>
      <c r="K690" s="601"/>
      <c r="L690" s="601"/>
      <c r="M690" s="601"/>
      <c r="N690" s="601"/>
      <c r="O690" s="601"/>
      <c r="P690" s="601"/>
    </row>
    <row r="691" spans="5:16" ht="13.15" customHeight="1" x14ac:dyDescent="0.2">
      <c r="E691" s="601"/>
      <c r="F691" s="601"/>
      <c r="G691" s="601"/>
      <c r="H691" s="601"/>
      <c r="I691" s="601"/>
      <c r="J691" s="601"/>
      <c r="K691" s="601"/>
      <c r="L691" s="601"/>
      <c r="M691" s="601"/>
      <c r="N691" s="601"/>
      <c r="O691" s="601"/>
      <c r="P691" s="601"/>
    </row>
    <row r="692" spans="5:16" ht="13.15" customHeight="1" x14ac:dyDescent="0.2">
      <c r="E692" s="601"/>
      <c r="F692" s="601"/>
      <c r="G692" s="601"/>
      <c r="H692" s="601"/>
      <c r="I692" s="601"/>
      <c r="J692" s="601"/>
      <c r="K692" s="601"/>
      <c r="L692" s="601"/>
      <c r="M692" s="601"/>
      <c r="N692" s="601"/>
      <c r="O692" s="601"/>
      <c r="P692" s="601"/>
    </row>
    <row r="693" spans="5:16" ht="13.15" customHeight="1" x14ac:dyDescent="0.2">
      <c r="E693" s="601"/>
      <c r="F693" s="601"/>
      <c r="G693" s="601"/>
      <c r="H693" s="601"/>
      <c r="I693" s="601"/>
      <c r="J693" s="601"/>
      <c r="K693" s="601"/>
      <c r="L693" s="601"/>
      <c r="M693" s="601"/>
      <c r="N693" s="601"/>
      <c r="O693" s="601"/>
      <c r="P693" s="601"/>
    </row>
    <row r="694" spans="5:16" ht="13.15" customHeight="1" x14ac:dyDescent="0.2">
      <c r="E694" s="601"/>
      <c r="F694" s="601"/>
      <c r="G694" s="601"/>
      <c r="H694" s="601"/>
      <c r="I694" s="601"/>
      <c r="J694" s="601"/>
      <c r="K694" s="601"/>
      <c r="L694" s="601"/>
      <c r="M694" s="601"/>
      <c r="N694" s="601"/>
      <c r="O694" s="601"/>
      <c r="P694" s="601"/>
    </row>
    <row r="695" spans="5:16" ht="13.15" customHeight="1" x14ac:dyDescent="0.2">
      <c r="E695" s="601"/>
      <c r="F695" s="601"/>
      <c r="G695" s="601"/>
      <c r="H695" s="601"/>
      <c r="I695" s="601"/>
      <c r="J695" s="601"/>
      <c r="K695" s="601"/>
      <c r="L695" s="601"/>
      <c r="M695" s="601"/>
      <c r="N695" s="601"/>
      <c r="O695" s="601"/>
      <c r="P695" s="601"/>
    </row>
    <row r="696" spans="5:16" ht="13.15" customHeight="1" x14ac:dyDescent="0.2">
      <c r="E696" s="601"/>
      <c r="F696" s="601"/>
      <c r="G696" s="601"/>
      <c r="H696" s="601"/>
      <c r="I696" s="601"/>
      <c r="J696" s="601"/>
      <c r="K696" s="601"/>
      <c r="L696" s="601"/>
      <c r="M696" s="601"/>
      <c r="N696" s="601"/>
      <c r="O696" s="601"/>
      <c r="P696" s="601"/>
    </row>
    <row r="697" spans="5:16" ht="13.15" customHeight="1" x14ac:dyDescent="0.2">
      <c r="E697" s="601"/>
      <c r="F697" s="601"/>
      <c r="G697" s="601"/>
      <c r="H697" s="601"/>
      <c r="I697" s="601"/>
      <c r="J697" s="601"/>
      <c r="K697" s="601"/>
      <c r="L697" s="601"/>
      <c r="M697" s="601"/>
      <c r="N697" s="601"/>
      <c r="O697" s="601"/>
      <c r="P697" s="601"/>
    </row>
    <row r="698" spans="5:16" ht="13.15" customHeight="1" x14ac:dyDescent="0.2">
      <c r="E698" s="601"/>
      <c r="F698" s="601"/>
      <c r="G698" s="601"/>
      <c r="H698" s="601"/>
      <c r="I698" s="601"/>
      <c r="J698" s="601"/>
      <c r="K698" s="601"/>
      <c r="L698" s="601"/>
      <c r="M698" s="601"/>
      <c r="N698" s="601"/>
      <c r="O698" s="601"/>
      <c r="P698" s="601"/>
    </row>
    <row r="699" spans="5:16" ht="13.15" customHeight="1" x14ac:dyDescent="0.2">
      <c r="E699" s="601"/>
      <c r="F699" s="601"/>
      <c r="G699" s="601"/>
      <c r="H699" s="601"/>
      <c r="I699" s="601"/>
      <c r="J699" s="601"/>
      <c r="K699" s="601"/>
      <c r="L699" s="601"/>
      <c r="M699" s="601"/>
      <c r="N699" s="601"/>
      <c r="O699" s="601"/>
      <c r="P699" s="601"/>
    </row>
    <row r="700" spans="5:16" ht="13.15" customHeight="1" x14ac:dyDescent="0.2">
      <c r="E700" s="601"/>
      <c r="F700" s="601"/>
      <c r="G700" s="601"/>
      <c r="H700" s="601"/>
      <c r="I700" s="601"/>
      <c r="J700" s="601"/>
      <c r="K700" s="601"/>
      <c r="L700" s="601"/>
      <c r="M700" s="601"/>
      <c r="N700" s="601"/>
      <c r="O700" s="601"/>
      <c r="P700" s="601"/>
    </row>
    <row r="701" spans="5:16" ht="13.15" customHeight="1" x14ac:dyDescent="0.2">
      <c r="E701" s="601"/>
      <c r="F701" s="601"/>
      <c r="G701" s="601"/>
      <c r="H701" s="601"/>
      <c r="I701" s="601"/>
      <c r="J701" s="601"/>
      <c r="K701" s="601"/>
      <c r="L701" s="601"/>
      <c r="M701" s="601"/>
      <c r="N701" s="601"/>
      <c r="O701" s="601"/>
      <c r="P701" s="601"/>
    </row>
    <row r="702" spans="5:16" ht="13.15" customHeight="1" x14ac:dyDescent="0.2">
      <c r="E702" s="601"/>
      <c r="F702" s="601"/>
      <c r="G702" s="601"/>
      <c r="H702" s="601"/>
      <c r="I702" s="601"/>
      <c r="J702" s="601"/>
      <c r="K702" s="601"/>
      <c r="L702" s="601"/>
      <c r="M702" s="601"/>
      <c r="N702" s="601"/>
      <c r="O702" s="601"/>
      <c r="P702" s="601"/>
    </row>
    <row r="703" spans="5:16" ht="13.15" customHeight="1" x14ac:dyDescent="0.2">
      <c r="E703" s="601"/>
      <c r="F703" s="601"/>
      <c r="G703" s="601"/>
      <c r="H703" s="601"/>
      <c r="I703" s="601"/>
      <c r="J703" s="601"/>
      <c r="K703" s="601"/>
      <c r="L703" s="601"/>
      <c r="M703" s="601"/>
      <c r="N703" s="601"/>
      <c r="O703" s="601"/>
      <c r="P703" s="601"/>
    </row>
    <row r="704" spans="5:16" ht="13.15" customHeight="1" x14ac:dyDescent="0.2">
      <c r="E704" s="601"/>
      <c r="F704" s="601"/>
      <c r="G704" s="601"/>
      <c r="H704" s="601"/>
      <c r="I704" s="601"/>
      <c r="J704" s="601"/>
      <c r="K704" s="601"/>
      <c r="L704" s="601"/>
      <c r="M704" s="601"/>
      <c r="N704" s="601"/>
      <c r="O704" s="601"/>
      <c r="P704" s="601"/>
    </row>
    <row r="705" spans="5:16" ht="13.15" customHeight="1" x14ac:dyDescent="0.2">
      <c r="E705" s="601"/>
      <c r="F705" s="601"/>
      <c r="G705" s="601"/>
      <c r="H705" s="601"/>
      <c r="I705" s="601"/>
      <c r="J705" s="601"/>
      <c r="K705" s="601"/>
      <c r="L705" s="601"/>
      <c r="M705" s="601"/>
      <c r="N705" s="601"/>
      <c r="O705" s="601"/>
      <c r="P705" s="601"/>
    </row>
    <row r="706" spans="5:16" ht="13.15" customHeight="1" x14ac:dyDescent="0.2">
      <c r="E706" s="601"/>
      <c r="F706" s="601"/>
      <c r="G706" s="601"/>
      <c r="H706" s="601"/>
      <c r="I706" s="601"/>
      <c r="J706" s="601"/>
      <c r="K706" s="601"/>
      <c r="L706" s="601"/>
      <c r="M706" s="601"/>
      <c r="N706" s="601"/>
      <c r="O706" s="601"/>
      <c r="P706" s="601"/>
    </row>
    <row r="707" spans="5:16" ht="13.15" customHeight="1" x14ac:dyDescent="0.2">
      <c r="E707" s="601"/>
      <c r="F707" s="601"/>
      <c r="G707" s="601"/>
      <c r="H707" s="601"/>
      <c r="I707" s="601"/>
      <c r="J707" s="601"/>
      <c r="K707" s="601"/>
      <c r="L707" s="601"/>
      <c r="M707" s="601"/>
      <c r="N707" s="601"/>
      <c r="O707" s="601"/>
      <c r="P707" s="601"/>
    </row>
    <row r="708" spans="5:16" ht="13.15" customHeight="1" x14ac:dyDescent="0.2">
      <c r="E708" s="601"/>
      <c r="F708" s="601"/>
      <c r="G708" s="601"/>
      <c r="H708" s="601"/>
      <c r="I708" s="601"/>
      <c r="J708" s="601"/>
      <c r="K708" s="601"/>
      <c r="L708" s="601"/>
      <c r="M708" s="601"/>
      <c r="N708" s="601"/>
      <c r="O708" s="601"/>
      <c r="P708" s="601"/>
    </row>
    <row r="709" spans="5:16" ht="13.15" customHeight="1" x14ac:dyDescent="0.2">
      <c r="E709" s="601"/>
      <c r="F709" s="601"/>
      <c r="G709" s="601"/>
      <c r="H709" s="601"/>
      <c r="I709" s="601"/>
      <c r="J709" s="601"/>
      <c r="K709" s="601"/>
      <c r="L709" s="601"/>
      <c r="M709" s="601"/>
      <c r="N709" s="601"/>
      <c r="O709" s="601"/>
      <c r="P709" s="601"/>
    </row>
    <row r="710" spans="5:16" ht="13.15" customHeight="1" x14ac:dyDescent="0.2">
      <c r="E710" s="601"/>
      <c r="F710" s="601"/>
      <c r="G710" s="601"/>
      <c r="H710" s="601"/>
      <c r="I710" s="601"/>
      <c r="J710" s="601"/>
      <c r="K710" s="601"/>
      <c r="L710" s="601"/>
      <c r="M710" s="601"/>
      <c r="N710" s="601"/>
      <c r="O710" s="601"/>
      <c r="P710" s="601"/>
    </row>
    <row r="711" spans="5:16" ht="13.15" customHeight="1" x14ac:dyDescent="0.2">
      <c r="E711" s="601"/>
      <c r="F711" s="601"/>
      <c r="G711" s="601"/>
      <c r="H711" s="601"/>
      <c r="I711" s="601"/>
      <c r="J711" s="601"/>
      <c r="K711" s="601"/>
      <c r="L711" s="601"/>
      <c r="M711" s="601"/>
      <c r="N711" s="601"/>
      <c r="O711" s="601"/>
      <c r="P711" s="601"/>
    </row>
    <row r="712" spans="5:16" ht="13.15" customHeight="1" x14ac:dyDescent="0.2">
      <c r="E712" s="601"/>
      <c r="F712" s="601"/>
      <c r="G712" s="601"/>
      <c r="H712" s="601"/>
      <c r="I712" s="601"/>
      <c r="J712" s="601"/>
      <c r="K712" s="601"/>
      <c r="L712" s="601"/>
      <c r="M712" s="601"/>
      <c r="N712" s="601"/>
      <c r="O712" s="601"/>
      <c r="P712" s="601"/>
    </row>
    <row r="713" spans="5:16" ht="13.15" customHeight="1" x14ac:dyDescent="0.2">
      <c r="E713" s="601"/>
      <c r="F713" s="601"/>
      <c r="G713" s="601"/>
      <c r="H713" s="601"/>
      <c r="I713" s="601"/>
      <c r="J713" s="601"/>
      <c r="K713" s="601"/>
      <c r="L713" s="601"/>
      <c r="M713" s="601"/>
      <c r="N713" s="601"/>
      <c r="O713" s="601"/>
      <c r="P713" s="601"/>
    </row>
    <row r="714" spans="5:16" ht="13.15" customHeight="1" x14ac:dyDescent="0.2">
      <c r="E714" s="601"/>
      <c r="F714" s="601"/>
      <c r="G714" s="601"/>
      <c r="H714" s="601"/>
      <c r="I714" s="601"/>
      <c r="J714" s="601"/>
      <c r="K714" s="601"/>
      <c r="L714" s="601"/>
      <c r="M714" s="601"/>
      <c r="N714" s="601"/>
      <c r="O714" s="601"/>
      <c r="P714" s="601"/>
    </row>
    <row r="715" spans="5:16" ht="13.15" customHeight="1" x14ac:dyDescent="0.2">
      <c r="E715" s="601"/>
      <c r="F715" s="601"/>
      <c r="G715" s="601"/>
      <c r="H715" s="601"/>
      <c r="I715" s="601"/>
      <c r="J715" s="601"/>
      <c r="K715" s="601"/>
      <c r="L715" s="601"/>
      <c r="M715" s="601"/>
      <c r="N715" s="601"/>
      <c r="O715" s="601"/>
      <c r="P715" s="601"/>
    </row>
    <row r="716" spans="5:16" ht="13.15" customHeight="1" x14ac:dyDescent="0.2">
      <c r="E716" s="601"/>
      <c r="F716" s="601"/>
      <c r="G716" s="601"/>
      <c r="H716" s="601"/>
      <c r="I716" s="601"/>
      <c r="J716" s="601"/>
      <c r="K716" s="601"/>
      <c r="L716" s="601"/>
      <c r="M716" s="601"/>
      <c r="N716" s="601"/>
      <c r="O716" s="601"/>
      <c r="P716" s="601"/>
    </row>
    <row r="717" spans="5:16" ht="13.15" customHeight="1" x14ac:dyDescent="0.2">
      <c r="E717" s="601"/>
      <c r="F717" s="601"/>
      <c r="G717" s="601"/>
      <c r="H717" s="601"/>
      <c r="I717" s="601"/>
      <c r="J717" s="601"/>
      <c r="K717" s="601"/>
      <c r="L717" s="601"/>
      <c r="M717" s="601"/>
      <c r="N717" s="601"/>
      <c r="O717" s="601"/>
      <c r="P717" s="601"/>
    </row>
    <row r="718" spans="5:16" ht="13.15" customHeight="1" x14ac:dyDescent="0.2">
      <c r="E718" s="601"/>
      <c r="F718" s="601"/>
      <c r="G718" s="601"/>
      <c r="H718" s="601"/>
      <c r="I718" s="601"/>
      <c r="J718" s="601"/>
      <c r="K718" s="601"/>
      <c r="L718" s="601"/>
      <c r="M718" s="601"/>
      <c r="N718" s="601"/>
      <c r="O718" s="601"/>
      <c r="P718" s="601"/>
    </row>
    <row r="719" spans="5:16" ht="13.15" customHeight="1" x14ac:dyDescent="0.2">
      <c r="E719" s="601"/>
      <c r="F719" s="601"/>
      <c r="G719" s="601"/>
      <c r="H719" s="601"/>
      <c r="I719" s="601"/>
      <c r="J719" s="601"/>
      <c r="K719" s="601"/>
      <c r="L719" s="601"/>
      <c r="M719" s="601"/>
      <c r="N719" s="601"/>
      <c r="O719" s="601"/>
      <c r="P719" s="601"/>
    </row>
    <row r="720" spans="5:16" ht="13.15" customHeight="1" x14ac:dyDescent="0.2">
      <c r="E720" s="601"/>
      <c r="F720" s="601"/>
      <c r="G720" s="601"/>
      <c r="H720" s="601"/>
      <c r="I720" s="601"/>
      <c r="J720" s="601"/>
      <c r="K720" s="601"/>
      <c r="L720" s="601"/>
      <c r="M720" s="601"/>
      <c r="N720" s="601"/>
      <c r="O720" s="601"/>
      <c r="P720" s="601"/>
    </row>
    <row r="721" spans="5:16" ht="13.15" customHeight="1" x14ac:dyDescent="0.2">
      <c r="E721" s="601"/>
      <c r="F721" s="601"/>
      <c r="G721" s="601"/>
      <c r="H721" s="601"/>
      <c r="I721" s="601"/>
      <c r="J721" s="601"/>
      <c r="K721" s="601"/>
      <c r="L721" s="601"/>
      <c r="M721" s="601"/>
      <c r="N721" s="601"/>
      <c r="O721" s="601"/>
      <c r="P721" s="601"/>
    </row>
    <row r="722" spans="5:16" ht="13.15" customHeight="1" x14ac:dyDescent="0.2">
      <c r="E722" s="601"/>
      <c r="F722" s="601"/>
      <c r="G722" s="601"/>
      <c r="H722" s="601"/>
      <c r="I722" s="601"/>
      <c r="J722" s="601"/>
      <c r="K722" s="601"/>
      <c r="L722" s="601"/>
      <c r="M722" s="601"/>
      <c r="N722" s="601"/>
      <c r="O722" s="601"/>
      <c r="P722" s="601"/>
    </row>
    <row r="723" spans="5:16" ht="13.15" customHeight="1" x14ac:dyDescent="0.2">
      <c r="E723" s="601"/>
      <c r="F723" s="601"/>
      <c r="G723" s="601"/>
      <c r="H723" s="601"/>
      <c r="I723" s="601"/>
      <c r="J723" s="601"/>
      <c r="K723" s="601"/>
      <c r="L723" s="601"/>
      <c r="M723" s="601"/>
      <c r="N723" s="601"/>
      <c r="O723" s="601"/>
      <c r="P723" s="601"/>
    </row>
    <row r="724" spans="5:16" ht="13.15" customHeight="1" x14ac:dyDescent="0.2">
      <c r="E724" s="601"/>
      <c r="F724" s="601"/>
      <c r="G724" s="601"/>
      <c r="H724" s="601"/>
      <c r="I724" s="601"/>
      <c r="J724" s="601"/>
      <c r="K724" s="601"/>
      <c r="L724" s="601"/>
      <c r="M724" s="601"/>
      <c r="N724" s="601"/>
      <c r="O724" s="601"/>
      <c r="P724" s="601"/>
    </row>
    <row r="725" spans="5:16" ht="13.15" customHeight="1" x14ac:dyDescent="0.2">
      <c r="E725" s="601"/>
      <c r="F725" s="601"/>
      <c r="G725" s="601"/>
      <c r="H725" s="601"/>
      <c r="I725" s="601"/>
      <c r="J725" s="601"/>
      <c r="K725" s="601"/>
      <c r="L725" s="601"/>
      <c r="M725" s="601"/>
      <c r="N725" s="601"/>
      <c r="O725" s="601"/>
      <c r="P725" s="601"/>
    </row>
    <row r="726" spans="5:16" ht="13.15" customHeight="1" x14ac:dyDescent="0.2">
      <c r="E726" s="601"/>
      <c r="F726" s="601"/>
      <c r="G726" s="601"/>
      <c r="H726" s="601"/>
      <c r="I726" s="601"/>
      <c r="J726" s="601"/>
      <c r="K726" s="601"/>
      <c r="L726" s="601"/>
      <c r="M726" s="601"/>
      <c r="N726" s="601"/>
      <c r="O726" s="601"/>
      <c r="P726" s="601"/>
    </row>
    <row r="727" spans="5:16" ht="13.15" customHeight="1" x14ac:dyDescent="0.2">
      <c r="E727" s="601"/>
      <c r="F727" s="601"/>
      <c r="G727" s="601"/>
      <c r="H727" s="601"/>
      <c r="I727" s="601"/>
      <c r="J727" s="601"/>
      <c r="K727" s="601"/>
      <c r="L727" s="601"/>
      <c r="M727" s="601"/>
      <c r="N727" s="601"/>
      <c r="O727" s="601"/>
      <c r="P727" s="601"/>
    </row>
    <row r="728" spans="5:16" ht="13.15" customHeight="1" x14ac:dyDescent="0.2">
      <c r="E728" s="601"/>
      <c r="F728" s="601"/>
      <c r="G728" s="601"/>
      <c r="H728" s="601"/>
      <c r="I728" s="601"/>
      <c r="J728" s="601"/>
      <c r="K728" s="601"/>
      <c r="L728" s="601"/>
      <c r="M728" s="601"/>
      <c r="N728" s="601"/>
      <c r="O728" s="601"/>
      <c r="P728" s="601"/>
    </row>
    <row r="729" spans="5:16" ht="13.15" customHeight="1" x14ac:dyDescent="0.2">
      <c r="E729" s="601"/>
      <c r="F729" s="601"/>
      <c r="G729" s="601"/>
      <c r="H729" s="601"/>
      <c r="I729" s="601"/>
      <c r="J729" s="601"/>
      <c r="K729" s="601"/>
      <c r="L729" s="601"/>
      <c r="M729" s="601"/>
      <c r="N729" s="601"/>
      <c r="O729" s="601"/>
      <c r="P729" s="601"/>
    </row>
    <row r="730" spans="5:16" ht="13.15" customHeight="1" x14ac:dyDescent="0.2">
      <c r="E730" s="601"/>
      <c r="F730" s="601"/>
      <c r="G730" s="601"/>
      <c r="H730" s="601"/>
      <c r="I730" s="601"/>
      <c r="J730" s="601"/>
      <c r="K730" s="601"/>
      <c r="L730" s="601"/>
      <c r="M730" s="601"/>
      <c r="N730" s="601"/>
      <c r="O730" s="601"/>
      <c r="P730" s="601"/>
    </row>
    <row r="731" spans="5:16" ht="13.15" customHeight="1" x14ac:dyDescent="0.2">
      <c r="E731" s="601"/>
      <c r="F731" s="601"/>
      <c r="G731" s="601"/>
      <c r="H731" s="601"/>
      <c r="I731" s="601"/>
      <c r="J731" s="601"/>
      <c r="K731" s="601"/>
      <c r="L731" s="601"/>
      <c r="M731" s="601"/>
      <c r="N731" s="601"/>
      <c r="O731" s="601"/>
      <c r="P731" s="601"/>
    </row>
    <row r="732" spans="5:16" ht="13.15" customHeight="1" x14ac:dyDescent="0.2">
      <c r="E732" s="601"/>
      <c r="F732" s="601"/>
      <c r="G732" s="601"/>
      <c r="H732" s="601"/>
      <c r="I732" s="601"/>
      <c r="J732" s="601"/>
      <c r="K732" s="601"/>
      <c r="L732" s="601"/>
      <c r="M732" s="601"/>
      <c r="N732" s="601"/>
      <c r="O732" s="601"/>
      <c r="P732" s="601"/>
    </row>
    <row r="733" spans="5:16" ht="13.15" customHeight="1" x14ac:dyDescent="0.2">
      <c r="E733" s="601"/>
      <c r="F733" s="601"/>
      <c r="G733" s="601"/>
      <c r="H733" s="601"/>
      <c r="I733" s="601"/>
      <c r="J733" s="601"/>
      <c r="K733" s="601"/>
      <c r="L733" s="601"/>
      <c r="M733" s="601"/>
      <c r="N733" s="601"/>
      <c r="O733" s="601"/>
      <c r="P733" s="601"/>
    </row>
    <row r="734" spans="5:16" ht="13.15" customHeight="1" x14ac:dyDescent="0.2">
      <c r="E734" s="601"/>
      <c r="F734" s="601"/>
      <c r="G734" s="601"/>
      <c r="H734" s="601"/>
      <c r="I734" s="601"/>
      <c r="J734" s="601"/>
      <c r="K734" s="601"/>
      <c r="L734" s="601"/>
      <c r="M734" s="601"/>
      <c r="N734" s="601"/>
      <c r="O734" s="601"/>
      <c r="P734" s="601"/>
    </row>
    <row r="735" spans="5:16" ht="13.15" customHeight="1" x14ac:dyDescent="0.2">
      <c r="E735" s="601"/>
      <c r="F735" s="601"/>
      <c r="G735" s="601"/>
      <c r="H735" s="601"/>
      <c r="I735" s="601"/>
      <c r="J735" s="601"/>
      <c r="K735" s="601"/>
      <c r="L735" s="601"/>
      <c r="M735" s="601"/>
      <c r="N735" s="601"/>
      <c r="O735" s="601"/>
      <c r="P735" s="601"/>
    </row>
    <row r="736" spans="5:16" ht="13.15" customHeight="1" x14ac:dyDescent="0.2">
      <c r="E736" s="601"/>
      <c r="F736" s="601"/>
      <c r="G736" s="601"/>
      <c r="H736" s="601"/>
      <c r="I736" s="601"/>
      <c r="J736" s="601"/>
      <c r="K736" s="601"/>
      <c r="L736" s="601"/>
      <c r="M736" s="601"/>
      <c r="N736" s="601"/>
      <c r="O736" s="601"/>
      <c r="P736" s="601"/>
    </row>
    <row r="737" spans="1:16" ht="13.15" customHeight="1" x14ac:dyDescent="0.2">
      <c r="E737" s="601"/>
      <c r="F737" s="601"/>
      <c r="G737" s="601"/>
      <c r="H737" s="601"/>
      <c r="I737" s="601"/>
      <c r="J737" s="601"/>
      <c r="K737" s="601"/>
      <c r="L737" s="601"/>
      <c r="M737" s="601"/>
      <c r="N737" s="601"/>
      <c r="O737" s="601"/>
      <c r="P737" s="601"/>
    </row>
    <row r="738" spans="1:16" ht="13.15" customHeight="1" x14ac:dyDescent="0.2">
      <c r="E738" s="601"/>
      <c r="F738" s="601"/>
      <c r="G738" s="601"/>
      <c r="H738" s="601"/>
      <c r="I738" s="601"/>
      <c r="J738" s="601"/>
      <c r="K738" s="601"/>
      <c r="L738" s="601"/>
      <c r="M738" s="601"/>
      <c r="N738" s="601"/>
      <c r="O738" s="601"/>
      <c r="P738" s="601"/>
    </row>
    <row r="739" spans="1:16" ht="13.15" customHeight="1" x14ac:dyDescent="0.2">
      <c r="E739" s="601"/>
      <c r="F739" s="601"/>
      <c r="G739" s="601"/>
      <c r="H739" s="601"/>
      <c r="I739" s="601"/>
      <c r="J739" s="601"/>
      <c r="K739" s="601"/>
      <c r="L739" s="601"/>
      <c r="M739" s="601"/>
      <c r="N739" s="601"/>
      <c r="O739" s="601"/>
      <c r="P739" s="601"/>
    </row>
    <row r="740" spans="1:16" ht="13.15" customHeight="1" x14ac:dyDescent="0.2">
      <c r="E740" s="601"/>
      <c r="F740" s="601"/>
      <c r="G740" s="601"/>
      <c r="H740" s="601"/>
      <c r="I740" s="601"/>
      <c r="J740" s="601"/>
      <c r="K740" s="601"/>
      <c r="L740" s="601"/>
      <c r="M740" s="601"/>
      <c r="N740" s="601"/>
      <c r="O740" s="601"/>
      <c r="P740" s="601"/>
    </row>
    <row r="741" spans="1:16" ht="13.15" customHeight="1" x14ac:dyDescent="0.2">
      <c r="E741" s="601"/>
      <c r="F741" s="601"/>
      <c r="G741" s="601"/>
      <c r="H741" s="601"/>
      <c r="I741" s="601"/>
      <c r="J741" s="601"/>
      <c r="K741" s="601"/>
      <c r="L741" s="601"/>
      <c r="M741" s="601"/>
      <c r="N741" s="601"/>
      <c r="O741" s="601"/>
      <c r="P741" s="601"/>
    </row>
    <row r="742" spans="1:16" ht="13.15" customHeight="1" x14ac:dyDescent="0.2">
      <c r="E742" s="601"/>
      <c r="F742" s="601"/>
      <c r="G742" s="601"/>
      <c r="H742" s="601"/>
      <c r="I742" s="601"/>
      <c r="J742" s="601"/>
      <c r="K742" s="601"/>
      <c r="L742" s="601"/>
      <c r="M742" s="601"/>
      <c r="N742" s="601"/>
      <c r="O742" s="601"/>
      <c r="P742" s="601"/>
    </row>
    <row r="743" spans="1:16" ht="13.15" customHeight="1" x14ac:dyDescent="0.2">
      <c r="E743" s="601"/>
      <c r="F743" s="601"/>
      <c r="G743" s="601"/>
      <c r="H743" s="601"/>
      <c r="I743" s="601"/>
      <c r="J743" s="601"/>
      <c r="K743" s="601"/>
      <c r="L743" s="601"/>
      <c r="M743" s="601"/>
      <c r="N743" s="601"/>
      <c r="O743" s="601"/>
      <c r="P743" s="601"/>
    </row>
    <row r="744" spans="1:16" ht="13.15" customHeight="1" x14ac:dyDescent="0.2">
      <c r="A744" s="607"/>
      <c r="E744" s="601"/>
      <c r="F744" s="601"/>
      <c r="G744" s="601"/>
      <c r="H744" s="601"/>
      <c r="I744" s="601"/>
      <c r="J744" s="601"/>
      <c r="K744" s="601"/>
      <c r="L744" s="601"/>
      <c r="M744" s="601"/>
      <c r="N744" s="601"/>
      <c r="O744" s="601"/>
      <c r="P744" s="601"/>
    </row>
    <row r="745" spans="1:16" ht="13.15" customHeight="1" x14ac:dyDescent="0.2">
      <c r="A745" s="607"/>
      <c r="E745" s="601"/>
      <c r="F745" s="601"/>
      <c r="G745" s="601"/>
      <c r="H745" s="601"/>
      <c r="I745" s="601"/>
      <c r="J745" s="601"/>
      <c r="K745" s="601"/>
      <c r="L745" s="601"/>
      <c r="M745" s="601"/>
      <c r="N745" s="601"/>
      <c r="O745" s="601"/>
      <c r="P745" s="601"/>
    </row>
    <row r="746" spans="1:16" ht="13.15" customHeight="1" x14ac:dyDescent="0.2">
      <c r="A746" s="607"/>
      <c r="E746" s="601"/>
      <c r="F746" s="601"/>
      <c r="G746" s="601"/>
      <c r="H746" s="601"/>
      <c r="I746" s="601"/>
      <c r="J746" s="601"/>
      <c r="K746" s="601"/>
      <c r="L746" s="601"/>
      <c r="M746" s="601"/>
      <c r="N746" s="601"/>
      <c r="O746" s="601"/>
      <c r="P746" s="601"/>
    </row>
    <row r="747" spans="1:16" ht="13.15" customHeight="1" x14ac:dyDescent="0.2">
      <c r="E747" s="601"/>
      <c r="F747" s="601"/>
      <c r="G747" s="601"/>
      <c r="H747" s="601"/>
      <c r="I747" s="601"/>
      <c r="J747" s="601"/>
      <c r="K747" s="601"/>
      <c r="L747" s="601"/>
      <c r="M747" s="601"/>
      <c r="N747" s="601"/>
      <c r="O747" s="601"/>
      <c r="P747" s="601"/>
    </row>
    <row r="748" spans="1:16" ht="13.15" customHeight="1" x14ac:dyDescent="0.2">
      <c r="E748" s="601"/>
      <c r="F748" s="601"/>
      <c r="G748" s="601"/>
      <c r="H748" s="601"/>
      <c r="I748" s="601"/>
      <c r="J748" s="601"/>
      <c r="K748" s="601"/>
      <c r="L748" s="601"/>
      <c r="M748" s="601"/>
      <c r="N748" s="601"/>
      <c r="O748" s="601"/>
      <c r="P748" s="601"/>
    </row>
    <row r="749" spans="1:16" ht="13.15" customHeight="1" x14ac:dyDescent="0.2">
      <c r="A749" s="609"/>
      <c r="E749" s="601"/>
      <c r="F749" s="601"/>
      <c r="G749" s="601"/>
      <c r="H749" s="601"/>
      <c r="I749" s="601"/>
      <c r="J749" s="601"/>
      <c r="K749" s="601"/>
      <c r="L749" s="601"/>
      <c r="M749" s="601"/>
      <c r="N749" s="601"/>
      <c r="O749" s="601"/>
      <c r="P749" s="601"/>
    </row>
    <row r="750" spans="1:16" ht="13.15" customHeight="1" x14ac:dyDescent="0.2">
      <c r="A750" s="615"/>
      <c r="E750" s="601"/>
      <c r="F750" s="601"/>
      <c r="G750" s="601"/>
      <c r="H750" s="601"/>
      <c r="I750" s="601"/>
      <c r="J750" s="601"/>
      <c r="K750" s="601"/>
      <c r="L750" s="601"/>
      <c r="M750" s="601"/>
      <c r="N750" s="601"/>
      <c r="O750" s="601"/>
      <c r="P750" s="601"/>
    </row>
    <row r="751" spans="1:16" ht="13.15" customHeight="1" x14ac:dyDescent="0.2">
      <c r="A751" s="607"/>
      <c r="E751" s="601"/>
      <c r="F751" s="601"/>
      <c r="G751" s="601"/>
      <c r="H751" s="601"/>
      <c r="I751" s="601"/>
      <c r="J751" s="601"/>
      <c r="K751" s="601"/>
      <c r="L751" s="601"/>
      <c r="M751" s="601"/>
      <c r="N751" s="601"/>
      <c r="O751" s="601"/>
      <c r="P751" s="601"/>
    </row>
    <row r="752" spans="1:16" ht="13.15" customHeight="1" x14ac:dyDescent="0.2">
      <c r="E752" s="601"/>
      <c r="F752" s="601"/>
      <c r="G752" s="601"/>
      <c r="H752" s="601"/>
      <c r="I752" s="601"/>
      <c r="J752" s="601"/>
      <c r="K752" s="601"/>
      <c r="L752" s="601"/>
      <c r="M752" s="601"/>
      <c r="N752" s="601"/>
      <c r="O752" s="601"/>
      <c r="P752" s="601"/>
    </row>
    <row r="753" spans="5:16" ht="13.15" customHeight="1" x14ac:dyDescent="0.2">
      <c r="E753" s="601"/>
      <c r="F753" s="601"/>
      <c r="G753" s="601"/>
      <c r="H753" s="601"/>
      <c r="I753" s="601"/>
      <c r="J753" s="601"/>
      <c r="K753" s="601"/>
      <c r="L753" s="601"/>
      <c r="M753" s="601"/>
      <c r="N753" s="601"/>
      <c r="O753" s="601"/>
      <c r="P753" s="601"/>
    </row>
    <row r="754" spans="5:16" ht="13.15" customHeight="1" x14ac:dyDescent="0.2">
      <c r="E754" s="601"/>
      <c r="F754" s="601"/>
      <c r="G754" s="601"/>
      <c r="H754" s="601"/>
      <c r="I754" s="601"/>
      <c r="J754" s="601"/>
      <c r="K754" s="601"/>
      <c r="L754" s="601"/>
      <c r="M754" s="601"/>
      <c r="N754" s="601"/>
      <c r="O754" s="601"/>
      <c r="P754" s="601"/>
    </row>
    <row r="755" spans="5:16" ht="13.15" customHeight="1" x14ac:dyDescent="0.2">
      <c r="E755" s="601"/>
      <c r="F755" s="601"/>
      <c r="G755" s="601"/>
      <c r="H755" s="601"/>
      <c r="I755" s="601"/>
      <c r="J755" s="601"/>
      <c r="K755" s="601"/>
      <c r="L755" s="601"/>
      <c r="M755" s="601"/>
      <c r="N755" s="601"/>
      <c r="O755" s="601"/>
      <c r="P755" s="601"/>
    </row>
    <row r="756" spans="5:16" ht="13.15" customHeight="1" x14ac:dyDescent="0.2">
      <c r="E756" s="601"/>
      <c r="F756" s="601"/>
      <c r="G756" s="601"/>
      <c r="H756" s="601"/>
      <c r="I756" s="601"/>
      <c r="J756" s="601"/>
      <c r="K756" s="601"/>
      <c r="L756" s="601"/>
      <c r="M756" s="601"/>
      <c r="N756" s="601"/>
      <c r="O756" s="601"/>
      <c r="P756" s="601"/>
    </row>
    <row r="757" spans="5:16" ht="13.15" customHeight="1" x14ac:dyDescent="0.2">
      <c r="E757" s="601"/>
      <c r="F757" s="601"/>
      <c r="G757" s="601"/>
      <c r="H757" s="601"/>
      <c r="I757" s="601"/>
      <c r="J757" s="601"/>
      <c r="K757" s="601"/>
      <c r="L757" s="601"/>
      <c r="M757" s="601"/>
      <c r="N757" s="601"/>
      <c r="O757" s="601"/>
      <c r="P757" s="601"/>
    </row>
    <row r="758" spans="5:16" ht="13.15" customHeight="1" x14ac:dyDescent="0.2">
      <c r="E758" s="601"/>
      <c r="F758" s="601"/>
      <c r="G758" s="601"/>
      <c r="H758" s="601"/>
      <c r="I758" s="601"/>
      <c r="J758" s="601"/>
      <c r="K758" s="601"/>
      <c r="L758" s="601"/>
      <c r="M758" s="601"/>
      <c r="N758" s="601"/>
      <c r="O758" s="601"/>
      <c r="P758" s="601"/>
    </row>
    <row r="759" spans="5:16" ht="13.15" customHeight="1" x14ac:dyDescent="0.2">
      <c r="E759" s="601"/>
      <c r="F759" s="601"/>
      <c r="G759" s="601"/>
      <c r="H759" s="601"/>
      <c r="I759" s="601"/>
      <c r="J759" s="601"/>
      <c r="K759" s="601"/>
      <c r="L759" s="601"/>
      <c r="M759" s="601"/>
      <c r="N759" s="601"/>
      <c r="O759" s="601"/>
      <c r="P759" s="601"/>
    </row>
    <row r="760" spans="5:16" ht="13.15" customHeight="1" x14ac:dyDescent="0.2">
      <c r="E760" s="601"/>
      <c r="F760" s="601"/>
      <c r="G760" s="601"/>
      <c r="H760" s="601"/>
      <c r="I760" s="601"/>
      <c r="J760" s="601"/>
      <c r="K760" s="601"/>
      <c r="L760" s="601"/>
      <c r="M760" s="601"/>
      <c r="N760" s="601"/>
      <c r="O760" s="601"/>
      <c r="P760" s="601"/>
    </row>
    <row r="761" spans="5:16" ht="13.15" customHeight="1" x14ac:dyDescent="0.2">
      <c r="E761" s="601"/>
      <c r="F761" s="601"/>
      <c r="G761" s="601"/>
      <c r="H761" s="601"/>
      <c r="I761" s="601"/>
      <c r="J761" s="601"/>
      <c r="K761" s="601"/>
      <c r="L761" s="601"/>
      <c r="M761" s="601"/>
      <c r="N761" s="601"/>
      <c r="O761" s="601"/>
      <c r="P761" s="601"/>
    </row>
    <row r="762" spans="5:16" ht="13.15" customHeight="1" x14ac:dyDescent="0.2">
      <c r="E762" s="601"/>
      <c r="F762" s="601"/>
      <c r="G762" s="601"/>
      <c r="H762" s="601"/>
      <c r="I762" s="601"/>
      <c r="J762" s="601"/>
      <c r="K762" s="601"/>
      <c r="L762" s="601"/>
      <c r="M762" s="601"/>
      <c r="N762" s="601"/>
      <c r="O762" s="601"/>
      <c r="P762" s="601"/>
    </row>
    <row r="763" spans="5:16" ht="13.15" customHeight="1" x14ac:dyDescent="0.2">
      <c r="E763" s="601"/>
      <c r="F763" s="601"/>
      <c r="G763" s="601"/>
      <c r="H763" s="601"/>
      <c r="I763" s="601"/>
      <c r="J763" s="601"/>
      <c r="K763" s="601"/>
      <c r="L763" s="601"/>
      <c r="M763" s="601"/>
      <c r="N763" s="601"/>
      <c r="O763" s="601"/>
      <c r="P763" s="601"/>
    </row>
    <row r="764" spans="5:16" ht="13.15" customHeight="1" x14ac:dyDescent="0.2">
      <c r="E764" s="601"/>
      <c r="F764" s="601"/>
      <c r="G764" s="601"/>
      <c r="H764" s="601"/>
      <c r="I764" s="601"/>
      <c r="J764" s="601"/>
      <c r="K764" s="601"/>
      <c r="L764" s="601"/>
      <c r="M764" s="601"/>
      <c r="N764" s="601"/>
      <c r="O764" s="601"/>
      <c r="P764" s="601"/>
    </row>
    <row r="765" spans="5:16" ht="13.15" customHeight="1" x14ac:dyDescent="0.2">
      <c r="E765" s="601"/>
      <c r="F765" s="601"/>
      <c r="G765" s="601"/>
      <c r="H765" s="601"/>
      <c r="I765" s="601"/>
      <c r="J765" s="601"/>
      <c r="K765" s="601"/>
      <c r="L765" s="601"/>
      <c r="M765" s="601"/>
      <c r="N765" s="601"/>
      <c r="O765" s="601"/>
      <c r="P765" s="601"/>
    </row>
    <row r="766" spans="5:16" ht="13.15" customHeight="1" x14ac:dyDescent="0.2">
      <c r="E766" s="601"/>
      <c r="F766" s="601"/>
      <c r="G766" s="601"/>
      <c r="H766" s="601"/>
      <c r="I766" s="601"/>
      <c r="J766" s="601"/>
      <c r="K766" s="601"/>
      <c r="L766" s="601"/>
      <c r="M766" s="601"/>
      <c r="N766" s="601"/>
      <c r="O766" s="601"/>
      <c r="P766" s="601"/>
    </row>
    <row r="767" spans="5:16" ht="13.15" customHeight="1" x14ac:dyDescent="0.2">
      <c r="E767" s="601"/>
      <c r="F767" s="601"/>
      <c r="G767" s="601"/>
      <c r="H767" s="601"/>
      <c r="I767" s="601"/>
      <c r="J767" s="601"/>
      <c r="K767" s="601"/>
      <c r="L767" s="601"/>
      <c r="M767" s="601"/>
      <c r="N767" s="601"/>
      <c r="O767" s="601"/>
      <c r="P767" s="601"/>
    </row>
    <row r="768" spans="5:16" ht="13.15" customHeight="1" x14ac:dyDescent="0.2">
      <c r="E768" s="601"/>
      <c r="F768" s="601"/>
      <c r="G768" s="601"/>
      <c r="H768" s="601"/>
      <c r="I768" s="601"/>
      <c r="J768" s="601"/>
      <c r="K768" s="601"/>
      <c r="L768" s="601"/>
      <c r="M768" s="601"/>
      <c r="N768" s="601"/>
      <c r="O768" s="601"/>
      <c r="P768" s="601"/>
    </row>
    <row r="769" spans="5:16" ht="13.15" customHeight="1" x14ac:dyDescent="0.2">
      <c r="E769" s="601"/>
      <c r="F769" s="601"/>
      <c r="G769" s="601"/>
      <c r="H769" s="601"/>
      <c r="I769" s="601"/>
      <c r="J769" s="601"/>
      <c r="K769" s="601"/>
      <c r="L769" s="601"/>
      <c r="M769" s="601"/>
      <c r="N769" s="601"/>
      <c r="O769" s="601"/>
      <c r="P769" s="601"/>
    </row>
    <row r="770" spans="5:16" ht="13.15" customHeight="1" x14ac:dyDescent="0.2">
      <c r="E770" s="601"/>
      <c r="F770" s="601"/>
      <c r="G770" s="601"/>
      <c r="H770" s="601"/>
      <c r="I770" s="601"/>
      <c r="J770" s="601"/>
      <c r="K770" s="601"/>
      <c r="L770" s="601"/>
      <c r="M770" s="601"/>
      <c r="N770" s="601"/>
      <c r="O770" s="601"/>
      <c r="P770" s="601"/>
    </row>
    <row r="771" spans="5:16" ht="13.15" customHeight="1" x14ac:dyDescent="0.2">
      <c r="E771" s="601"/>
      <c r="F771" s="601"/>
      <c r="G771" s="601"/>
      <c r="H771" s="601"/>
      <c r="I771" s="601"/>
      <c r="J771" s="601"/>
      <c r="K771" s="601"/>
      <c r="L771" s="601"/>
      <c r="M771" s="601"/>
      <c r="N771" s="601"/>
      <c r="O771" s="601"/>
      <c r="P771" s="601"/>
    </row>
    <row r="772" spans="5:16" ht="13.15" customHeight="1" x14ac:dyDescent="0.2">
      <c r="E772" s="601"/>
      <c r="F772" s="601"/>
      <c r="G772" s="601"/>
      <c r="H772" s="601"/>
      <c r="I772" s="601"/>
      <c r="J772" s="601"/>
      <c r="K772" s="601"/>
      <c r="L772" s="601"/>
      <c r="M772" s="601"/>
      <c r="N772" s="601"/>
      <c r="O772" s="601"/>
      <c r="P772" s="601"/>
    </row>
    <row r="773" spans="5:16" ht="13.15" customHeight="1" x14ac:dyDescent="0.2">
      <c r="E773" s="601"/>
      <c r="F773" s="601"/>
      <c r="G773" s="601"/>
      <c r="H773" s="601"/>
      <c r="I773" s="601"/>
      <c r="J773" s="601"/>
      <c r="K773" s="601"/>
      <c r="L773" s="601"/>
      <c r="M773" s="601"/>
      <c r="N773" s="601"/>
      <c r="O773" s="601"/>
      <c r="P773" s="601"/>
    </row>
    <row r="774" spans="5:16" ht="13.15" customHeight="1" x14ac:dyDescent="0.2">
      <c r="E774" s="601"/>
      <c r="F774" s="601"/>
      <c r="G774" s="601"/>
      <c r="H774" s="601"/>
      <c r="I774" s="601"/>
      <c r="J774" s="601"/>
      <c r="K774" s="601"/>
      <c r="L774" s="601"/>
      <c r="M774" s="601"/>
      <c r="N774" s="601"/>
      <c r="O774" s="601"/>
      <c r="P774" s="601"/>
    </row>
    <row r="775" spans="5:16" ht="13.15" customHeight="1" x14ac:dyDescent="0.2">
      <c r="E775" s="601"/>
      <c r="F775" s="601"/>
      <c r="G775" s="601"/>
      <c r="H775" s="601"/>
      <c r="I775" s="601"/>
      <c r="J775" s="601"/>
      <c r="K775" s="601"/>
      <c r="L775" s="601"/>
      <c r="M775" s="601"/>
      <c r="N775" s="601"/>
      <c r="O775" s="601"/>
      <c r="P775" s="601"/>
    </row>
    <row r="776" spans="5:16" ht="13.15" customHeight="1" x14ac:dyDescent="0.2">
      <c r="E776" s="601"/>
      <c r="F776" s="601"/>
      <c r="G776" s="601"/>
      <c r="H776" s="601"/>
      <c r="I776" s="601"/>
      <c r="J776" s="601"/>
      <c r="K776" s="601"/>
      <c r="L776" s="601"/>
      <c r="M776" s="601"/>
      <c r="N776" s="601"/>
      <c r="O776" s="601"/>
      <c r="P776" s="601"/>
    </row>
    <row r="777" spans="5:16" ht="13.15" customHeight="1" x14ac:dyDescent="0.2">
      <c r="E777" s="601"/>
      <c r="F777" s="601"/>
      <c r="G777" s="601"/>
      <c r="H777" s="601"/>
      <c r="I777" s="601"/>
      <c r="J777" s="601"/>
      <c r="K777" s="601"/>
      <c r="L777" s="601"/>
      <c r="M777" s="601"/>
      <c r="N777" s="601"/>
      <c r="O777" s="601"/>
      <c r="P777" s="601"/>
    </row>
    <row r="778" spans="5:16" ht="13.15" customHeight="1" x14ac:dyDescent="0.2">
      <c r="E778" s="601"/>
      <c r="F778" s="601"/>
      <c r="G778" s="601"/>
      <c r="H778" s="601"/>
      <c r="I778" s="601"/>
      <c r="J778" s="601"/>
      <c r="K778" s="601"/>
      <c r="L778" s="601"/>
      <c r="M778" s="601"/>
      <c r="N778" s="601"/>
      <c r="O778" s="601"/>
      <c r="P778" s="601"/>
    </row>
    <row r="779" spans="5:16" ht="13.15" customHeight="1" x14ac:dyDescent="0.2">
      <c r="E779" s="601"/>
      <c r="F779" s="601"/>
      <c r="G779" s="601"/>
      <c r="H779" s="601"/>
      <c r="I779" s="601"/>
      <c r="J779" s="601"/>
      <c r="K779" s="601"/>
      <c r="L779" s="601"/>
      <c r="M779" s="601"/>
      <c r="N779" s="601"/>
      <c r="O779" s="601"/>
      <c r="P779" s="601"/>
    </row>
    <row r="780" spans="5:16" ht="13.15" customHeight="1" x14ac:dyDescent="0.2">
      <c r="E780" s="601"/>
      <c r="F780" s="601"/>
      <c r="G780" s="601"/>
      <c r="H780" s="601"/>
      <c r="I780" s="601"/>
      <c r="J780" s="601"/>
      <c r="K780" s="601"/>
      <c r="L780" s="601"/>
      <c r="M780" s="601"/>
      <c r="N780" s="601"/>
      <c r="O780" s="601"/>
      <c r="P780" s="601"/>
    </row>
    <row r="781" spans="5:16" ht="13.15" customHeight="1" x14ac:dyDescent="0.2">
      <c r="E781" s="601"/>
      <c r="F781" s="601"/>
      <c r="G781" s="601"/>
      <c r="H781" s="601"/>
      <c r="I781" s="601"/>
      <c r="J781" s="601"/>
      <c r="K781" s="601"/>
      <c r="L781" s="601"/>
      <c r="M781" s="601"/>
      <c r="N781" s="601"/>
      <c r="O781" s="601"/>
      <c r="P781" s="601"/>
    </row>
    <row r="782" spans="5:16" ht="13.15" customHeight="1" x14ac:dyDescent="0.2">
      <c r="E782" s="601"/>
      <c r="F782" s="601"/>
      <c r="G782" s="601"/>
      <c r="H782" s="601"/>
      <c r="I782" s="601"/>
      <c r="J782" s="601"/>
      <c r="K782" s="601"/>
      <c r="L782" s="601"/>
      <c r="M782" s="601"/>
      <c r="N782" s="601"/>
      <c r="O782" s="601"/>
      <c r="P782" s="601"/>
    </row>
    <row r="783" spans="5:16" ht="13.15" customHeight="1" x14ac:dyDescent="0.2">
      <c r="E783" s="601"/>
      <c r="F783" s="601"/>
      <c r="G783" s="601"/>
      <c r="H783" s="601"/>
      <c r="I783" s="601"/>
      <c r="J783" s="601"/>
      <c r="K783" s="601"/>
      <c r="L783" s="601"/>
      <c r="M783" s="601"/>
      <c r="N783" s="601"/>
      <c r="O783" s="601"/>
      <c r="P783" s="601"/>
    </row>
    <row r="784" spans="5:16" ht="13.15" customHeight="1" x14ac:dyDescent="0.2">
      <c r="E784" s="601"/>
      <c r="F784" s="601"/>
      <c r="G784" s="601"/>
      <c r="H784" s="601"/>
      <c r="I784" s="601"/>
      <c r="J784" s="601"/>
      <c r="K784" s="601"/>
      <c r="L784" s="601"/>
      <c r="M784" s="601"/>
      <c r="N784" s="601"/>
      <c r="O784" s="601"/>
      <c r="P784" s="601"/>
    </row>
    <row r="785" spans="5:16" ht="13.15" customHeight="1" x14ac:dyDescent="0.2">
      <c r="E785" s="601"/>
      <c r="F785" s="601"/>
      <c r="G785" s="601"/>
      <c r="H785" s="601"/>
      <c r="I785" s="601"/>
      <c r="J785" s="601"/>
      <c r="K785" s="601"/>
      <c r="L785" s="601"/>
      <c r="M785" s="601"/>
      <c r="N785" s="601"/>
      <c r="O785" s="601"/>
      <c r="P785" s="601"/>
    </row>
    <row r="786" spans="5:16" ht="13.15" customHeight="1" x14ac:dyDescent="0.2">
      <c r="E786" s="601"/>
      <c r="F786" s="601"/>
      <c r="G786" s="601"/>
      <c r="H786" s="601"/>
      <c r="I786" s="601"/>
      <c r="J786" s="601"/>
      <c r="K786" s="601"/>
      <c r="L786" s="601"/>
      <c r="M786" s="601"/>
      <c r="N786" s="601"/>
      <c r="O786" s="601"/>
      <c r="P786" s="601"/>
    </row>
    <row r="787" spans="5:16" ht="13.15" customHeight="1" x14ac:dyDescent="0.2">
      <c r="E787" s="601"/>
      <c r="F787" s="601"/>
      <c r="G787" s="601"/>
      <c r="H787" s="601"/>
      <c r="I787" s="601"/>
      <c r="J787" s="601"/>
      <c r="K787" s="601"/>
      <c r="L787" s="601"/>
      <c r="M787" s="601"/>
      <c r="N787" s="601"/>
      <c r="O787" s="601"/>
      <c r="P787" s="601"/>
    </row>
    <row r="788" spans="5:16" ht="13.15" customHeight="1" x14ac:dyDescent="0.2">
      <c r="E788" s="601"/>
      <c r="F788" s="601"/>
      <c r="G788" s="601"/>
      <c r="H788" s="601"/>
      <c r="I788" s="601"/>
      <c r="J788" s="601"/>
      <c r="K788" s="601"/>
      <c r="L788" s="601"/>
      <c r="M788" s="601"/>
      <c r="N788" s="601"/>
      <c r="O788" s="601"/>
      <c r="P788" s="601"/>
    </row>
    <row r="789" spans="5:16" ht="13.15" customHeight="1" x14ac:dyDescent="0.2">
      <c r="E789" s="601"/>
      <c r="F789" s="601"/>
      <c r="G789" s="601"/>
      <c r="H789" s="601"/>
      <c r="I789" s="601"/>
      <c r="J789" s="601"/>
      <c r="K789" s="601"/>
      <c r="L789" s="601"/>
      <c r="M789" s="601"/>
      <c r="N789" s="601"/>
      <c r="O789" s="601"/>
      <c r="P789" s="601"/>
    </row>
    <row r="790" spans="5:16" ht="13.15" customHeight="1" x14ac:dyDescent="0.2">
      <c r="E790" s="601"/>
      <c r="F790" s="601"/>
      <c r="G790" s="601"/>
      <c r="H790" s="601"/>
      <c r="I790" s="601"/>
      <c r="J790" s="601"/>
      <c r="K790" s="601"/>
      <c r="L790" s="601"/>
      <c r="M790" s="601"/>
      <c r="N790" s="601"/>
      <c r="O790" s="601"/>
      <c r="P790" s="601"/>
    </row>
    <row r="791" spans="5:16" ht="13.15" customHeight="1" x14ac:dyDescent="0.2">
      <c r="E791" s="601"/>
      <c r="F791" s="601"/>
      <c r="G791" s="601"/>
      <c r="H791" s="601"/>
      <c r="I791" s="601"/>
      <c r="J791" s="601"/>
      <c r="K791" s="601"/>
      <c r="L791" s="601"/>
      <c r="M791" s="601"/>
      <c r="N791" s="601"/>
      <c r="O791" s="601"/>
      <c r="P791" s="601"/>
    </row>
    <row r="792" spans="5:16" ht="13.15" customHeight="1" x14ac:dyDescent="0.2">
      <c r="E792" s="601"/>
      <c r="F792" s="601"/>
      <c r="G792" s="601"/>
      <c r="H792" s="601"/>
      <c r="I792" s="601"/>
      <c r="J792" s="601"/>
      <c r="K792" s="601"/>
      <c r="L792" s="601"/>
      <c r="M792" s="601"/>
      <c r="N792" s="601"/>
      <c r="O792" s="601"/>
      <c r="P792" s="601"/>
    </row>
    <row r="793" spans="5:16" ht="13.15" customHeight="1" x14ac:dyDescent="0.2">
      <c r="E793" s="601"/>
      <c r="F793" s="601"/>
      <c r="G793" s="601"/>
      <c r="H793" s="601"/>
      <c r="I793" s="601"/>
      <c r="J793" s="601"/>
      <c r="K793" s="601"/>
      <c r="L793" s="601"/>
      <c r="M793" s="601"/>
      <c r="N793" s="601"/>
      <c r="O793" s="601"/>
      <c r="P793" s="601"/>
    </row>
    <row r="794" spans="5:16" ht="13.15" customHeight="1" x14ac:dyDescent="0.2">
      <c r="E794" s="601"/>
      <c r="F794" s="601"/>
      <c r="G794" s="601"/>
      <c r="H794" s="601"/>
      <c r="I794" s="601"/>
      <c r="J794" s="601"/>
      <c r="K794" s="601"/>
      <c r="L794" s="601"/>
      <c r="M794" s="601"/>
      <c r="N794" s="601"/>
      <c r="O794" s="601"/>
      <c r="P794" s="601"/>
    </row>
    <row r="795" spans="5:16" ht="13.15" customHeight="1" x14ac:dyDescent="0.2">
      <c r="E795" s="601"/>
      <c r="F795" s="601"/>
      <c r="G795" s="601"/>
      <c r="H795" s="601"/>
      <c r="I795" s="601"/>
      <c r="J795" s="601"/>
      <c r="K795" s="601"/>
      <c r="L795" s="601"/>
      <c r="M795" s="601"/>
      <c r="N795" s="601"/>
      <c r="O795" s="601"/>
      <c r="P795" s="601"/>
    </row>
    <row r="796" spans="5:16" ht="13.15" customHeight="1" x14ac:dyDescent="0.2">
      <c r="E796" s="601"/>
      <c r="F796" s="601"/>
      <c r="G796" s="601"/>
      <c r="H796" s="601"/>
      <c r="I796" s="601"/>
      <c r="J796" s="601"/>
      <c r="K796" s="601"/>
      <c r="L796" s="601"/>
      <c r="M796" s="601"/>
      <c r="N796" s="601"/>
      <c r="O796" s="601"/>
      <c r="P796" s="601"/>
    </row>
    <row r="797" spans="5:16" ht="13.15" customHeight="1" x14ac:dyDescent="0.2">
      <c r="E797" s="601"/>
      <c r="F797" s="601"/>
      <c r="G797" s="601"/>
      <c r="H797" s="601"/>
      <c r="I797" s="601"/>
      <c r="J797" s="601"/>
      <c r="K797" s="601"/>
      <c r="L797" s="601"/>
      <c r="M797" s="601"/>
      <c r="N797" s="601"/>
      <c r="O797" s="601"/>
      <c r="P797" s="601"/>
    </row>
    <row r="798" spans="5:16" ht="13.15" customHeight="1" x14ac:dyDescent="0.2">
      <c r="E798" s="601"/>
      <c r="F798" s="601"/>
      <c r="G798" s="601"/>
      <c r="H798" s="601"/>
      <c r="I798" s="601"/>
      <c r="J798" s="601"/>
      <c r="K798" s="601"/>
      <c r="L798" s="601"/>
      <c r="M798" s="601"/>
      <c r="N798" s="601"/>
      <c r="O798" s="601"/>
      <c r="P798" s="601"/>
    </row>
    <row r="799" spans="5:16" ht="13.15" customHeight="1" x14ac:dyDescent="0.2">
      <c r="E799" s="601"/>
      <c r="F799" s="601"/>
      <c r="G799" s="601"/>
      <c r="H799" s="601"/>
      <c r="I799" s="601"/>
      <c r="J799" s="601"/>
      <c r="K799" s="601"/>
      <c r="L799" s="601"/>
      <c r="M799" s="601"/>
      <c r="N799" s="601"/>
      <c r="O799" s="601"/>
      <c r="P799" s="601"/>
    </row>
    <row r="800" spans="5:16" ht="13.15" customHeight="1" x14ac:dyDescent="0.2">
      <c r="E800" s="601"/>
      <c r="F800" s="601"/>
      <c r="G800" s="601"/>
      <c r="H800" s="601"/>
      <c r="I800" s="601"/>
      <c r="J800" s="601"/>
      <c r="K800" s="601"/>
      <c r="L800" s="601"/>
      <c r="M800" s="601"/>
      <c r="N800" s="601"/>
      <c r="O800" s="601"/>
      <c r="P800" s="601"/>
    </row>
    <row r="801" spans="5:16" ht="13.15" customHeight="1" x14ac:dyDescent="0.2">
      <c r="E801" s="601"/>
      <c r="F801" s="601"/>
      <c r="G801" s="601"/>
      <c r="H801" s="601"/>
      <c r="I801" s="601"/>
      <c r="J801" s="601"/>
      <c r="K801" s="601"/>
      <c r="L801" s="601"/>
      <c r="M801" s="601"/>
      <c r="N801" s="601"/>
      <c r="O801" s="601"/>
      <c r="P801" s="601"/>
    </row>
    <row r="802" spans="5:16" ht="13.15" customHeight="1" x14ac:dyDescent="0.2">
      <c r="E802" s="601"/>
      <c r="F802" s="601"/>
      <c r="G802" s="601"/>
      <c r="H802" s="601"/>
      <c r="I802" s="601"/>
      <c r="J802" s="601"/>
      <c r="K802" s="601"/>
      <c r="L802" s="601"/>
      <c r="M802" s="601"/>
      <c r="N802" s="601"/>
      <c r="O802" s="601"/>
      <c r="P802" s="601"/>
    </row>
    <row r="803" spans="5:16" ht="13.15" customHeight="1" x14ac:dyDescent="0.2">
      <c r="E803" s="601"/>
      <c r="F803" s="601"/>
      <c r="G803" s="601"/>
      <c r="H803" s="601"/>
      <c r="I803" s="601"/>
      <c r="J803" s="601"/>
      <c r="K803" s="601"/>
      <c r="L803" s="601"/>
      <c r="M803" s="601"/>
      <c r="N803" s="601"/>
      <c r="O803" s="601"/>
      <c r="P803" s="601"/>
    </row>
    <row r="804" spans="5:16" ht="13.15" customHeight="1" x14ac:dyDescent="0.2">
      <c r="E804" s="601"/>
      <c r="F804" s="601"/>
      <c r="G804" s="601"/>
      <c r="H804" s="601"/>
      <c r="I804" s="601"/>
      <c r="J804" s="601"/>
      <c r="K804" s="601"/>
      <c r="L804" s="601"/>
      <c r="M804" s="601"/>
      <c r="N804" s="601"/>
      <c r="O804" s="601"/>
      <c r="P804" s="601"/>
    </row>
    <row r="805" spans="5:16" ht="13.15" customHeight="1" x14ac:dyDescent="0.2">
      <c r="E805" s="601"/>
      <c r="F805" s="601"/>
      <c r="G805" s="601"/>
      <c r="H805" s="601"/>
      <c r="I805" s="601"/>
      <c r="J805" s="601"/>
      <c r="K805" s="601"/>
      <c r="L805" s="601"/>
      <c r="M805" s="601"/>
      <c r="N805" s="601"/>
      <c r="O805" s="601"/>
      <c r="P805" s="601"/>
    </row>
    <row r="806" spans="5:16" ht="13.15" customHeight="1" x14ac:dyDescent="0.2">
      <c r="E806" s="601"/>
      <c r="F806" s="601"/>
      <c r="G806" s="601"/>
      <c r="H806" s="601"/>
      <c r="I806" s="601"/>
      <c r="J806" s="601"/>
      <c r="K806" s="601"/>
      <c r="L806" s="601"/>
      <c r="M806" s="601"/>
      <c r="N806" s="601"/>
      <c r="O806" s="601"/>
      <c r="P806" s="601"/>
    </row>
    <row r="807" spans="5:16" ht="13.15" customHeight="1" x14ac:dyDescent="0.2">
      <c r="E807" s="601"/>
      <c r="F807" s="601"/>
      <c r="G807" s="601"/>
      <c r="H807" s="601"/>
      <c r="I807" s="601"/>
      <c r="J807" s="601"/>
      <c r="K807" s="601"/>
      <c r="L807" s="601"/>
      <c r="M807" s="601"/>
      <c r="N807" s="601"/>
      <c r="O807" s="601"/>
      <c r="P807" s="601"/>
    </row>
    <row r="808" spans="5:16" ht="13.15" customHeight="1" x14ac:dyDescent="0.2">
      <c r="E808" s="601"/>
      <c r="F808" s="601"/>
      <c r="G808" s="601"/>
      <c r="H808" s="601"/>
      <c r="I808" s="601"/>
      <c r="J808" s="601"/>
      <c r="K808" s="601"/>
      <c r="L808" s="601"/>
      <c r="M808" s="601"/>
      <c r="N808" s="601"/>
      <c r="O808" s="601"/>
      <c r="P808" s="601"/>
    </row>
    <row r="809" spans="5:16" ht="13.15" customHeight="1" x14ac:dyDescent="0.2">
      <c r="E809" s="601"/>
      <c r="F809" s="601"/>
      <c r="G809" s="601"/>
      <c r="H809" s="601"/>
      <c r="I809" s="601"/>
      <c r="J809" s="601"/>
      <c r="K809" s="601"/>
      <c r="L809" s="601"/>
      <c r="M809" s="601"/>
      <c r="N809" s="601"/>
      <c r="O809" s="601"/>
      <c r="P809" s="601"/>
    </row>
    <row r="810" spans="5:16" ht="13.15" customHeight="1" x14ac:dyDescent="0.2">
      <c r="E810" s="601"/>
      <c r="F810" s="601"/>
      <c r="G810" s="601"/>
      <c r="H810" s="601"/>
      <c r="I810" s="601"/>
      <c r="J810" s="601"/>
      <c r="K810" s="601"/>
      <c r="L810" s="601"/>
      <c r="M810" s="601"/>
      <c r="N810" s="601"/>
      <c r="O810" s="601"/>
      <c r="P810" s="601"/>
    </row>
    <row r="811" spans="5:16" ht="13.15" customHeight="1" x14ac:dyDescent="0.2">
      <c r="E811" s="601"/>
      <c r="F811" s="601"/>
      <c r="G811" s="601"/>
      <c r="H811" s="601"/>
      <c r="I811" s="601"/>
      <c r="J811" s="601"/>
      <c r="K811" s="601"/>
      <c r="L811" s="601"/>
      <c r="M811" s="601"/>
      <c r="N811" s="601"/>
      <c r="O811" s="601"/>
      <c r="P811" s="601"/>
    </row>
    <row r="812" spans="5:16" ht="13.15" customHeight="1" x14ac:dyDescent="0.2">
      <c r="E812" s="601"/>
      <c r="F812" s="601"/>
      <c r="G812" s="601"/>
      <c r="H812" s="601"/>
      <c r="I812" s="601"/>
      <c r="J812" s="601"/>
      <c r="K812" s="601"/>
      <c r="L812" s="601"/>
      <c r="M812" s="601"/>
      <c r="N812" s="601"/>
      <c r="O812" s="601"/>
      <c r="P812" s="601"/>
    </row>
    <row r="813" spans="5:16" ht="13.15" customHeight="1" x14ac:dyDescent="0.2">
      <c r="E813" s="601"/>
      <c r="F813" s="601"/>
      <c r="G813" s="601"/>
      <c r="H813" s="601"/>
      <c r="I813" s="601"/>
      <c r="J813" s="601"/>
      <c r="K813" s="601"/>
      <c r="L813" s="601"/>
      <c r="M813" s="601"/>
      <c r="N813" s="601"/>
      <c r="O813" s="601"/>
      <c r="P813" s="601"/>
    </row>
    <row r="814" spans="5:16" ht="13.15" customHeight="1" x14ac:dyDescent="0.2">
      <c r="E814" s="601"/>
      <c r="F814" s="601"/>
      <c r="G814" s="601"/>
      <c r="H814" s="601"/>
      <c r="I814" s="601"/>
      <c r="J814" s="601"/>
      <c r="K814" s="601"/>
      <c r="L814" s="601"/>
      <c r="M814" s="601"/>
      <c r="N814" s="601"/>
      <c r="O814" s="601"/>
      <c r="P814" s="601"/>
    </row>
    <row r="815" spans="5:16" ht="13.15" customHeight="1" x14ac:dyDescent="0.2">
      <c r="E815" s="601"/>
      <c r="F815" s="601"/>
      <c r="G815" s="601"/>
      <c r="H815" s="601"/>
      <c r="I815" s="601"/>
      <c r="J815" s="601"/>
      <c r="K815" s="601"/>
      <c r="L815" s="601"/>
      <c r="M815" s="601"/>
      <c r="N815" s="601"/>
      <c r="O815" s="601"/>
      <c r="P815" s="601"/>
    </row>
    <row r="816" spans="5:16" ht="13.15" customHeight="1" x14ac:dyDescent="0.2">
      <c r="E816" s="601"/>
      <c r="F816" s="601"/>
      <c r="G816" s="601"/>
      <c r="H816" s="601"/>
      <c r="I816" s="601"/>
      <c r="J816" s="601"/>
      <c r="K816" s="601"/>
      <c r="L816" s="601"/>
      <c r="M816" s="601"/>
      <c r="N816" s="601"/>
      <c r="O816" s="601"/>
      <c r="P816" s="601"/>
    </row>
    <row r="817" spans="5:16" ht="13.15" customHeight="1" x14ac:dyDescent="0.2">
      <c r="E817" s="601"/>
      <c r="F817" s="601"/>
      <c r="G817" s="601"/>
      <c r="H817" s="601"/>
      <c r="I817" s="601"/>
      <c r="J817" s="601"/>
      <c r="K817" s="601"/>
      <c r="L817" s="601"/>
      <c r="M817" s="601"/>
      <c r="N817" s="601"/>
      <c r="O817" s="601"/>
      <c r="P817" s="601"/>
    </row>
    <row r="818" spans="5:16" ht="13.15" customHeight="1" x14ac:dyDescent="0.2">
      <c r="E818" s="601"/>
      <c r="F818" s="601"/>
      <c r="G818" s="601"/>
      <c r="H818" s="601"/>
      <c r="I818" s="601"/>
      <c r="J818" s="601"/>
      <c r="K818" s="601"/>
      <c r="L818" s="601"/>
      <c r="M818" s="601"/>
      <c r="N818" s="601"/>
      <c r="O818" s="601"/>
      <c r="P818" s="601"/>
    </row>
    <row r="819" spans="5:16" ht="13.15" customHeight="1" x14ac:dyDescent="0.2">
      <c r="E819" s="601"/>
      <c r="F819" s="601"/>
      <c r="G819" s="601"/>
      <c r="H819" s="601"/>
      <c r="I819" s="601"/>
      <c r="J819" s="601"/>
      <c r="K819" s="601"/>
      <c r="L819" s="601"/>
      <c r="M819" s="601"/>
      <c r="N819" s="601"/>
      <c r="O819" s="601"/>
      <c r="P819" s="601"/>
    </row>
    <row r="820" spans="5:16" ht="13.15" customHeight="1" x14ac:dyDescent="0.2">
      <c r="E820" s="601"/>
      <c r="F820" s="601"/>
      <c r="G820" s="601"/>
      <c r="H820" s="601"/>
      <c r="I820" s="601"/>
      <c r="J820" s="601"/>
      <c r="K820" s="601"/>
      <c r="L820" s="601"/>
      <c r="M820" s="601"/>
      <c r="N820" s="601"/>
      <c r="O820" s="601"/>
      <c r="P820" s="601"/>
    </row>
    <row r="821" spans="5:16" ht="13.15" customHeight="1" x14ac:dyDescent="0.2">
      <c r="E821" s="601"/>
      <c r="F821" s="601"/>
      <c r="G821" s="601"/>
      <c r="H821" s="601"/>
      <c r="I821" s="601"/>
      <c r="J821" s="601"/>
      <c r="K821" s="601"/>
      <c r="L821" s="601"/>
      <c r="M821" s="601"/>
      <c r="N821" s="601"/>
      <c r="O821" s="601"/>
      <c r="P821" s="601"/>
    </row>
    <row r="822" spans="5:16" ht="13.15" customHeight="1" x14ac:dyDescent="0.2">
      <c r="E822" s="601"/>
      <c r="F822" s="601"/>
      <c r="G822" s="601"/>
      <c r="H822" s="601"/>
      <c r="I822" s="601"/>
      <c r="J822" s="601"/>
      <c r="K822" s="601"/>
      <c r="L822" s="601"/>
      <c r="M822" s="601"/>
      <c r="N822" s="601"/>
      <c r="O822" s="601"/>
      <c r="P822" s="601"/>
    </row>
    <row r="823" spans="5:16" ht="13.15" customHeight="1" x14ac:dyDescent="0.2">
      <c r="E823" s="601"/>
      <c r="F823" s="601"/>
      <c r="G823" s="601"/>
      <c r="H823" s="601"/>
      <c r="I823" s="601"/>
      <c r="J823" s="601"/>
      <c r="K823" s="601"/>
      <c r="L823" s="601"/>
      <c r="M823" s="601"/>
      <c r="N823" s="601"/>
      <c r="O823" s="601"/>
      <c r="P823" s="601"/>
    </row>
    <row r="824" spans="5:16" ht="13.15" customHeight="1" x14ac:dyDescent="0.2">
      <c r="E824" s="601"/>
      <c r="F824" s="601"/>
      <c r="G824" s="601"/>
      <c r="H824" s="601"/>
      <c r="I824" s="601"/>
      <c r="J824" s="601"/>
      <c r="K824" s="601"/>
      <c r="L824" s="601"/>
      <c r="M824" s="601"/>
      <c r="N824" s="601"/>
      <c r="O824" s="601"/>
      <c r="P824" s="601"/>
    </row>
    <row r="825" spans="5:16" ht="13.15" customHeight="1" x14ac:dyDescent="0.2">
      <c r="E825" s="601"/>
      <c r="F825" s="601"/>
      <c r="G825" s="601"/>
      <c r="H825" s="601"/>
      <c r="I825" s="601"/>
      <c r="J825" s="601"/>
      <c r="K825" s="601"/>
      <c r="L825" s="601"/>
      <c r="M825" s="601"/>
      <c r="N825" s="601"/>
      <c r="O825" s="601"/>
      <c r="P825" s="601"/>
    </row>
    <row r="826" spans="5:16" ht="13.15" customHeight="1" x14ac:dyDescent="0.2">
      <c r="E826" s="601"/>
      <c r="F826" s="601"/>
      <c r="G826" s="601"/>
      <c r="H826" s="601"/>
      <c r="I826" s="601"/>
      <c r="J826" s="601"/>
      <c r="K826" s="601"/>
      <c r="L826" s="601"/>
      <c r="M826" s="601"/>
      <c r="N826" s="601"/>
      <c r="O826" s="601"/>
      <c r="P826" s="601"/>
    </row>
    <row r="827" spans="5:16" ht="13.15" customHeight="1" x14ac:dyDescent="0.2">
      <c r="E827" s="601"/>
      <c r="F827" s="601"/>
      <c r="G827" s="601"/>
      <c r="H827" s="601"/>
      <c r="I827" s="601"/>
      <c r="J827" s="601"/>
      <c r="K827" s="601"/>
      <c r="L827" s="601"/>
      <c r="M827" s="601"/>
      <c r="N827" s="601"/>
      <c r="O827" s="601"/>
      <c r="P827" s="601"/>
    </row>
    <row r="828" spans="5:16" ht="13.15" customHeight="1" x14ac:dyDescent="0.2">
      <c r="E828" s="601"/>
      <c r="F828" s="601"/>
      <c r="G828" s="601"/>
      <c r="H828" s="601"/>
      <c r="I828" s="601"/>
      <c r="J828" s="601"/>
      <c r="K828" s="601"/>
      <c r="L828" s="601"/>
      <c r="M828" s="601"/>
      <c r="N828" s="601"/>
      <c r="O828" s="601"/>
      <c r="P828" s="601"/>
    </row>
    <row r="829" spans="5:16" ht="13.15" customHeight="1" x14ac:dyDescent="0.2">
      <c r="E829" s="601"/>
      <c r="F829" s="601"/>
      <c r="G829" s="601"/>
      <c r="H829" s="601"/>
      <c r="I829" s="601"/>
      <c r="J829" s="601"/>
      <c r="K829" s="601"/>
      <c r="L829" s="601"/>
      <c r="M829" s="601"/>
      <c r="N829" s="601"/>
      <c r="O829" s="601"/>
      <c r="P829" s="601"/>
    </row>
    <row r="830" spans="5:16" ht="13.15" customHeight="1" x14ac:dyDescent="0.2">
      <c r="E830" s="601"/>
      <c r="F830" s="601"/>
      <c r="G830" s="601"/>
      <c r="H830" s="601"/>
      <c r="I830" s="601"/>
      <c r="J830" s="601"/>
      <c r="K830" s="601"/>
      <c r="L830" s="601"/>
      <c r="M830" s="601"/>
      <c r="N830" s="601"/>
      <c r="O830" s="601"/>
      <c r="P830" s="601"/>
    </row>
    <row r="831" spans="5:16" ht="13.15" customHeight="1" x14ac:dyDescent="0.2">
      <c r="E831" s="601"/>
      <c r="F831" s="601"/>
      <c r="G831" s="601"/>
      <c r="H831" s="601"/>
      <c r="I831" s="601"/>
      <c r="J831" s="601"/>
      <c r="K831" s="601"/>
      <c r="L831" s="601"/>
      <c r="M831" s="601"/>
      <c r="N831" s="601"/>
      <c r="O831" s="601"/>
      <c r="P831" s="601"/>
    </row>
    <row r="832" spans="5:16" ht="13.15" customHeight="1" x14ac:dyDescent="0.2">
      <c r="E832" s="601"/>
      <c r="F832" s="601"/>
      <c r="G832" s="601"/>
      <c r="H832" s="601"/>
      <c r="I832" s="601"/>
      <c r="J832" s="601"/>
      <c r="K832" s="601"/>
      <c r="L832" s="601"/>
      <c r="M832" s="601"/>
      <c r="N832" s="601"/>
      <c r="O832" s="601"/>
      <c r="P832" s="601"/>
    </row>
    <row r="833" spans="5:16" ht="13.15" customHeight="1" x14ac:dyDescent="0.2">
      <c r="E833" s="601"/>
      <c r="F833" s="601"/>
      <c r="G833" s="601"/>
      <c r="H833" s="601"/>
      <c r="I833" s="601"/>
      <c r="J833" s="601"/>
      <c r="K833" s="601"/>
      <c r="L833" s="601"/>
      <c r="M833" s="601"/>
      <c r="N833" s="601"/>
      <c r="O833" s="601"/>
      <c r="P833" s="601"/>
    </row>
    <row r="834" spans="5:16" ht="13.15" customHeight="1" x14ac:dyDescent="0.2">
      <c r="E834" s="601"/>
      <c r="F834" s="601"/>
      <c r="G834" s="601"/>
      <c r="H834" s="601"/>
      <c r="I834" s="601"/>
      <c r="J834" s="601"/>
      <c r="K834" s="601"/>
      <c r="L834" s="601"/>
      <c r="M834" s="601"/>
      <c r="N834" s="601"/>
      <c r="O834" s="601"/>
      <c r="P834" s="601"/>
    </row>
    <row r="835" spans="5:16" ht="13.15" customHeight="1" x14ac:dyDescent="0.2">
      <c r="E835" s="601"/>
      <c r="F835" s="601"/>
      <c r="G835" s="601"/>
      <c r="H835" s="601"/>
      <c r="I835" s="601"/>
      <c r="J835" s="601"/>
      <c r="K835" s="601"/>
      <c r="L835" s="601"/>
      <c r="M835" s="601"/>
      <c r="N835" s="601"/>
      <c r="O835" s="601"/>
      <c r="P835" s="601"/>
    </row>
    <row r="836" spans="5:16" ht="13.15" customHeight="1" x14ac:dyDescent="0.2">
      <c r="E836" s="601"/>
      <c r="F836" s="601"/>
      <c r="G836" s="601"/>
      <c r="H836" s="601"/>
      <c r="I836" s="601"/>
      <c r="J836" s="601"/>
      <c r="K836" s="601"/>
      <c r="L836" s="601"/>
      <c r="M836" s="601"/>
      <c r="N836" s="601"/>
      <c r="O836" s="601"/>
      <c r="P836" s="601"/>
    </row>
    <row r="837" spans="5:16" ht="13.15" customHeight="1" x14ac:dyDescent="0.2">
      <c r="E837" s="601"/>
      <c r="F837" s="601"/>
      <c r="G837" s="601"/>
      <c r="H837" s="601"/>
      <c r="I837" s="601"/>
      <c r="J837" s="601"/>
      <c r="K837" s="601"/>
      <c r="L837" s="601"/>
      <c r="M837" s="601"/>
      <c r="N837" s="601"/>
      <c r="O837" s="601"/>
      <c r="P837" s="601"/>
    </row>
    <row r="838" spans="5:16" ht="13.15" customHeight="1" x14ac:dyDescent="0.2">
      <c r="E838" s="601"/>
      <c r="F838" s="601"/>
      <c r="G838" s="601"/>
      <c r="H838" s="601"/>
      <c r="I838" s="601"/>
      <c r="J838" s="601"/>
      <c r="K838" s="601"/>
      <c r="L838" s="601"/>
      <c r="M838" s="601"/>
      <c r="N838" s="601"/>
      <c r="O838" s="601"/>
      <c r="P838" s="601"/>
    </row>
    <row r="839" spans="5:16" ht="13.15" customHeight="1" x14ac:dyDescent="0.2">
      <c r="E839" s="601"/>
      <c r="F839" s="601"/>
      <c r="G839" s="601"/>
      <c r="H839" s="601"/>
      <c r="I839" s="601"/>
      <c r="J839" s="601"/>
      <c r="K839" s="601"/>
      <c r="L839" s="601"/>
      <c r="M839" s="601"/>
      <c r="N839" s="601"/>
      <c r="O839" s="601"/>
      <c r="P839" s="601"/>
    </row>
    <row r="840" spans="5:16" ht="13.15" customHeight="1" x14ac:dyDescent="0.2">
      <c r="E840" s="601"/>
      <c r="F840" s="601"/>
      <c r="G840" s="601"/>
      <c r="H840" s="601"/>
      <c r="I840" s="601"/>
      <c r="J840" s="601"/>
      <c r="K840" s="601"/>
      <c r="L840" s="601"/>
      <c r="M840" s="601"/>
      <c r="N840" s="601"/>
      <c r="O840" s="601"/>
      <c r="P840" s="601"/>
    </row>
    <row r="841" spans="5:16" ht="13.15" customHeight="1" x14ac:dyDescent="0.2">
      <c r="E841" s="601"/>
      <c r="F841" s="601"/>
      <c r="G841" s="601"/>
      <c r="H841" s="601"/>
      <c r="I841" s="601"/>
      <c r="J841" s="601"/>
      <c r="K841" s="601"/>
      <c r="L841" s="601"/>
      <c r="M841" s="601"/>
      <c r="N841" s="601"/>
      <c r="O841" s="601"/>
      <c r="P841" s="601"/>
    </row>
    <row r="842" spans="5:16" ht="13.15" customHeight="1" x14ac:dyDescent="0.2">
      <c r="E842" s="601"/>
      <c r="F842" s="601"/>
      <c r="G842" s="601"/>
      <c r="H842" s="601"/>
      <c r="I842" s="601"/>
      <c r="J842" s="601"/>
      <c r="K842" s="601"/>
      <c r="L842" s="601"/>
      <c r="M842" s="601"/>
      <c r="N842" s="601"/>
      <c r="O842" s="601"/>
      <c r="P842" s="601"/>
    </row>
    <row r="843" spans="5:16" ht="13.15" customHeight="1" x14ac:dyDescent="0.2">
      <c r="E843" s="601"/>
      <c r="F843" s="601"/>
      <c r="G843" s="601"/>
      <c r="H843" s="601"/>
      <c r="I843" s="601"/>
      <c r="J843" s="601"/>
      <c r="K843" s="601"/>
      <c r="L843" s="601"/>
      <c r="M843" s="601"/>
      <c r="N843" s="601"/>
      <c r="O843" s="601"/>
      <c r="P843" s="601"/>
    </row>
    <row r="844" spans="5:16" ht="13.15" customHeight="1" x14ac:dyDescent="0.2">
      <c r="E844" s="601"/>
      <c r="F844" s="601"/>
      <c r="G844" s="601"/>
      <c r="H844" s="601"/>
      <c r="I844" s="601"/>
      <c r="J844" s="601"/>
      <c r="K844" s="601"/>
      <c r="L844" s="601"/>
      <c r="M844" s="601"/>
      <c r="N844" s="601"/>
      <c r="O844" s="601"/>
      <c r="P844" s="601"/>
    </row>
    <row r="845" spans="5:16" ht="13.15" customHeight="1" x14ac:dyDescent="0.2">
      <c r="E845" s="601"/>
      <c r="F845" s="601"/>
      <c r="G845" s="601"/>
      <c r="H845" s="601"/>
      <c r="I845" s="601"/>
      <c r="J845" s="601"/>
      <c r="K845" s="601"/>
      <c r="L845" s="601"/>
      <c r="M845" s="601"/>
      <c r="N845" s="601"/>
      <c r="O845" s="601"/>
      <c r="P845" s="601"/>
    </row>
    <row r="846" spans="5:16" ht="13.15" customHeight="1" x14ac:dyDescent="0.2">
      <c r="E846" s="601"/>
      <c r="F846" s="601"/>
      <c r="G846" s="601"/>
      <c r="H846" s="601"/>
      <c r="I846" s="601"/>
      <c r="J846" s="601"/>
      <c r="K846" s="601"/>
      <c r="L846" s="601"/>
      <c r="M846" s="601"/>
      <c r="N846" s="601"/>
      <c r="O846" s="601"/>
      <c r="P846" s="601"/>
    </row>
    <row r="847" spans="5:16" ht="13.15" customHeight="1" x14ac:dyDescent="0.2">
      <c r="E847" s="601"/>
      <c r="F847" s="601"/>
      <c r="G847" s="601"/>
      <c r="H847" s="601"/>
      <c r="I847" s="601"/>
      <c r="J847" s="601"/>
      <c r="K847" s="601"/>
      <c r="L847" s="601"/>
      <c r="M847" s="601"/>
      <c r="N847" s="601"/>
      <c r="O847" s="601"/>
      <c r="P847" s="601"/>
    </row>
    <row r="848" spans="5:16" ht="13.15" customHeight="1" x14ac:dyDescent="0.2">
      <c r="E848" s="601"/>
      <c r="F848" s="601"/>
      <c r="G848" s="601"/>
      <c r="H848" s="601"/>
      <c r="I848" s="601"/>
      <c r="J848" s="601"/>
      <c r="K848" s="601"/>
      <c r="L848" s="601"/>
      <c r="M848" s="601"/>
      <c r="N848" s="601"/>
      <c r="O848" s="601"/>
      <c r="P848" s="601"/>
    </row>
    <row r="849" spans="5:16" ht="13.15" customHeight="1" x14ac:dyDescent="0.2">
      <c r="E849" s="601"/>
      <c r="F849" s="601"/>
      <c r="G849" s="601"/>
      <c r="H849" s="601"/>
      <c r="I849" s="601"/>
      <c r="J849" s="601"/>
      <c r="K849" s="601"/>
      <c r="L849" s="601"/>
      <c r="M849" s="601"/>
      <c r="N849" s="601"/>
      <c r="O849" s="601"/>
      <c r="P849" s="601"/>
    </row>
    <row r="850" spans="5:16" ht="13.15" customHeight="1" x14ac:dyDescent="0.2">
      <c r="E850" s="601"/>
      <c r="F850" s="601"/>
      <c r="G850" s="601"/>
      <c r="H850" s="601"/>
      <c r="I850" s="601"/>
      <c r="J850" s="601"/>
      <c r="K850" s="601"/>
      <c r="L850" s="601"/>
      <c r="M850" s="601"/>
      <c r="N850" s="601"/>
      <c r="O850" s="601"/>
      <c r="P850" s="601"/>
    </row>
    <row r="851" spans="5:16" ht="13.15" customHeight="1" x14ac:dyDescent="0.2">
      <c r="E851" s="601"/>
      <c r="F851" s="601"/>
      <c r="G851" s="601"/>
      <c r="H851" s="601"/>
      <c r="I851" s="601"/>
      <c r="J851" s="601"/>
      <c r="K851" s="601"/>
      <c r="L851" s="601"/>
      <c r="M851" s="601"/>
      <c r="N851" s="601"/>
      <c r="O851" s="601"/>
      <c r="P851" s="601"/>
    </row>
    <row r="852" spans="5:16" ht="13.15" customHeight="1" x14ac:dyDescent="0.2">
      <c r="E852" s="601"/>
      <c r="F852" s="601"/>
      <c r="G852" s="601"/>
      <c r="H852" s="601"/>
      <c r="I852" s="601"/>
      <c r="J852" s="601"/>
      <c r="K852" s="601"/>
      <c r="L852" s="601"/>
      <c r="M852" s="601"/>
      <c r="N852" s="601"/>
      <c r="O852" s="601"/>
      <c r="P852" s="601"/>
    </row>
    <row r="853" spans="5:16" ht="13.15" customHeight="1" x14ac:dyDescent="0.2">
      <c r="E853" s="601"/>
      <c r="F853" s="601"/>
      <c r="G853" s="601"/>
      <c r="H853" s="601"/>
      <c r="I853" s="601"/>
      <c r="J853" s="601"/>
      <c r="K853" s="601"/>
      <c r="L853" s="601"/>
      <c r="M853" s="601"/>
      <c r="N853" s="601"/>
      <c r="O853" s="601"/>
      <c r="P853" s="601"/>
    </row>
    <row r="854" spans="5:16" ht="13.15" customHeight="1" x14ac:dyDescent="0.2">
      <c r="E854" s="601"/>
      <c r="F854" s="601"/>
      <c r="G854" s="601"/>
      <c r="H854" s="601"/>
      <c r="I854" s="601"/>
      <c r="J854" s="601"/>
      <c r="K854" s="601"/>
      <c r="L854" s="601"/>
      <c r="M854" s="601"/>
      <c r="N854" s="601"/>
      <c r="O854" s="601"/>
      <c r="P854" s="601"/>
    </row>
    <row r="855" spans="5:16" ht="13.15" customHeight="1" x14ac:dyDescent="0.2">
      <c r="E855" s="601"/>
      <c r="F855" s="601"/>
      <c r="G855" s="601"/>
      <c r="H855" s="601"/>
      <c r="I855" s="601"/>
      <c r="J855" s="601"/>
      <c r="K855" s="601"/>
      <c r="L855" s="601"/>
      <c r="M855" s="601"/>
      <c r="N855" s="601"/>
      <c r="O855" s="601"/>
      <c r="P855" s="601"/>
    </row>
    <row r="856" spans="5:16" ht="13.15" customHeight="1" x14ac:dyDescent="0.2">
      <c r="E856" s="601"/>
      <c r="F856" s="601"/>
      <c r="G856" s="601"/>
      <c r="H856" s="601"/>
      <c r="I856" s="601"/>
      <c r="J856" s="601"/>
      <c r="K856" s="601"/>
      <c r="L856" s="601"/>
      <c r="M856" s="601"/>
      <c r="N856" s="601"/>
      <c r="O856" s="601"/>
      <c r="P856" s="601"/>
    </row>
    <row r="857" spans="5:16" ht="13.15" customHeight="1" x14ac:dyDescent="0.2">
      <c r="E857" s="601"/>
      <c r="F857" s="601"/>
      <c r="G857" s="601"/>
      <c r="H857" s="601"/>
      <c r="I857" s="601"/>
      <c r="J857" s="601"/>
      <c r="K857" s="601"/>
      <c r="L857" s="601"/>
      <c r="M857" s="601"/>
      <c r="N857" s="601"/>
      <c r="O857" s="601"/>
      <c r="P857" s="601"/>
    </row>
    <row r="858" spans="5:16" ht="13.15" customHeight="1" x14ac:dyDescent="0.2">
      <c r="E858" s="601"/>
      <c r="F858" s="601"/>
      <c r="G858" s="601"/>
      <c r="H858" s="601"/>
      <c r="I858" s="601"/>
      <c r="J858" s="601"/>
      <c r="K858" s="601"/>
      <c r="L858" s="601"/>
      <c r="M858" s="601"/>
      <c r="N858" s="601"/>
      <c r="O858" s="601"/>
      <c r="P858" s="601"/>
    </row>
    <row r="859" spans="5:16" ht="13.15" customHeight="1" x14ac:dyDescent="0.2">
      <c r="E859" s="601"/>
      <c r="F859" s="601"/>
      <c r="G859" s="601"/>
      <c r="H859" s="601"/>
      <c r="I859" s="601"/>
      <c r="J859" s="601"/>
      <c r="K859" s="601"/>
      <c r="L859" s="601"/>
      <c r="M859" s="601"/>
      <c r="N859" s="601"/>
      <c r="O859" s="601"/>
      <c r="P859" s="601"/>
    </row>
    <row r="860" spans="5:16" ht="13.15" customHeight="1" x14ac:dyDescent="0.2">
      <c r="E860" s="601"/>
      <c r="F860" s="601"/>
      <c r="G860" s="601"/>
      <c r="H860" s="601"/>
      <c r="I860" s="601"/>
      <c r="J860" s="601"/>
      <c r="K860" s="601"/>
      <c r="L860" s="601"/>
      <c r="M860" s="601"/>
      <c r="N860" s="601"/>
      <c r="O860" s="601"/>
      <c r="P860" s="601"/>
    </row>
    <row r="861" spans="5:16" ht="13.15" customHeight="1" x14ac:dyDescent="0.2">
      <c r="E861" s="601"/>
      <c r="F861" s="601"/>
      <c r="G861" s="601"/>
      <c r="H861" s="601"/>
      <c r="I861" s="601"/>
      <c r="J861" s="601"/>
      <c r="K861" s="601"/>
      <c r="L861" s="601"/>
      <c r="M861" s="601"/>
      <c r="N861" s="601"/>
      <c r="O861" s="601"/>
      <c r="P861" s="601"/>
    </row>
    <row r="862" spans="5:16" ht="13.15" customHeight="1" x14ac:dyDescent="0.2">
      <c r="E862" s="601"/>
      <c r="F862" s="601"/>
      <c r="G862" s="601"/>
      <c r="H862" s="601"/>
      <c r="I862" s="601"/>
      <c r="J862" s="601"/>
      <c r="K862" s="601"/>
      <c r="L862" s="601"/>
      <c r="M862" s="601"/>
      <c r="N862" s="601"/>
      <c r="O862" s="601"/>
      <c r="P862" s="601"/>
    </row>
  </sheetData>
  <sheetProtection algorithmName="SHA-512" hashValue="5jUUKTfoUk59Q93y/KjAh775gQFa1yibC9BScKyyowEEIFZJIOVzfnZVwfGyg1jDWEbEOPfOJc9ZzUQkd1XmiQ==" saltValue="Wpxwwo6LeoOb9ODx1gFUUw==" spinCount="100000" sheet="1" objects="1" scenarios="1"/>
  <pageMargins left="0.70866141732283472" right="0.70866141732283472" top="0.74803149606299213" bottom="0.74803149606299213" header="0.31496062992125984" footer="0.31496062992125984"/>
  <pageSetup paperSize="9" scale="57" orientation="portrait" r:id="rId1"/>
  <headerFooter>
    <oddHeader>&amp;L&amp;F&amp;R&amp;A</oddHeader>
    <oddFooter>&amp;Lkeizer / goedhart&amp;Cpagina &amp;P&amp;R&amp;D</oddFooter>
  </headerFooter>
  <rowBreaks count="1" manualBreakCount="1">
    <brk id="44" max="1638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G6007"/>
  <sheetViews>
    <sheetView zoomScale="85" zoomScaleNormal="85" zoomScaleSheetLayoutView="85" workbookViewId="0">
      <selection activeCell="B2" sqref="B2"/>
    </sheetView>
  </sheetViews>
  <sheetFormatPr defaultColWidth="9.140625" defaultRowHeight="12.75" x14ac:dyDescent="0.2"/>
  <cols>
    <col min="1" max="1" width="2.42578125" style="526" customWidth="1"/>
    <col min="2" max="3" width="2.7109375" style="6" customWidth="1"/>
    <col min="4" max="4" width="10.7109375" style="9" customWidth="1"/>
    <col min="5" max="5" width="23.7109375" style="9" customWidth="1"/>
    <col min="6" max="6" width="19.140625" style="9" customWidth="1"/>
    <col min="7" max="7" width="8.85546875" style="197" customWidth="1"/>
    <col min="8" max="8" width="8.85546875" style="234" customWidth="1"/>
    <col min="9" max="9" width="8.85546875" style="235" customWidth="1"/>
    <col min="10" max="10" width="8.7109375" style="235" customWidth="1"/>
    <col min="11" max="11" width="8.7109375" style="236" customWidth="1"/>
    <col min="12" max="12" width="0.7109375" style="641" customWidth="1"/>
    <col min="13" max="13" width="10" style="235" customWidth="1"/>
    <col min="14" max="14" width="9.28515625" style="236" customWidth="1"/>
    <col min="15" max="15" width="10.7109375" style="235" customWidth="1"/>
    <col min="16" max="17" width="10.7109375" style="197" customWidth="1"/>
    <col min="18" max="18" width="0.7109375" style="641" customWidth="1"/>
    <col min="19" max="19" width="11.42578125" style="6" customWidth="1"/>
    <col min="20" max="20" width="10.7109375" style="6" customWidth="1"/>
    <col min="21" max="21" width="12.7109375" style="237" customWidth="1"/>
    <col min="22" max="22" width="3.140625" style="237" customWidth="1"/>
    <col min="23" max="23" width="2.85546875" style="630" customWidth="1"/>
    <col min="24" max="25" width="20.28515625" style="604" customWidth="1"/>
    <col min="26" max="26" width="11.140625" style="873" customWidth="1"/>
    <col min="27" max="27" width="11.140625" style="866" customWidth="1"/>
    <col min="28" max="28" width="11.140625" style="864" customWidth="1"/>
    <col min="29" max="35" width="11.140625" style="837" customWidth="1"/>
    <col min="36" max="36" width="11.140625" style="874" customWidth="1"/>
    <col min="37" max="44" width="11.140625" style="837" customWidth="1"/>
    <col min="45" max="45" width="11.140625" style="874" customWidth="1"/>
    <col min="46" max="46" width="10.28515625" style="837" customWidth="1"/>
    <col min="47" max="51" width="10.28515625" style="836" customWidth="1"/>
    <col min="52" max="53" width="9.28515625" style="526" bestFit="1" customWidth="1"/>
    <col min="54" max="57" width="9.28515625" style="6" bestFit="1" customWidth="1"/>
    <col min="58" max="16384" width="9.140625" style="6"/>
  </cols>
  <sheetData>
    <row r="1" spans="1:54" s="526" customFormat="1" ht="12.75" customHeight="1" x14ac:dyDescent="0.2">
      <c r="A1" s="1037"/>
      <c r="D1" s="708"/>
      <c r="E1" s="708"/>
      <c r="F1" s="708"/>
      <c r="G1" s="527"/>
      <c r="H1" s="709"/>
      <c r="I1" s="710"/>
      <c r="J1" s="710"/>
      <c r="K1" s="711"/>
      <c r="L1" s="711"/>
      <c r="M1" s="710"/>
      <c r="N1" s="711"/>
      <c r="O1" s="710"/>
      <c r="P1" s="527"/>
      <c r="Q1" s="527"/>
      <c r="R1" s="711"/>
      <c r="U1" s="712"/>
      <c r="V1" s="712"/>
      <c r="W1" s="712"/>
      <c r="X1" s="604"/>
      <c r="Y1" s="604"/>
      <c r="Z1" s="873"/>
      <c r="AA1" s="866"/>
      <c r="AB1" s="864"/>
      <c r="AC1" s="837"/>
      <c r="AD1" s="837"/>
      <c r="AE1" s="837"/>
      <c r="AF1" s="837"/>
      <c r="AG1" s="837"/>
      <c r="AH1" s="837"/>
      <c r="AI1" s="837"/>
      <c r="AJ1" s="874"/>
      <c r="AK1" s="837"/>
      <c r="AL1" s="837"/>
      <c r="AM1" s="837"/>
      <c r="AN1" s="837"/>
      <c r="AO1" s="837"/>
      <c r="AP1" s="837"/>
      <c r="AQ1" s="837"/>
      <c r="AR1" s="837"/>
      <c r="AS1" s="874"/>
      <c r="AT1" s="837"/>
      <c r="AU1" s="836"/>
      <c r="AV1" s="836"/>
      <c r="AW1" s="836"/>
      <c r="AX1" s="836"/>
      <c r="AY1" s="836"/>
    </row>
    <row r="2" spans="1:54" x14ac:dyDescent="0.2">
      <c r="B2" s="1433"/>
      <c r="C2" s="465"/>
      <c r="D2" s="1434"/>
      <c r="E2" s="1434"/>
      <c r="F2" s="1434"/>
      <c r="G2" s="966"/>
      <c r="H2" s="1435"/>
      <c r="I2" s="1436"/>
      <c r="J2" s="1436"/>
      <c r="K2" s="1437"/>
      <c r="L2" s="1409"/>
      <c r="M2" s="1436"/>
      <c r="N2" s="1437"/>
      <c r="O2" s="1436"/>
      <c r="P2" s="966"/>
      <c r="Q2" s="966"/>
      <c r="R2" s="1409"/>
      <c r="S2" s="465"/>
      <c r="T2" s="465"/>
      <c r="U2" s="1438"/>
      <c r="V2" s="1438"/>
      <c r="W2" s="1439"/>
    </row>
    <row r="3" spans="1:54" x14ac:dyDescent="0.2">
      <c r="B3" s="26"/>
      <c r="C3" s="27"/>
      <c r="D3" s="245"/>
      <c r="E3" s="245"/>
      <c r="F3" s="245"/>
      <c r="G3" s="29"/>
      <c r="H3" s="246"/>
      <c r="I3" s="247"/>
      <c r="J3" s="247"/>
      <c r="K3" s="248"/>
      <c r="L3" s="642"/>
      <c r="M3" s="247"/>
      <c r="N3" s="248"/>
      <c r="O3" s="247"/>
      <c r="P3" s="29"/>
      <c r="Q3" s="29"/>
      <c r="R3" s="642"/>
      <c r="S3" s="27"/>
      <c r="T3" s="27"/>
      <c r="U3" s="249"/>
      <c r="V3" s="249"/>
      <c r="W3" s="632"/>
    </row>
    <row r="4" spans="1:54" s="238" customFormat="1" ht="18" customHeight="1" x14ac:dyDescent="0.3">
      <c r="A4" s="704"/>
      <c r="B4" s="250"/>
      <c r="C4" s="740" t="s">
        <v>943</v>
      </c>
      <c r="D4" s="251"/>
      <c r="E4" s="252"/>
      <c r="F4" s="252"/>
      <c r="G4" s="253"/>
      <c r="H4" s="254"/>
      <c r="I4" s="255"/>
      <c r="J4" s="255"/>
      <c r="K4" s="256"/>
      <c r="L4" s="643"/>
      <c r="M4" s="255"/>
      <c r="N4" s="256"/>
      <c r="O4" s="255"/>
      <c r="P4" s="253"/>
      <c r="Q4" s="253"/>
      <c r="R4" s="643"/>
      <c r="S4" s="251"/>
      <c r="T4" s="251"/>
      <c r="U4" s="257"/>
      <c r="V4" s="257"/>
      <c r="W4" s="633"/>
      <c r="X4" s="604"/>
      <c r="Y4" s="604"/>
      <c r="Z4" s="873"/>
      <c r="AA4" s="875"/>
      <c r="AB4" s="876"/>
      <c r="AC4" s="877"/>
      <c r="AD4" s="877"/>
      <c r="AE4" s="877"/>
      <c r="AF4" s="877"/>
      <c r="AG4" s="877"/>
      <c r="AH4" s="877"/>
      <c r="AI4" s="840"/>
      <c r="AJ4" s="876"/>
      <c r="AK4" s="840"/>
      <c r="AL4" s="840"/>
      <c r="AM4" s="840"/>
      <c r="AN4" s="840"/>
      <c r="AO4" s="839"/>
      <c r="AP4" s="840"/>
      <c r="AQ4" s="839"/>
      <c r="AR4" s="878"/>
      <c r="AS4" s="839"/>
      <c r="AT4" s="877"/>
      <c r="AU4" s="838"/>
      <c r="AV4" s="838"/>
      <c r="AW4" s="838"/>
      <c r="AX4" s="838"/>
      <c r="AY4" s="838"/>
      <c r="AZ4" s="704"/>
      <c r="BA4" s="704"/>
    </row>
    <row r="5" spans="1:54" s="757" customFormat="1" ht="16.899999999999999" customHeight="1" x14ac:dyDescent="0.25">
      <c r="A5" s="744"/>
      <c r="B5" s="745"/>
      <c r="C5" s="746" t="str">
        <f>'geg LO'!G8</f>
        <v>SWV PO Passend Onderwijs</v>
      </c>
      <c r="D5" s="747"/>
      <c r="E5" s="748"/>
      <c r="F5" s="748"/>
      <c r="G5" s="749"/>
      <c r="H5" s="750"/>
      <c r="I5" s="751"/>
      <c r="J5" s="751"/>
      <c r="K5" s="752"/>
      <c r="L5" s="753"/>
      <c r="M5" s="751"/>
      <c r="N5" s="752"/>
      <c r="O5" s="751"/>
      <c r="P5" s="749"/>
      <c r="Q5" s="749"/>
      <c r="R5" s="753"/>
      <c r="S5" s="747"/>
      <c r="T5" s="747"/>
      <c r="U5" s="754"/>
      <c r="V5" s="754"/>
      <c r="W5" s="755"/>
      <c r="X5" s="756"/>
      <c r="Y5" s="756"/>
      <c r="Z5" s="879"/>
      <c r="AA5" s="880"/>
      <c r="AB5" s="881"/>
      <c r="AC5" s="882"/>
      <c r="AD5" s="882"/>
      <c r="AE5" s="882"/>
      <c r="AF5" s="882"/>
      <c r="AG5" s="882"/>
      <c r="AH5" s="882"/>
      <c r="AI5" s="843"/>
      <c r="AJ5" s="881"/>
      <c r="AK5" s="843"/>
      <c r="AL5" s="843"/>
      <c r="AM5" s="843"/>
      <c r="AN5" s="843"/>
      <c r="AO5" s="842"/>
      <c r="AP5" s="843"/>
      <c r="AQ5" s="842"/>
      <c r="AR5" s="883"/>
      <c r="AS5" s="842"/>
      <c r="AT5" s="882"/>
      <c r="AU5" s="841"/>
      <c r="AV5" s="841"/>
      <c r="AW5" s="841"/>
      <c r="AX5" s="841"/>
      <c r="AY5" s="841"/>
      <c r="AZ5" s="744"/>
      <c r="BA5" s="744"/>
    </row>
    <row r="6" spans="1:54" ht="12.75" customHeight="1" x14ac:dyDescent="0.2">
      <c r="B6" s="26"/>
      <c r="C6" s="27"/>
      <c r="D6" s="27"/>
      <c r="E6" s="245"/>
      <c r="F6" s="245"/>
      <c r="G6" s="29"/>
      <c r="H6" s="246"/>
      <c r="I6" s="247"/>
      <c r="J6" s="247"/>
      <c r="K6" s="248"/>
      <c r="L6" s="642"/>
      <c r="M6" s="247"/>
      <c r="N6" s="248"/>
      <c r="O6" s="247"/>
      <c r="P6" s="29"/>
      <c r="Q6" s="29"/>
      <c r="R6" s="642"/>
      <c r="S6" s="27"/>
      <c r="T6" s="27"/>
      <c r="U6" s="249"/>
      <c r="V6" s="249"/>
      <c r="W6" s="632"/>
      <c r="AI6" s="846"/>
      <c r="AJ6" s="884"/>
      <c r="AK6" s="846"/>
      <c r="AL6" s="846"/>
      <c r="AM6" s="846"/>
      <c r="AN6" s="846"/>
      <c r="AO6" s="845"/>
      <c r="AP6" s="846"/>
      <c r="AQ6" s="845"/>
      <c r="AR6" s="868"/>
      <c r="AS6" s="845"/>
    </row>
    <row r="7" spans="1:54" s="239" customFormat="1" ht="12.75" customHeight="1" x14ac:dyDescent="0.25">
      <c r="A7" s="705"/>
      <c r="B7" s="258"/>
      <c r="C7" s="259"/>
      <c r="D7" s="260"/>
      <c r="E7" s="261"/>
      <c r="F7" s="262"/>
      <c r="G7" s="263"/>
      <c r="H7" s="264"/>
      <c r="I7" s="265"/>
      <c r="J7" s="265"/>
      <c r="K7" s="266"/>
      <c r="L7" s="644"/>
      <c r="M7" s="265"/>
      <c r="N7" s="266"/>
      <c r="O7" s="265"/>
      <c r="P7" s="742"/>
      <c r="Q7" s="742"/>
      <c r="R7" s="644"/>
      <c r="S7" s="259"/>
      <c r="T7" s="259"/>
      <c r="U7" s="267"/>
      <c r="V7" s="267"/>
      <c r="W7" s="634"/>
      <c r="X7" s="604"/>
      <c r="Y7" s="604"/>
      <c r="Z7" s="873"/>
      <c r="AA7" s="885"/>
      <c r="AB7" s="881"/>
      <c r="AC7" s="886"/>
      <c r="AD7" s="886"/>
      <c r="AE7" s="886"/>
      <c r="AF7" s="886"/>
      <c r="AG7" s="886"/>
      <c r="AH7" s="886"/>
      <c r="AI7" s="849"/>
      <c r="AJ7" s="887"/>
      <c r="AK7" s="849"/>
      <c r="AL7" s="849"/>
      <c r="AM7" s="849"/>
      <c r="AN7" s="849"/>
      <c r="AO7" s="848"/>
      <c r="AP7" s="849"/>
      <c r="AQ7" s="848"/>
      <c r="AR7" s="888"/>
      <c r="AS7" s="848"/>
      <c r="AT7" s="886"/>
      <c r="AU7" s="847"/>
      <c r="AV7" s="847"/>
      <c r="AW7" s="847"/>
      <c r="AX7" s="847"/>
      <c r="AY7" s="847"/>
      <c r="AZ7" s="705"/>
      <c r="BA7" s="705"/>
    </row>
    <row r="8" spans="1:54" ht="12.75" customHeight="1" x14ac:dyDescent="0.2">
      <c r="B8" s="26"/>
      <c r="C8" s="27" t="s">
        <v>255</v>
      </c>
      <c r="D8" s="245"/>
      <c r="E8" s="270" t="str">
        <f>tab!C2</f>
        <v>2015/16</v>
      </c>
      <c r="F8" s="245"/>
      <c r="G8" s="29"/>
      <c r="H8" s="246"/>
      <c r="I8" s="29"/>
      <c r="J8" s="247"/>
      <c r="K8" s="272"/>
      <c r="L8" s="645"/>
      <c r="M8" s="248"/>
      <c r="N8" s="248"/>
      <c r="O8" s="897"/>
      <c r="P8" s="897"/>
      <c r="Q8" s="897"/>
      <c r="R8" s="645"/>
      <c r="S8" s="273"/>
      <c r="T8" s="273"/>
      <c r="U8" s="274"/>
      <c r="V8" s="274"/>
      <c r="W8" s="636"/>
      <c r="AA8" s="873"/>
      <c r="AB8" s="873"/>
      <c r="AC8" s="873"/>
      <c r="AD8" s="873"/>
      <c r="AE8" s="873"/>
      <c r="AF8" s="873"/>
      <c r="AG8" s="873"/>
      <c r="AH8" s="866"/>
      <c r="AI8" s="864"/>
      <c r="AJ8" s="837"/>
      <c r="AQ8" s="874"/>
      <c r="AS8" s="837"/>
      <c r="AY8" s="837"/>
      <c r="AZ8" s="713"/>
    </row>
    <row r="9" spans="1:54" ht="12.75" customHeight="1" x14ac:dyDescent="0.2">
      <c r="B9" s="26"/>
      <c r="C9" s="27" t="s">
        <v>256</v>
      </c>
      <c r="D9" s="245"/>
      <c r="E9" s="270">
        <f>tab!D3</f>
        <v>42278</v>
      </c>
      <c r="F9" s="245"/>
      <c r="G9" s="29"/>
      <c r="H9" s="246"/>
      <c r="I9" s="29"/>
      <c r="J9" s="247"/>
      <c r="K9" s="272"/>
      <c r="L9" s="645"/>
      <c r="M9" s="248"/>
      <c r="N9" s="248"/>
      <c r="O9" s="897"/>
      <c r="P9" s="897"/>
      <c r="Q9" s="897"/>
      <c r="R9" s="645"/>
      <c r="S9" s="273"/>
      <c r="T9" s="273"/>
      <c r="U9" s="274"/>
      <c r="V9" s="274"/>
      <c r="W9" s="636"/>
      <c r="AA9" s="873"/>
      <c r="AB9" s="873"/>
      <c r="AC9" s="873"/>
      <c r="AD9" s="873"/>
      <c r="AE9" s="873"/>
      <c r="AF9" s="873"/>
      <c r="AG9" s="873"/>
      <c r="AH9" s="866"/>
      <c r="AI9" s="864"/>
      <c r="AJ9" s="837"/>
      <c r="AQ9" s="874"/>
      <c r="AS9" s="837"/>
      <c r="AY9" s="837"/>
      <c r="AZ9" s="713"/>
    </row>
    <row r="10" spans="1:54" ht="12.75" customHeight="1" x14ac:dyDescent="0.2">
      <c r="B10" s="26"/>
      <c r="C10" s="27"/>
      <c r="D10" s="245"/>
      <c r="E10" s="245"/>
      <c r="F10" s="245"/>
      <c r="G10" s="29"/>
      <c r="H10" s="246"/>
      <c r="I10" s="29"/>
      <c r="J10" s="247"/>
      <c r="K10" s="272"/>
      <c r="L10" s="645"/>
      <c r="M10" s="248"/>
      <c r="N10" s="248"/>
      <c r="O10" s="897"/>
      <c r="P10" s="897"/>
      <c r="Q10" s="897"/>
      <c r="R10" s="645"/>
      <c r="S10" s="273"/>
      <c r="T10" s="273"/>
      <c r="U10" s="274"/>
      <c r="V10" s="274"/>
      <c r="W10" s="636"/>
      <c r="AA10" s="873"/>
      <c r="AB10" s="873"/>
      <c r="AC10" s="873"/>
      <c r="AD10" s="873"/>
      <c r="AE10" s="873"/>
      <c r="AF10" s="873"/>
      <c r="AG10" s="873"/>
      <c r="AH10" s="866"/>
      <c r="AI10" s="864"/>
      <c r="AJ10" s="837"/>
      <c r="AQ10" s="874"/>
      <c r="AS10" s="837"/>
      <c r="AY10" s="837"/>
      <c r="AZ10" s="713"/>
    </row>
    <row r="11" spans="1:54" ht="12.75" customHeight="1" x14ac:dyDescent="0.2">
      <c r="B11" s="26"/>
      <c r="C11" s="1037"/>
      <c r="D11" s="1040"/>
      <c r="E11" s="1092"/>
      <c r="F11" s="1040"/>
      <c r="G11" s="1039"/>
      <c r="H11" s="1189"/>
      <c r="I11" s="1190"/>
      <c r="J11" s="1190"/>
      <c r="K11" s="1191"/>
      <c r="L11" s="1191"/>
      <c r="M11" s="1190"/>
      <c r="N11" s="1191"/>
      <c r="O11" s="1190"/>
      <c r="P11" s="1039"/>
      <c r="Q11" s="1039"/>
      <c r="R11" s="1191"/>
      <c r="S11" s="1037"/>
      <c r="T11" s="1037"/>
      <c r="U11" s="1192"/>
      <c r="V11" s="1192"/>
      <c r="W11" s="632"/>
      <c r="AA11" s="873"/>
      <c r="AB11" s="873"/>
      <c r="AC11" s="873"/>
      <c r="AD11" s="873"/>
      <c r="AE11" s="873"/>
      <c r="AF11" s="873"/>
      <c r="AG11" s="873"/>
      <c r="AH11" s="866"/>
      <c r="AI11" s="864"/>
      <c r="AJ11" s="837"/>
      <c r="AP11" s="851"/>
      <c r="AQ11" s="889"/>
      <c r="AR11" s="851"/>
      <c r="AS11" s="851"/>
      <c r="AT11" s="851"/>
      <c r="AU11" s="844"/>
      <c r="AV11" s="850"/>
      <c r="AW11" s="851"/>
      <c r="AX11" s="852"/>
      <c r="AY11" s="853"/>
      <c r="AZ11" s="715"/>
    </row>
    <row r="12" spans="1:54" s="629" customFormat="1" ht="12.75" customHeight="1" x14ac:dyDescent="0.2">
      <c r="A12" s="706"/>
      <c r="B12" s="628"/>
      <c r="C12" s="1193"/>
      <c r="D12" s="1194" t="s">
        <v>257</v>
      </c>
      <c r="E12" s="1195"/>
      <c r="F12" s="1195"/>
      <c r="G12" s="1195"/>
      <c r="H12" s="1195"/>
      <c r="I12" s="1195"/>
      <c r="J12" s="1195"/>
      <c r="K12" s="1195"/>
      <c r="L12" s="1195"/>
      <c r="M12" s="1194" t="s">
        <v>865</v>
      </c>
      <c r="N12" s="1196"/>
      <c r="O12" s="1196"/>
      <c r="P12" s="1196"/>
      <c r="Q12" s="1196"/>
      <c r="R12" s="1195"/>
      <c r="S12" s="1490" t="s">
        <v>996</v>
      </c>
      <c r="T12" s="1491"/>
      <c r="U12" s="1492"/>
      <c r="V12" s="1197"/>
      <c r="W12" s="638"/>
      <c r="X12" s="604"/>
      <c r="Y12" s="604"/>
      <c r="Z12" s="873"/>
      <c r="AA12" s="873"/>
      <c r="AB12" s="873"/>
      <c r="AC12" s="873"/>
      <c r="AD12" s="873"/>
      <c r="AE12" s="873"/>
      <c r="AF12" s="873"/>
      <c r="AG12" s="873"/>
      <c r="AH12" s="867"/>
      <c r="AI12" s="857"/>
      <c r="AJ12" s="846"/>
      <c r="AK12" s="860"/>
      <c r="AL12" s="860"/>
      <c r="AM12" s="845"/>
      <c r="AN12" s="868"/>
      <c r="AO12" s="845"/>
      <c r="AP12" s="837"/>
      <c r="AQ12" s="837"/>
      <c r="AR12" s="837"/>
      <c r="AS12" s="837"/>
      <c r="AT12" s="837"/>
      <c r="AU12" s="859"/>
      <c r="AV12" s="859"/>
      <c r="AW12" s="859"/>
      <c r="AX12" s="859"/>
      <c r="AY12" s="859"/>
      <c r="AZ12" s="706"/>
      <c r="BA12" s="716"/>
      <c r="BB12" s="240"/>
    </row>
    <row r="13" spans="1:54" s="224" customFormat="1" ht="12.75" customHeight="1" x14ac:dyDescent="0.2">
      <c r="A13" s="703"/>
      <c r="B13" s="226"/>
      <c r="C13" s="1198"/>
      <c r="D13" s="1145" t="s">
        <v>258</v>
      </c>
      <c r="E13" s="1145" t="s">
        <v>259</v>
      </c>
      <c r="F13" s="1145" t="s">
        <v>260</v>
      </c>
      <c r="G13" s="1199" t="s">
        <v>261</v>
      </c>
      <c r="H13" s="1200" t="s">
        <v>262</v>
      </c>
      <c r="I13" s="1199" t="s">
        <v>217</v>
      </c>
      <c r="J13" s="1199" t="s">
        <v>263</v>
      </c>
      <c r="K13" s="1201" t="s">
        <v>264</v>
      </c>
      <c r="L13" s="1201"/>
      <c r="M13" s="1078" t="s">
        <v>867</v>
      </c>
      <c r="N13" s="1078" t="s">
        <v>868</v>
      </c>
      <c r="O13" s="1078" t="s">
        <v>869</v>
      </c>
      <c r="P13" s="1078" t="s">
        <v>870</v>
      </c>
      <c r="Q13" s="1202" t="s">
        <v>871</v>
      </c>
      <c r="R13" s="1201"/>
      <c r="S13" s="1203" t="s">
        <v>872</v>
      </c>
      <c r="T13" s="1203" t="s">
        <v>873</v>
      </c>
      <c r="U13" s="1203" t="s">
        <v>265</v>
      </c>
      <c r="V13" s="1204"/>
      <c r="W13" s="639"/>
      <c r="X13" s="604"/>
      <c r="Y13" s="604"/>
      <c r="Z13" s="854" t="s">
        <v>469</v>
      </c>
      <c r="AA13" s="855" t="s">
        <v>880</v>
      </c>
      <c r="AB13" s="856" t="s">
        <v>881</v>
      </c>
      <c r="AC13" s="856" t="s">
        <v>881</v>
      </c>
      <c r="AD13" s="856" t="s">
        <v>882</v>
      </c>
      <c r="AE13" s="856" t="s">
        <v>883</v>
      </c>
      <c r="AF13" s="856" t="s">
        <v>884</v>
      </c>
      <c r="AG13" s="856" t="s">
        <v>885</v>
      </c>
      <c r="AH13" s="856" t="s">
        <v>267</v>
      </c>
      <c r="AI13" s="857" t="s">
        <v>482</v>
      </c>
      <c r="AJ13" s="861"/>
      <c r="AK13" s="862"/>
      <c r="AL13" s="862"/>
      <c r="AM13" s="855"/>
      <c r="AN13" s="854"/>
      <c r="AO13" s="855"/>
      <c r="AP13" s="837"/>
      <c r="AQ13" s="837"/>
      <c r="AR13" s="837"/>
      <c r="AS13" s="837"/>
      <c r="AT13" s="837"/>
      <c r="AU13" s="836"/>
      <c r="AV13" s="836"/>
      <c r="AW13" s="836"/>
      <c r="AX13" s="836"/>
      <c r="AY13" s="836"/>
      <c r="AZ13" s="703"/>
      <c r="BA13" s="716"/>
      <c r="BB13" s="242"/>
    </row>
    <row r="14" spans="1:54" ht="12.75" customHeight="1" x14ac:dyDescent="0.2">
      <c r="B14" s="26"/>
      <c r="C14" s="1198"/>
      <c r="D14" s="1205"/>
      <c r="E14" s="1145"/>
      <c r="F14" s="1206"/>
      <c r="G14" s="1199" t="s">
        <v>269</v>
      </c>
      <c r="H14" s="1200" t="s">
        <v>270</v>
      </c>
      <c r="I14" s="1199"/>
      <c r="J14" s="1199"/>
      <c r="K14" s="1201"/>
      <c r="L14" s="1201"/>
      <c r="M14" s="1078" t="s">
        <v>874</v>
      </c>
      <c r="N14" s="1078" t="s">
        <v>875</v>
      </c>
      <c r="O14" s="1078" t="s">
        <v>876</v>
      </c>
      <c r="P14" s="1078" t="s">
        <v>877</v>
      </c>
      <c r="Q14" s="1202" t="s">
        <v>173</v>
      </c>
      <c r="R14" s="1201"/>
      <c r="S14" s="1203" t="s">
        <v>878</v>
      </c>
      <c r="T14" s="1203" t="s">
        <v>879</v>
      </c>
      <c r="U14" s="1203" t="s">
        <v>173</v>
      </c>
      <c r="V14" s="1204"/>
      <c r="W14" s="639"/>
      <c r="Z14" s="856" t="s">
        <v>886</v>
      </c>
      <c r="AA14" s="858">
        <f>tab!$C$131</f>
        <v>0.62</v>
      </c>
      <c r="AB14" s="856" t="s">
        <v>887</v>
      </c>
      <c r="AC14" s="856" t="s">
        <v>888</v>
      </c>
      <c r="AD14" s="856" t="s">
        <v>889</v>
      </c>
      <c r="AE14" s="856" t="s">
        <v>890</v>
      </c>
      <c r="AF14" s="856" t="s">
        <v>890</v>
      </c>
      <c r="AG14" s="856" t="s">
        <v>891</v>
      </c>
      <c r="AH14" s="856"/>
      <c r="AI14" s="856" t="s">
        <v>266</v>
      </c>
      <c r="AJ14" s="837"/>
      <c r="AS14" s="837"/>
      <c r="BB14" s="243"/>
    </row>
    <row r="15" spans="1:54" ht="12.75" customHeight="1" x14ac:dyDescent="0.2">
      <c r="B15" s="26"/>
      <c r="C15" s="1037"/>
      <c r="D15" s="1097"/>
      <c r="E15" s="1097"/>
      <c r="F15" s="1097"/>
      <c r="G15" s="1044"/>
      <c r="H15" s="1470"/>
      <c r="I15" s="1471"/>
      <c r="J15" s="1471"/>
      <c r="K15" s="1472"/>
      <c r="L15" s="1208"/>
      <c r="M15" s="1473"/>
      <c r="N15" s="1472"/>
      <c r="O15" s="1209"/>
      <c r="P15" s="1210"/>
      <c r="Q15" s="1210"/>
      <c r="R15" s="1208"/>
      <c r="S15" s="1210"/>
      <c r="T15" s="1210"/>
      <c r="U15" s="1211"/>
      <c r="V15" s="1211"/>
      <c r="W15" s="635"/>
      <c r="AA15" s="873"/>
      <c r="AB15" s="873"/>
      <c r="AC15" s="873"/>
      <c r="AD15" s="873"/>
      <c r="AE15" s="873"/>
      <c r="AF15" s="873"/>
      <c r="AG15" s="873"/>
      <c r="AH15" s="863"/>
      <c r="AI15" s="864"/>
      <c r="AJ15" s="862"/>
      <c r="AS15" s="837"/>
      <c r="BB15" s="243"/>
    </row>
    <row r="16" spans="1:54" x14ac:dyDescent="0.2">
      <c r="B16" s="26"/>
      <c r="C16" s="1042"/>
      <c r="D16" s="1219" t="s">
        <v>997</v>
      </c>
      <c r="E16" s="1220" t="s">
        <v>1029</v>
      </c>
      <c r="F16" s="1220"/>
      <c r="G16" s="1221">
        <v>22</v>
      </c>
      <c r="H16" s="1222">
        <v>29221</v>
      </c>
      <c r="I16" s="1221" t="s">
        <v>212</v>
      </c>
      <c r="J16" s="1221">
        <v>12</v>
      </c>
      <c r="K16" s="1223">
        <v>1</v>
      </c>
      <c r="L16" s="1216"/>
      <c r="M16" s="1224">
        <v>0</v>
      </c>
      <c r="N16" s="1225">
        <v>0</v>
      </c>
      <c r="O16" s="1226">
        <f>IF(K16="","",IF(K16*40&gt;40,40,K16*40))</f>
        <v>40</v>
      </c>
      <c r="P16" s="1226">
        <f>IF(I16="","",IF(OR(I16="LA",OR(I16="LB",OR(I16="LC",OR(I16="LD",OR(I16="LE"))))),1,0)*IF(J16&lt;4,IF(K16*40&gt;40,40,K16*40),0))</f>
        <v>0</v>
      </c>
      <c r="Q16" s="1227">
        <f>IF(K16="","",SUM(M16:P16))</f>
        <v>40</v>
      </c>
      <c r="R16" s="1216"/>
      <c r="S16" s="1228">
        <f>IF(J16="","",((1659*K16-Q16)*AC16))</f>
        <v>75227.464448462939</v>
      </c>
      <c r="T16" s="1228">
        <f>IF(K16="","",Q16*AD16+AB16*(AE16+AF16*(1-AG16)))</f>
        <v>1858.6155515370706</v>
      </c>
      <c r="U16" s="1229">
        <f t="shared" ref="U16:U35" si="0">IF(K16="","",(S16+T16))</f>
        <v>77086.080000000016</v>
      </c>
      <c r="V16" s="1234"/>
      <c r="W16" s="636"/>
      <c r="Z16" s="890">
        <f>IF(I16="","",5/12*VLOOKUP(I16,tabelsalaris15,J16+2,FALSE)+7/12*VLOOKUP(I16,tabelsalaris16,J16+2,FALSE))</f>
        <v>3965.3333333333335</v>
      </c>
      <c r="AA16" s="865">
        <f>AA$14</f>
        <v>0.62</v>
      </c>
      <c r="AB16" s="891">
        <f>Z16*12/1659</f>
        <v>28.682338758288125</v>
      </c>
      <c r="AC16" s="891">
        <f>Z16*12*(1+AA16)/1659</f>
        <v>46.465388788426765</v>
      </c>
      <c r="AD16" s="891">
        <f>AC16-AB16</f>
        <v>17.783050030138639</v>
      </c>
      <c r="AE16" s="892">
        <f>O16+P16</f>
        <v>40</v>
      </c>
      <c r="AF16" s="893">
        <f>M16+N16</f>
        <v>0</v>
      </c>
      <c r="AG16" s="865">
        <f>IF(H16&gt;8,tab!C$132,tab!C$134)</f>
        <v>0.5</v>
      </c>
      <c r="AH16" s="866">
        <f>IF(G16&lt;25,0,IF(G16=25,25,IF(G16&lt;40,0,IF(G16=40,40,IF(G16&gt;=40,0)))))</f>
        <v>0</v>
      </c>
      <c r="AI16" s="864">
        <f>IF(E16="",0,IF(AH16=25,Z16*1.08*K16/2,IF(AH16=40,Z16*1.08*K16,IF(AH16=0,0))))</f>
        <v>0</v>
      </c>
      <c r="AJ16" s="894"/>
      <c r="AN16" s="895"/>
      <c r="AQ16" s="874"/>
      <c r="AS16" s="837"/>
      <c r="AW16" s="869"/>
      <c r="AY16" s="837"/>
      <c r="AZ16" s="713"/>
    </row>
    <row r="17" spans="2:59" x14ac:dyDescent="0.2">
      <c r="B17" s="26"/>
      <c r="C17" s="1042"/>
      <c r="D17" s="1219" t="s">
        <v>997</v>
      </c>
      <c r="E17" s="1219" t="s">
        <v>997</v>
      </c>
      <c r="F17" s="1219" t="s">
        <v>997</v>
      </c>
      <c r="G17" s="1221" t="s">
        <v>997</v>
      </c>
      <c r="H17" s="1222" t="s">
        <v>997</v>
      </c>
      <c r="I17" s="1221" t="s">
        <v>997</v>
      </c>
      <c r="J17" s="1221" t="s">
        <v>997</v>
      </c>
      <c r="K17" s="1223" t="s">
        <v>997</v>
      </c>
      <c r="L17" s="1216"/>
      <c r="M17" s="1224" t="s">
        <v>997</v>
      </c>
      <c r="N17" s="1225" t="s">
        <v>997</v>
      </c>
      <c r="O17" s="1226" t="str">
        <f t="shared" ref="O17:O35" si="1">IF(K17="","",IF(K17*40&gt;40,40,K17*40))</f>
        <v/>
      </c>
      <c r="P17" s="1226" t="str">
        <f t="shared" ref="P17:P35" si="2">IF(I17="","",IF(OR(I17="LA",OR(I17="LB",OR(I17="LC",OR(I17="LD",OR(I17="LE"))))),1,0)*IF(J17&lt;4,IF(K17*40&gt;40,40,K17*40),0))</f>
        <v/>
      </c>
      <c r="Q17" s="1227" t="str">
        <f t="shared" ref="Q17:Q35" si="3">IF(K17="","",SUM(M17:P17))</f>
        <v/>
      </c>
      <c r="R17" s="1216"/>
      <c r="S17" s="1228" t="str">
        <f t="shared" ref="S17:S35" si="4">IF(J17="","",((1659*K17-Q17)*AC17))</f>
        <v/>
      </c>
      <c r="T17" s="1228" t="str">
        <f t="shared" ref="T17:T35" si="5">IF(K17="","",Q17*AD17+AB17*(AE17+AF17*(1-AG17)))</f>
        <v/>
      </c>
      <c r="U17" s="1229" t="str">
        <f t="shared" si="0"/>
        <v/>
      </c>
      <c r="V17" s="1234"/>
      <c r="W17" s="636"/>
      <c r="Z17" s="890" t="str">
        <f t="shared" ref="Z16:Z35" si="6">IF(I17="","",VLOOKUP(I17,tabelsalaris16,J17+2,FALSE))</f>
        <v/>
      </c>
      <c r="AA17" s="865">
        <f t="shared" ref="AA17:AA35" si="7">AA$14</f>
        <v>0.62</v>
      </c>
      <c r="AB17" s="891" t="e">
        <f t="shared" ref="AB17:AB35" si="8">Z17*12/1659</f>
        <v>#VALUE!</v>
      </c>
      <c r="AC17" s="891" t="e">
        <f t="shared" ref="AC17:AC35" si="9">Z17*12*(1+AA17)/1659</f>
        <v>#VALUE!</v>
      </c>
      <c r="AD17" s="891" t="e">
        <f t="shared" ref="AD17:AD35" si="10">AC17-AB17</f>
        <v>#VALUE!</v>
      </c>
      <c r="AE17" s="892" t="e">
        <f t="shared" ref="AE17:AE35" si="11">O17+P17</f>
        <v>#VALUE!</v>
      </c>
      <c r="AF17" s="893" t="e">
        <f t="shared" ref="AF17:AF35" si="12">M17+N17</f>
        <v>#VALUE!</v>
      </c>
      <c r="AG17" s="865">
        <f>IF(H17&gt;8,tab!C$132,tab!C$134)</f>
        <v>0.5</v>
      </c>
      <c r="AH17" s="866">
        <f t="shared" ref="AH17:AH35" si="13">IF(G17&lt;25,0,IF(G17=25,25,IF(G17&lt;40,0,IF(G17=40,40,IF(G17&gt;=40,0)))))</f>
        <v>0</v>
      </c>
      <c r="AI17" s="864">
        <f t="shared" ref="AI17:AI35" si="14">IF(E17="",0,IF(AH17=25,Z17*1.08*K17/2,IF(AH17=40,Z17*1.08*K17,IF(AH17=0,0))))</f>
        <v>0</v>
      </c>
      <c r="AJ17" s="894"/>
      <c r="AN17" s="895"/>
      <c r="AQ17" s="874"/>
      <c r="AS17" s="837"/>
      <c r="AW17" s="869"/>
      <c r="AY17" s="837"/>
      <c r="AZ17" s="713"/>
    </row>
    <row r="18" spans="2:59" x14ac:dyDescent="0.2">
      <c r="B18" s="26"/>
      <c r="C18" s="1042"/>
      <c r="D18" s="1219" t="s">
        <v>997</v>
      </c>
      <c r="E18" s="1220" t="s">
        <v>997</v>
      </c>
      <c r="F18" s="1220" t="s">
        <v>997</v>
      </c>
      <c r="G18" s="1124" t="s">
        <v>997</v>
      </c>
      <c r="H18" s="1230" t="s">
        <v>997</v>
      </c>
      <c r="I18" s="1221" t="s">
        <v>997</v>
      </c>
      <c r="J18" s="1124" t="s">
        <v>997</v>
      </c>
      <c r="K18" s="1231" t="s">
        <v>997</v>
      </c>
      <c r="L18" s="1217"/>
      <c r="M18" s="1224" t="s">
        <v>997</v>
      </c>
      <c r="N18" s="1225" t="s">
        <v>997</v>
      </c>
      <c r="O18" s="1226" t="str">
        <f t="shared" si="1"/>
        <v/>
      </c>
      <c r="P18" s="1226" t="str">
        <f t="shared" si="2"/>
        <v/>
      </c>
      <c r="Q18" s="1227" t="str">
        <f t="shared" si="3"/>
        <v/>
      </c>
      <c r="R18" s="1217"/>
      <c r="S18" s="1228" t="str">
        <f t="shared" si="4"/>
        <v/>
      </c>
      <c r="T18" s="1228" t="str">
        <f t="shared" si="5"/>
        <v/>
      </c>
      <c r="U18" s="1229" t="str">
        <f t="shared" si="0"/>
        <v/>
      </c>
      <c r="V18" s="1234"/>
      <c r="W18" s="636"/>
      <c r="Z18" s="890" t="str">
        <f t="shared" si="6"/>
        <v/>
      </c>
      <c r="AA18" s="865">
        <f t="shared" si="7"/>
        <v>0.62</v>
      </c>
      <c r="AB18" s="891" t="e">
        <f t="shared" si="8"/>
        <v>#VALUE!</v>
      </c>
      <c r="AC18" s="891" t="e">
        <f t="shared" si="9"/>
        <v>#VALUE!</v>
      </c>
      <c r="AD18" s="891" t="e">
        <f t="shared" si="10"/>
        <v>#VALUE!</v>
      </c>
      <c r="AE18" s="892" t="e">
        <f t="shared" si="11"/>
        <v>#VALUE!</v>
      </c>
      <c r="AF18" s="893" t="e">
        <f t="shared" si="12"/>
        <v>#VALUE!</v>
      </c>
      <c r="AG18" s="865">
        <f>IF(H18&gt;8,tab!C$132,tab!C$134)</f>
        <v>0.5</v>
      </c>
      <c r="AH18" s="866">
        <f t="shared" si="13"/>
        <v>0</v>
      </c>
      <c r="AI18" s="864">
        <f t="shared" si="14"/>
        <v>0</v>
      </c>
      <c r="AJ18" s="894"/>
      <c r="AN18" s="895"/>
      <c r="AQ18" s="874"/>
      <c r="AS18" s="837"/>
      <c r="AW18" s="869"/>
      <c r="AY18" s="837"/>
      <c r="AZ18" s="713"/>
      <c r="BG18" s="244"/>
    </row>
    <row r="19" spans="2:59" x14ac:dyDescent="0.2">
      <c r="B19" s="26"/>
      <c r="C19" s="1042"/>
      <c r="D19" s="1219" t="s">
        <v>997</v>
      </c>
      <c r="E19" s="1219" t="s">
        <v>997</v>
      </c>
      <c r="F19" s="1219" t="s">
        <v>997</v>
      </c>
      <c r="G19" s="1221" t="s">
        <v>997</v>
      </c>
      <c r="H19" s="1222" t="s">
        <v>997</v>
      </c>
      <c r="I19" s="1221" t="s">
        <v>997</v>
      </c>
      <c r="J19" s="1221" t="s">
        <v>997</v>
      </c>
      <c r="K19" s="1223" t="s">
        <v>997</v>
      </c>
      <c r="L19" s="1216"/>
      <c r="M19" s="1224" t="s">
        <v>997</v>
      </c>
      <c r="N19" s="1225" t="s">
        <v>997</v>
      </c>
      <c r="O19" s="1226" t="str">
        <f t="shared" si="1"/>
        <v/>
      </c>
      <c r="P19" s="1226" t="str">
        <f t="shared" si="2"/>
        <v/>
      </c>
      <c r="Q19" s="1227" t="str">
        <f t="shared" si="3"/>
        <v/>
      </c>
      <c r="R19" s="1216"/>
      <c r="S19" s="1228" t="str">
        <f t="shared" si="4"/>
        <v/>
      </c>
      <c r="T19" s="1228" t="str">
        <f t="shared" si="5"/>
        <v/>
      </c>
      <c r="U19" s="1229" t="str">
        <f t="shared" si="0"/>
        <v/>
      </c>
      <c r="V19" s="1234"/>
      <c r="W19" s="636"/>
      <c r="Z19" s="890" t="str">
        <f t="shared" si="6"/>
        <v/>
      </c>
      <c r="AA19" s="865">
        <f t="shared" si="7"/>
        <v>0.62</v>
      </c>
      <c r="AB19" s="891" t="e">
        <f t="shared" si="8"/>
        <v>#VALUE!</v>
      </c>
      <c r="AC19" s="891" t="e">
        <f t="shared" si="9"/>
        <v>#VALUE!</v>
      </c>
      <c r="AD19" s="891" t="e">
        <f t="shared" si="10"/>
        <v>#VALUE!</v>
      </c>
      <c r="AE19" s="892" t="e">
        <f t="shared" si="11"/>
        <v>#VALUE!</v>
      </c>
      <c r="AF19" s="893" t="e">
        <f t="shared" si="12"/>
        <v>#VALUE!</v>
      </c>
      <c r="AG19" s="865">
        <f>IF(H19&gt;8,tab!C$132,tab!C$134)</f>
        <v>0.5</v>
      </c>
      <c r="AH19" s="866">
        <f t="shared" si="13"/>
        <v>0</v>
      </c>
      <c r="AI19" s="864">
        <f t="shared" si="14"/>
        <v>0</v>
      </c>
      <c r="AJ19" s="894"/>
      <c r="AN19" s="895"/>
      <c r="AQ19" s="874"/>
      <c r="AS19" s="837"/>
      <c r="AW19" s="869"/>
      <c r="AY19" s="837"/>
      <c r="AZ19" s="713"/>
      <c r="BG19" s="244"/>
    </row>
    <row r="20" spans="2:59" x14ac:dyDescent="0.2">
      <c r="B20" s="26"/>
      <c r="C20" s="1042"/>
      <c r="D20" s="1219" t="s">
        <v>997</v>
      </c>
      <c r="E20" s="1219" t="s">
        <v>997</v>
      </c>
      <c r="F20" s="1219" t="s">
        <v>997</v>
      </c>
      <c r="G20" s="1221" t="s">
        <v>997</v>
      </c>
      <c r="H20" s="1222" t="s">
        <v>997</v>
      </c>
      <c r="I20" s="1221" t="s">
        <v>997</v>
      </c>
      <c r="J20" s="1221" t="s">
        <v>997</v>
      </c>
      <c r="K20" s="1223" t="s">
        <v>997</v>
      </c>
      <c r="L20" s="1216"/>
      <c r="M20" s="1224" t="s">
        <v>997</v>
      </c>
      <c r="N20" s="1225" t="s">
        <v>997</v>
      </c>
      <c r="O20" s="1226" t="str">
        <f t="shared" si="1"/>
        <v/>
      </c>
      <c r="P20" s="1226" t="str">
        <f t="shared" si="2"/>
        <v/>
      </c>
      <c r="Q20" s="1227" t="str">
        <f t="shared" si="3"/>
        <v/>
      </c>
      <c r="R20" s="1216"/>
      <c r="S20" s="1228" t="str">
        <f t="shared" si="4"/>
        <v/>
      </c>
      <c r="T20" s="1228" t="str">
        <f t="shared" si="5"/>
        <v/>
      </c>
      <c r="U20" s="1229" t="str">
        <f t="shared" si="0"/>
        <v/>
      </c>
      <c r="V20" s="1234"/>
      <c r="W20" s="636"/>
      <c r="Z20" s="890" t="str">
        <f t="shared" si="6"/>
        <v/>
      </c>
      <c r="AA20" s="865">
        <f t="shared" si="7"/>
        <v>0.62</v>
      </c>
      <c r="AB20" s="891" t="e">
        <f t="shared" si="8"/>
        <v>#VALUE!</v>
      </c>
      <c r="AC20" s="891" t="e">
        <f t="shared" si="9"/>
        <v>#VALUE!</v>
      </c>
      <c r="AD20" s="891" t="e">
        <f t="shared" si="10"/>
        <v>#VALUE!</v>
      </c>
      <c r="AE20" s="892" t="e">
        <f t="shared" si="11"/>
        <v>#VALUE!</v>
      </c>
      <c r="AF20" s="893" t="e">
        <f t="shared" si="12"/>
        <v>#VALUE!</v>
      </c>
      <c r="AG20" s="865">
        <f>IF(H20&gt;8,tab!C$132,tab!C$134)</f>
        <v>0.5</v>
      </c>
      <c r="AH20" s="866">
        <f t="shared" si="13"/>
        <v>0</v>
      </c>
      <c r="AI20" s="864">
        <f t="shared" si="14"/>
        <v>0</v>
      </c>
      <c r="AJ20" s="894"/>
      <c r="AN20" s="895"/>
      <c r="AQ20" s="874"/>
      <c r="AS20" s="837"/>
      <c r="AW20" s="869"/>
      <c r="AY20" s="837"/>
      <c r="AZ20" s="713"/>
      <c r="BG20" s="244"/>
    </row>
    <row r="21" spans="2:59" x14ac:dyDescent="0.2">
      <c r="B21" s="26"/>
      <c r="C21" s="1042"/>
      <c r="D21" s="1219" t="s">
        <v>997</v>
      </c>
      <c r="E21" s="1219" t="s">
        <v>997</v>
      </c>
      <c r="F21" s="1219" t="s">
        <v>997</v>
      </c>
      <c r="G21" s="1221" t="s">
        <v>997</v>
      </c>
      <c r="H21" s="1222" t="s">
        <v>997</v>
      </c>
      <c r="I21" s="1221" t="s">
        <v>997</v>
      </c>
      <c r="J21" s="1221" t="s">
        <v>997</v>
      </c>
      <c r="K21" s="1223" t="s">
        <v>997</v>
      </c>
      <c r="L21" s="1216"/>
      <c r="M21" s="1224" t="s">
        <v>997</v>
      </c>
      <c r="N21" s="1225" t="s">
        <v>997</v>
      </c>
      <c r="O21" s="1226" t="str">
        <f t="shared" si="1"/>
        <v/>
      </c>
      <c r="P21" s="1226" t="str">
        <f t="shared" si="2"/>
        <v/>
      </c>
      <c r="Q21" s="1227" t="str">
        <f t="shared" si="3"/>
        <v/>
      </c>
      <c r="R21" s="1216"/>
      <c r="S21" s="1228" t="str">
        <f t="shared" si="4"/>
        <v/>
      </c>
      <c r="T21" s="1228" t="str">
        <f t="shared" si="5"/>
        <v/>
      </c>
      <c r="U21" s="1229" t="str">
        <f t="shared" si="0"/>
        <v/>
      </c>
      <c r="V21" s="1234"/>
      <c r="W21" s="636"/>
      <c r="Z21" s="890" t="str">
        <f t="shared" si="6"/>
        <v/>
      </c>
      <c r="AA21" s="865">
        <f t="shared" si="7"/>
        <v>0.62</v>
      </c>
      <c r="AB21" s="891" t="e">
        <f t="shared" si="8"/>
        <v>#VALUE!</v>
      </c>
      <c r="AC21" s="891" t="e">
        <f t="shared" si="9"/>
        <v>#VALUE!</v>
      </c>
      <c r="AD21" s="891" t="e">
        <f t="shared" si="10"/>
        <v>#VALUE!</v>
      </c>
      <c r="AE21" s="892" t="e">
        <f t="shared" si="11"/>
        <v>#VALUE!</v>
      </c>
      <c r="AF21" s="893" t="e">
        <f t="shared" si="12"/>
        <v>#VALUE!</v>
      </c>
      <c r="AG21" s="865">
        <f>IF(H21&gt;8,tab!C$132,tab!C$134)</f>
        <v>0.5</v>
      </c>
      <c r="AH21" s="866">
        <f t="shared" si="13"/>
        <v>0</v>
      </c>
      <c r="AI21" s="864">
        <f t="shared" si="14"/>
        <v>0</v>
      </c>
      <c r="AJ21" s="894"/>
      <c r="AN21" s="895"/>
      <c r="AQ21" s="874"/>
      <c r="AS21" s="837"/>
      <c r="AW21" s="869"/>
      <c r="AY21" s="837"/>
      <c r="AZ21" s="713"/>
      <c r="BG21" s="244"/>
    </row>
    <row r="22" spans="2:59" x14ac:dyDescent="0.2">
      <c r="B22" s="26"/>
      <c r="C22" s="1042"/>
      <c r="D22" s="1219" t="s">
        <v>997</v>
      </c>
      <c r="E22" s="1219" t="s">
        <v>997</v>
      </c>
      <c r="F22" s="1219" t="s">
        <v>997</v>
      </c>
      <c r="G22" s="1221" t="s">
        <v>997</v>
      </c>
      <c r="H22" s="1222" t="s">
        <v>997</v>
      </c>
      <c r="I22" s="1221" t="s">
        <v>997</v>
      </c>
      <c r="J22" s="1221" t="s">
        <v>997</v>
      </c>
      <c r="K22" s="1223" t="s">
        <v>997</v>
      </c>
      <c r="L22" s="1216"/>
      <c r="M22" s="1224" t="s">
        <v>997</v>
      </c>
      <c r="N22" s="1225" t="s">
        <v>997</v>
      </c>
      <c r="O22" s="1226" t="str">
        <f t="shared" si="1"/>
        <v/>
      </c>
      <c r="P22" s="1226" t="str">
        <f t="shared" si="2"/>
        <v/>
      </c>
      <c r="Q22" s="1227" t="str">
        <f t="shared" si="3"/>
        <v/>
      </c>
      <c r="R22" s="1216"/>
      <c r="S22" s="1228" t="str">
        <f t="shared" si="4"/>
        <v/>
      </c>
      <c r="T22" s="1228" t="str">
        <f t="shared" si="5"/>
        <v/>
      </c>
      <c r="U22" s="1229" t="str">
        <f t="shared" si="0"/>
        <v/>
      </c>
      <c r="V22" s="1234"/>
      <c r="W22" s="636"/>
      <c r="Z22" s="890" t="str">
        <f t="shared" si="6"/>
        <v/>
      </c>
      <c r="AA22" s="865">
        <f t="shared" si="7"/>
        <v>0.62</v>
      </c>
      <c r="AB22" s="891" t="e">
        <f t="shared" si="8"/>
        <v>#VALUE!</v>
      </c>
      <c r="AC22" s="891" t="e">
        <f t="shared" si="9"/>
        <v>#VALUE!</v>
      </c>
      <c r="AD22" s="891" t="e">
        <f t="shared" si="10"/>
        <v>#VALUE!</v>
      </c>
      <c r="AE22" s="892" t="e">
        <f t="shared" si="11"/>
        <v>#VALUE!</v>
      </c>
      <c r="AF22" s="893" t="e">
        <f t="shared" si="12"/>
        <v>#VALUE!</v>
      </c>
      <c r="AG22" s="865">
        <f>IF(H22&gt;8,tab!C$132,tab!C$134)</f>
        <v>0.5</v>
      </c>
      <c r="AH22" s="866">
        <f t="shared" si="13"/>
        <v>0</v>
      </c>
      <c r="AI22" s="864">
        <f t="shared" si="14"/>
        <v>0</v>
      </c>
      <c r="AJ22" s="894"/>
      <c r="AN22" s="895"/>
      <c r="AQ22" s="874"/>
      <c r="AS22" s="837"/>
      <c r="AW22" s="869"/>
      <c r="AY22" s="837"/>
      <c r="AZ22" s="713"/>
      <c r="BG22" s="244"/>
    </row>
    <row r="23" spans="2:59" x14ac:dyDescent="0.2">
      <c r="B23" s="26"/>
      <c r="C23" s="1042"/>
      <c r="D23" s="1219" t="s">
        <v>997</v>
      </c>
      <c r="E23" s="1219" t="s">
        <v>997</v>
      </c>
      <c r="F23" s="1219" t="s">
        <v>997</v>
      </c>
      <c r="G23" s="1221" t="s">
        <v>997</v>
      </c>
      <c r="H23" s="1222" t="s">
        <v>997</v>
      </c>
      <c r="I23" s="1221" t="s">
        <v>997</v>
      </c>
      <c r="J23" s="1221" t="s">
        <v>997</v>
      </c>
      <c r="K23" s="1223" t="s">
        <v>997</v>
      </c>
      <c r="L23" s="1216"/>
      <c r="M23" s="1224" t="s">
        <v>997</v>
      </c>
      <c r="N23" s="1225" t="s">
        <v>997</v>
      </c>
      <c r="O23" s="1226" t="str">
        <f t="shared" si="1"/>
        <v/>
      </c>
      <c r="P23" s="1226" t="str">
        <f t="shared" si="2"/>
        <v/>
      </c>
      <c r="Q23" s="1227" t="str">
        <f t="shared" si="3"/>
        <v/>
      </c>
      <c r="R23" s="1216"/>
      <c r="S23" s="1228" t="str">
        <f t="shared" si="4"/>
        <v/>
      </c>
      <c r="T23" s="1228" t="str">
        <f t="shared" si="5"/>
        <v/>
      </c>
      <c r="U23" s="1229" t="str">
        <f t="shared" si="0"/>
        <v/>
      </c>
      <c r="V23" s="1234"/>
      <c r="W23" s="636"/>
      <c r="Z23" s="890" t="str">
        <f t="shared" si="6"/>
        <v/>
      </c>
      <c r="AA23" s="865">
        <f t="shared" si="7"/>
        <v>0.62</v>
      </c>
      <c r="AB23" s="891" t="e">
        <f t="shared" si="8"/>
        <v>#VALUE!</v>
      </c>
      <c r="AC23" s="891" t="e">
        <f t="shared" si="9"/>
        <v>#VALUE!</v>
      </c>
      <c r="AD23" s="891" t="e">
        <f t="shared" si="10"/>
        <v>#VALUE!</v>
      </c>
      <c r="AE23" s="892" t="e">
        <f t="shared" si="11"/>
        <v>#VALUE!</v>
      </c>
      <c r="AF23" s="893" t="e">
        <f t="shared" si="12"/>
        <v>#VALUE!</v>
      </c>
      <c r="AG23" s="865">
        <f>IF(H23&gt;8,tab!C$132,tab!C$134)</f>
        <v>0.5</v>
      </c>
      <c r="AH23" s="866">
        <f t="shared" si="13"/>
        <v>0</v>
      </c>
      <c r="AI23" s="864">
        <f t="shared" si="14"/>
        <v>0</v>
      </c>
      <c r="AJ23" s="894"/>
      <c r="AN23" s="895"/>
      <c r="AQ23" s="874"/>
      <c r="AS23" s="837"/>
      <c r="AW23" s="869"/>
      <c r="AY23" s="837"/>
      <c r="AZ23" s="713"/>
      <c r="BG23" s="244"/>
    </row>
    <row r="24" spans="2:59" x14ac:dyDescent="0.2">
      <c r="B24" s="26"/>
      <c r="C24" s="1042"/>
      <c r="D24" s="1219" t="s">
        <v>997</v>
      </c>
      <c r="E24" s="1219" t="s">
        <v>997</v>
      </c>
      <c r="F24" s="1219" t="s">
        <v>997</v>
      </c>
      <c r="G24" s="1221" t="s">
        <v>997</v>
      </c>
      <c r="H24" s="1222" t="s">
        <v>997</v>
      </c>
      <c r="I24" s="1221" t="s">
        <v>997</v>
      </c>
      <c r="J24" s="1221" t="s">
        <v>997</v>
      </c>
      <c r="K24" s="1223" t="s">
        <v>997</v>
      </c>
      <c r="L24" s="1216"/>
      <c r="M24" s="1224" t="s">
        <v>997</v>
      </c>
      <c r="N24" s="1225" t="s">
        <v>997</v>
      </c>
      <c r="O24" s="1226" t="str">
        <f t="shared" si="1"/>
        <v/>
      </c>
      <c r="P24" s="1226" t="str">
        <f t="shared" si="2"/>
        <v/>
      </c>
      <c r="Q24" s="1227" t="str">
        <f t="shared" si="3"/>
        <v/>
      </c>
      <c r="R24" s="1216"/>
      <c r="S24" s="1228" t="str">
        <f t="shared" si="4"/>
        <v/>
      </c>
      <c r="T24" s="1228" t="str">
        <f t="shared" si="5"/>
        <v/>
      </c>
      <c r="U24" s="1229" t="str">
        <f t="shared" si="0"/>
        <v/>
      </c>
      <c r="V24" s="1234"/>
      <c r="W24" s="636"/>
      <c r="Z24" s="890" t="str">
        <f t="shared" si="6"/>
        <v/>
      </c>
      <c r="AA24" s="865">
        <f t="shared" si="7"/>
        <v>0.62</v>
      </c>
      <c r="AB24" s="891" t="e">
        <f t="shared" si="8"/>
        <v>#VALUE!</v>
      </c>
      <c r="AC24" s="891" t="e">
        <f t="shared" si="9"/>
        <v>#VALUE!</v>
      </c>
      <c r="AD24" s="891" t="e">
        <f t="shared" si="10"/>
        <v>#VALUE!</v>
      </c>
      <c r="AE24" s="892" t="e">
        <f t="shared" si="11"/>
        <v>#VALUE!</v>
      </c>
      <c r="AF24" s="893" t="e">
        <f t="shared" si="12"/>
        <v>#VALUE!</v>
      </c>
      <c r="AG24" s="865">
        <f>IF(H24&gt;8,tab!C$132,tab!C$134)</f>
        <v>0.5</v>
      </c>
      <c r="AH24" s="866">
        <f t="shared" si="13"/>
        <v>0</v>
      </c>
      <c r="AI24" s="864">
        <f t="shared" si="14"/>
        <v>0</v>
      </c>
      <c r="AJ24" s="894"/>
      <c r="AN24" s="895"/>
      <c r="AQ24" s="874"/>
      <c r="AS24" s="837"/>
      <c r="AW24" s="869"/>
      <c r="AY24" s="837"/>
      <c r="AZ24" s="713"/>
      <c r="BG24" s="244"/>
    </row>
    <row r="25" spans="2:59" x14ac:dyDescent="0.2">
      <c r="B25" s="26"/>
      <c r="C25" s="1042"/>
      <c r="D25" s="1219" t="s">
        <v>997</v>
      </c>
      <c r="E25" s="1219" t="s">
        <v>997</v>
      </c>
      <c r="F25" s="1219" t="s">
        <v>997</v>
      </c>
      <c r="G25" s="1221" t="s">
        <v>997</v>
      </c>
      <c r="H25" s="1222" t="s">
        <v>997</v>
      </c>
      <c r="I25" s="1221" t="s">
        <v>997</v>
      </c>
      <c r="J25" s="1221" t="s">
        <v>997</v>
      </c>
      <c r="K25" s="1223" t="s">
        <v>997</v>
      </c>
      <c r="L25" s="1216"/>
      <c r="M25" s="1224" t="s">
        <v>997</v>
      </c>
      <c r="N25" s="1225" t="s">
        <v>997</v>
      </c>
      <c r="O25" s="1226" t="str">
        <f t="shared" si="1"/>
        <v/>
      </c>
      <c r="P25" s="1226" t="str">
        <f t="shared" si="2"/>
        <v/>
      </c>
      <c r="Q25" s="1227" t="str">
        <f t="shared" si="3"/>
        <v/>
      </c>
      <c r="R25" s="1216"/>
      <c r="S25" s="1228" t="str">
        <f t="shared" si="4"/>
        <v/>
      </c>
      <c r="T25" s="1228" t="str">
        <f t="shared" si="5"/>
        <v/>
      </c>
      <c r="U25" s="1229" t="str">
        <f t="shared" si="0"/>
        <v/>
      </c>
      <c r="V25" s="1234"/>
      <c r="W25" s="636"/>
      <c r="Z25" s="890" t="str">
        <f t="shared" si="6"/>
        <v/>
      </c>
      <c r="AA25" s="865">
        <f t="shared" si="7"/>
        <v>0.62</v>
      </c>
      <c r="AB25" s="891" t="e">
        <f t="shared" si="8"/>
        <v>#VALUE!</v>
      </c>
      <c r="AC25" s="891" t="e">
        <f t="shared" si="9"/>
        <v>#VALUE!</v>
      </c>
      <c r="AD25" s="891" t="e">
        <f t="shared" si="10"/>
        <v>#VALUE!</v>
      </c>
      <c r="AE25" s="892" t="e">
        <f t="shared" si="11"/>
        <v>#VALUE!</v>
      </c>
      <c r="AF25" s="893" t="e">
        <f t="shared" si="12"/>
        <v>#VALUE!</v>
      </c>
      <c r="AG25" s="865">
        <f>IF(H25&gt;8,tab!C$132,tab!C$134)</f>
        <v>0.5</v>
      </c>
      <c r="AH25" s="866">
        <f t="shared" si="13"/>
        <v>0</v>
      </c>
      <c r="AI25" s="864">
        <f t="shared" si="14"/>
        <v>0</v>
      </c>
      <c r="AJ25" s="894"/>
      <c r="AN25" s="895"/>
      <c r="AQ25" s="874"/>
      <c r="AS25" s="837"/>
      <c r="AW25" s="869"/>
      <c r="AY25" s="837"/>
      <c r="AZ25" s="713"/>
      <c r="BG25" s="244"/>
    </row>
    <row r="26" spans="2:59" x14ac:dyDescent="0.2">
      <c r="B26" s="26"/>
      <c r="C26" s="1042"/>
      <c r="D26" s="1219" t="s">
        <v>997</v>
      </c>
      <c r="E26" s="1219" t="s">
        <v>997</v>
      </c>
      <c r="F26" s="1219" t="s">
        <v>997</v>
      </c>
      <c r="G26" s="1221" t="s">
        <v>997</v>
      </c>
      <c r="H26" s="1222" t="s">
        <v>997</v>
      </c>
      <c r="I26" s="1221" t="s">
        <v>997</v>
      </c>
      <c r="J26" s="1221" t="s">
        <v>997</v>
      </c>
      <c r="K26" s="1223" t="s">
        <v>997</v>
      </c>
      <c r="L26" s="1216"/>
      <c r="M26" s="1224" t="s">
        <v>997</v>
      </c>
      <c r="N26" s="1225" t="s">
        <v>997</v>
      </c>
      <c r="O26" s="1226" t="str">
        <f t="shared" si="1"/>
        <v/>
      </c>
      <c r="P26" s="1226" t="str">
        <f t="shared" si="2"/>
        <v/>
      </c>
      <c r="Q26" s="1227" t="str">
        <f t="shared" si="3"/>
        <v/>
      </c>
      <c r="R26" s="1216"/>
      <c r="S26" s="1228" t="str">
        <f t="shared" si="4"/>
        <v/>
      </c>
      <c r="T26" s="1228" t="str">
        <f t="shared" si="5"/>
        <v/>
      </c>
      <c r="U26" s="1229" t="str">
        <f t="shared" si="0"/>
        <v/>
      </c>
      <c r="V26" s="1234"/>
      <c r="W26" s="636"/>
      <c r="Z26" s="890" t="str">
        <f t="shared" si="6"/>
        <v/>
      </c>
      <c r="AA26" s="865">
        <f t="shared" si="7"/>
        <v>0.62</v>
      </c>
      <c r="AB26" s="891" t="e">
        <f t="shared" si="8"/>
        <v>#VALUE!</v>
      </c>
      <c r="AC26" s="891" t="e">
        <f t="shared" si="9"/>
        <v>#VALUE!</v>
      </c>
      <c r="AD26" s="891" t="e">
        <f t="shared" si="10"/>
        <v>#VALUE!</v>
      </c>
      <c r="AE26" s="892" t="e">
        <f t="shared" si="11"/>
        <v>#VALUE!</v>
      </c>
      <c r="AF26" s="893" t="e">
        <f t="shared" si="12"/>
        <v>#VALUE!</v>
      </c>
      <c r="AG26" s="865">
        <f>IF(H26&gt;8,tab!C$132,tab!C$134)</f>
        <v>0.5</v>
      </c>
      <c r="AH26" s="866">
        <f t="shared" si="13"/>
        <v>0</v>
      </c>
      <c r="AI26" s="864">
        <f t="shared" si="14"/>
        <v>0</v>
      </c>
      <c r="AJ26" s="894"/>
      <c r="AN26" s="895"/>
      <c r="AQ26" s="874"/>
      <c r="AS26" s="837"/>
      <c r="AW26" s="869"/>
      <c r="AY26" s="837"/>
      <c r="AZ26" s="713"/>
      <c r="BG26" s="244"/>
    </row>
    <row r="27" spans="2:59" x14ac:dyDescent="0.2">
      <c r="B27" s="26"/>
      <c r="C27" s="1042"/>
      <c r="D27" s="1219" t="s">
        <v>997</v>
      </c>
      <c r="E27" s="1219" t="s">
        <v>997</v>
      </c>
      <c r="F27" s="1219" t="s">
        <v>997</v>
      </c>
      <c r="G27" s="1221" t="s">
        <v>997</v>
      </c>
      <c r="H27" s="1222" t="s">
        <v>997</v>
      </c>
      <c r="I27" s="1221" t="s">
        <v>997</v>
      </c>
      <c r="J27" s="1221" t="s">
        <v>997</v>
      </c>
      <c r="K27" s="1223" t="s">
        <v>997</v>
      </c>
      <c r="L27" s="1216"/>
      <c r="M27" s="1224" t="s">
        <v>997</v>
      </c>
      <c r="N27" s="1225" t="s">
        <v>997</v>
      </c>
      <c r="O27" s="1226" t="str">
        <f t="shared" si="1"/>
        <v/>
      </c>
      <c r="P27" s="1226" t="str">
        <f t="shared" si="2"/>
        <v/>
      </c>
      <c r="Q27" s="1227" t="str">
        <f t="shared" si="3"/>
        <v/>
      </c>
      <c r="R27" s="1216"/>
      <c r="S27" s="1228" t="str">
        <f t="shared" si="4"/>
        <v/>
      </c>
      <c r="T27" s="1228" t="str">
        <f t="shared" si="5"/>
        <v/>
      </c>
      <c r="U27" s="1229" t="str">
        <f t="shared" si="0"/>
        <v/>
      </c>
      <c r="V27" s="1234"/>
      <c r="W27" s="636"/>
      <c r="Z27" s="890" t="str">
        <f t="shared" si="6"/>
        <v/>
      </c>
      <c r="AA27" s="865">
        <f t="shared" si="7"/>
        <v>0.62</v>
      </c>
      <c r="AB27" s="891" t="e">
        <f t="shared" si="8"/>
        <v>#VALUE!</v>
      </c>
      <c r="AC27" s="891" t="e">
        <f t="shared" si="9"/>
        <v>#VALUE!</v>
      </c>
      <c r="AD27" s="891" t="e">
        <f t="shared" si="10"/>
        <v>#VALUE!</v>
      </c>
      <c r="AE27" s="892" t="e">
        <f t="shared" si="11"/>
        <v>#VALUE!</v>
      </c>
      <c r="AF27" s="893" t="e">
        <f t="shared" si="12"/>
        <v>#VALUE!</v>
      </c>
      <c r="AG27" s="865">
        <f>IF(H27&gt;8,tab!C$132,tab!C$134)</f>
        <v>0.5</v>
      </c>
      <c r="AH27" s="866">
        <f t="shared" si="13"/>
        <v>0</v>
      </c>
      <c r="AI27" s="864">
        <f t="shared" si="14"/>
        <v>0</v>
      </c>
      <c r="AJ27" s="894"/>
      <c r="AN27" s="895"/>
      <c r="AQ27" s="874"/>
      <c r="AS27" s="837"/>
      <c r="AW27" s="869"/>
      <c r="AY27" s="837"/>
      <c r="AZ27" s="713"/>
      <c r="BG27" s="244"/>
    </row>
    <row r="28" spans="2:59" x14ac:dyDescent="0.2">
      <c r="B28" s="26"/>
      <c r="C28" s="1042"/>
      <c r="D28" s="1219" t="s">
        <v>997</v>
      </c>
      <c r="E28" s="1219" t="s">
        <v>997</v>
      </c>
      <c r="F28" s="1219" t="s">
        <v>997</v>
      </c>
      <c r="G28" s="1221" t="s">
        <v>997</v>
      </c>
      <c r="H28" s="1222" t="s">
        <v>997</v>
      </c>
      <c r="I28" s="1221" t="s">
        <v>997</v>
      </c>
      <c r="J28" s="1221" t="s">
        <v>997</v>
      </c>
      <c r="K28" s="1223" t="s">
        <v>997</v>
      </c>
      <c r="L28" s="1216"/>
      <c r="M28" s="1224" t="s">
        <v>997</v>
      </c>
      <c r="N28" s="1225" t="s">
        <v>997</v>
      </c>
      <c r="O28" s="1226" t="str">
        <f t="shared" si="1"/>
        <v/>
      </c>
      <c r="P28" s="1226" t="str">
        <f t="shared" si="2"/>
        <v/>
      </c>
      <c r="Q28" s="1227" t="str">
        <f t="shared" si="3"/>
        <v/>
      </c>
      <c r="R28" s="1216"/>
      <c r="S28" s="1228" t="str">
        <f t="shared" si="4"/>
        <v/>
      </c>
      <c r="T28" s="1228" t="str">
        <f t="shared" si="5"/>
        <v/>
      </c>
      <c r="U28" s="1229" t="str">
        <f t="shared" si="0"/>
        <v/>
      </c>
      <c r="V28" s="1234"/>
      <c r="W28" s="636"/>
      <c r="Z28" s="890" t="str">
        <f t="shared" si="6"/>
        <v/>
      </c>
      <c r="AA28" s="865">
        <f t="shared" si="7"/>
        <v>0.62</v>
      </c>
      <c r="AB28" s="891" t="e">
        <f t="shared" si="8"/>
        <v>#VALUE!</v>
      </c>
      <c r="AC28" s="891" t="e">
        <f t="shared" si="9"/>
        <v>#VALUE!</v>
      </c>
      <c r="AD28" s="891" t="e">
        <f t="shared" si="10"/>
        <v>#VALUE!</v>
      </c>
      <c r="AE28" s="892" t="e">
        <f t="shared" si="11"/>
        <v>#VALUE!</v>
      </c>
      <c r="AF28" s="893" t="e">
        <f t="shared" si="12"/>
        <v>#VALUE!</v>
      </c>
      <c r="AG28" s="865">
        <f>IF(H28&gt;8,tab!C$132,tab!C$134)</f>
        <v>0.5</v>
      </c>
      <c r="AH28" s="866">
        <f t="shared" si="13"/>
        <v>0</v>
      </c>
      <c r="AI28" s="864">
        <f t="shared" si="14"/>
        <v>0</v>
      </c>
      <c r="AJ28" s="894"/>
      <c r="AN28" s="895"/>
      <c r="AQ28" s="874"/>
      <c r="AS28" s="837"/>
      <c r="AW28" s="869"/>
      <c r="AY28" s="837"/>
      <c r="AZ28" s="713"/>
      <c r="BG28" s="244"/>
    </row>
    <row r="29" spans="2:59" x14ac:dyDescent="0.2">
      <c r="B29" s="26"/>
      <c r="C29" s="1042"/>
      <c r="D29" s="1219" t="s">
        <v>997</v>
      </c>
      <c r="E29" s="1219" t="s">
        <v>997</v>
      </c>
      <c r="F29" s="1219" t="s">
        <v>997</v>
      </c>
      <c r="G29" s="1221" t="s">
        <v>997</v>
      </c>
      <c r="H29" s="1222" t="s">
        <v>997</v>
      </c>
      <c r="I29" s="1221" t="s">
        <v>997</v>
      </c>
      <c r="J29" s="1221" t="s">
        <v>997</v>
      </c>
      <c r="K29" s="1223" t="s">
        <v>997</v>
      </c>
      <c r="L29" s="1216"/>
      <c r="M29" s="1224" t="s">
        <v>997</v>
      </c>
      <c r="N29" s="1225" t="s">
        <v>997</v>
      </c>
      <c r="O29" s="1226" t="str">
        <f t="shared" si="1"/>
        <v/>
      </c>
      <c r="P29" s="1226" t="str">
        <f t="shared" si="2"/>
        <v/>
      </c>
      <c r="Q29" s="1227" t="str">
        <f t="shared" si="3"/>
        <v/>
      </c>
      <c r="R29" s="1216"/>
      <c r="S29" s="1228" t="str">
        <f t="shared" si="4"/>
        <v/>
      </c>
      <c r="T29" s="1228" t="str">
        <f t="shared" si="5"/>
        <v/>
      </c>
      <c r="U29" s="1229" t="str">
        <f t="shared" si="0"/>
        <v/>
      </c>
      <c r="V29" s="1234"/>
      <c r="W29" s="636"/>
      <c r="Z29" s="890" t="str">
        <f t="shared" si="6"/>
        <v/>
      </c>
      <c r="AA29" s="865">
        <f t="shared" si="7"/>
        <v>0.62</v>
      </c>
      <c r="AB29" s="891" t="e">
        <f t="shared" si="8"/>
        <v>#VALUE!</v>
      </c>
      <c r="AC29" s="891" t="e">
        <f t="shared" si="9"/>
        <v>#VALUE!</v>
      </c>
      <c r="AD29" s="891" t="e">
        <f t="shared" si="10"/>
        <v>#VALUE!</v>
      </c>
      <c r="AE29" s="892" t="e">
        <f t="shared" si="11"/>
        <v>#VALUE!</v>
      </c>
      <c r="AF29" s="893" t="e">
        <f t="shared" si="12"/>
        <v>#VALUE!</v>
      </c>
      <c r="AG29" s="865">
        <f>IF(H29&gt;8,tab!C$132,tab!C$134)</f>
        <v>0.5</v>
      </c>
      <c r="AH29" s="866">
        <f t="shared" si="13"/>
        <v>0</v>
      </c>
      <c r="AI29" s="864">
        <f t="shared" si="14"/>
        <v>0</v>
      </c>
      <c r="AJ29" s="894"/>
      <c r="AN29" s="895"/>
      <c r="AQ29" s="874"/>
      <c r="AS29" s="837"/>
      <c r="AW29" s="869"/>
      <c r="AY29" s="837"/>
      <c r="AZ29" s="713"/>
      <c r="BG29" s="244"/>
    </row>
    <row r="30" spans="2:59" x14ac:dyDescent="0.2">
      <c r="B30" s="26"/>
      <c r="C30" s="1042"/>
      <c r="D30" s="1219" t="s">
        <v>997</v>
      </c>
      <c r="E30" s="1219" t="s">
        <v>997</v>
      </c>
      <c r="F30" s="1219" t="s">
        <v>997</v>
      </c>
      <c r="G30" s="1221" t="s">
        <v>997</v>
      </c>
      <c r="H30" s="1222" t="s">
        <v>997</v>
      </c>
      <c r="I30" s="1221" t="s">
        <v>997</v>
      </c>
      <c r="J30" s="1221" t="s">
        <v>997</v>
      </c>
      <c r="K30" s="1223" t="s">
        <v>997</v>
      </c>
      <c r="L30" s="1216"/>
      <c r="M30" s="1224" t="s">
        <v>997</v>
      </c>
      <c r="N30" s="1225" t="s">
        <v>997</v>
      </c>
      <c r="O30" s="1226" t="str">
        <f t="shared" si="1"/>
        <v/>
      </c>
      <c r="P30" s="1226" t="str">
        <f t="shared" si="2"/>
        <v/>
      </c>
      <c r="Q30" s="1227" t="str">
        <f t="shared" si="3"/>
        <v/>
      </c>
      <c r="R30" s="1216"/>
      <c r="S30" s="1228" t="str">
        <f t="shared" si="4"/>
        <v/>
      </c>
      <c r="T30" s="1228" t="str">
        <f t="shared" si="5"/>
        <v/>
      </c>
      <c r="U30" s="1229" t="str">
        <f t="shared" si="0"/>
        <v/>
      </c>
      <c r="V30" s="1234"/>
      <c r="W30" s="636"/>
      <c r="Z30" s="890" t="str">
        <f t="shared" si="6"/>
        <v/>
      </c>
      <c r="AA30" s="865">
        <f t="shared" si="7"/>
        <v>0.62</v>
      </c>
      <c r="AB30" s="891" t="e">
        <f t="shared" si="8"/>
        <v>#VALUE!</v>
      </c>
      <c r="AC30" s="891" t="e">
        <f t="shared" si="9"/>
        <v>#VALUE!</v>
      </c>
      <c r="AD30" s="891" t="e">
        <f t="shared" si="10"/>
        <v>#VALUE!</v>
      </c>
      <c r="AE30" s="892" t="e">
        <f t="shared" si="11"/>
        <v>#VALUE!</v>
      </c>
      <c r="AF30" s="893" t="e">
        <f t="shared" si="12"/>
        <v>#VALUE!</v>
      </c>
      <c r="AG30" s="865">
        <f>IF(H30&gt;8,tab!C$132,tab!C$134)</f>
        <v>0.5</v>
      </c>
      <c r="AH30" s="866">
        <f t="shared" si="13"/>
        <v>0</v>
      </c>
      <c r="AI30" s="864">
        <f t="shared" si="14"/>
        <v>0</v>
      </c>
      <c r="AJ30" s="894"/>
      <c r="AN30" s="895"/>
      <c r="AQ30" s="874"/>
      <c r="AS30" s="837"/>
      <c r="AW30" s="869"/>
      <c r="AY30" s="837"/>
      <c r="AZ30" s="713"/>
      <c r="BG30" s="244"/>
    </row>
    <row r="31" spans="2:59" x14ac:dyDescent="0.2">
      <c r="B31" s="26"/>
      <c r="C31" s="1042"/>
      <c r="D31" s="1219" t="s">
        <v>997</v>
      </c>
      <c r="E31" s="1219" t="s">
        <v>997</v>
      </c>
      <c r="F31" s="1219" t="s">
        <v>997</v>
      </c>
      <c r="G31" s="1221" t="s">
        <v>997</v>
      </c>
      <c r="H31" s="1222" t="s">
        <v>997</v>
      </c>
      <c r="I31" s="1221" t="s">
        <v>997</v>
      </c>
      <c r="J31" s="1221" t="s">
        <v>997</v>
      </c>
      <c r="K31" s="1223" t="s">
        <v>997</v>
      </c>
      <c r="L31" s="1216"/>
      <c r="M31" s="1224" t="s">
        <v>997</v>
      </c>
      <c r="N31" s="1225" t="s">
        <v>997</v>
      </c>
      <c r="O31" s="1226" t="str">
        <f t="shared" si="1"/>
        <v/>
      </c>
      <c r="P31" s="1226" t="str">
        <f t="shared" si="2"/>
        <v/>
      </c>
      <c r="Q31" s="1227" t="str">
        <f t="shared" si="3"/>
        <v/>
      </c>
      <c r="R31" s="1216"/>
      <c r="S31" s="1228" t="str">
        <f t="shared" si="4"/>
        <v/>
      </c>
      <c r="T31" s="1228" t="str">
        <f t="shared" si="5"/>
        <v/>
      </c>
      <c r="U31" s="1229" t="str">
        <f t="shared" si="0"/>
        <v/>
      </c>
      <c r="V31" s="1234"/>
      <c r="W31" s="636"/>
      <c r="Z31" s="890" t="str">
        <f t="shared" si="6"/>
        <v/>
      </c>
      <c r="AA31" s="865">
        <f t="shared" si="7"/>
        <v>0.62</v>
      </c>
      <c r="AB31" s="891" t="e">
        <f t="shared" si="8"/>
        <v>#VALUE!</v>
      </c>
      <c r="AC31" s="891" t="e">
        <f t="shared" si="9"/>
        <v>#VALUE!</v>
      </c>
      <c r="AD31" s="891" t="e">
        <f t="shared" si="10"/>
        <v>#VALUE!</v>
      </c>
      <c r="AE31" s="892" t="e">
        <f t="shared" si="11"/>
        <v>#VALUE!</v>
      </c>
      <c r="AF31" s="893" t="e">
        <f t="shared" si="12"/>
        <v>#VALUE!</v>
      </c>
      <c r="AG31" s="865">
        <f>IF(H31&gt;8,tab!C$132,tab!C$134)</f>
        <v>0.5</v>
      </c>
      <c r="AH31" s="866">
        <f t="shared" si="13"/>
        <v>0</v>
      </c>
      <c r="AI31" s="864">
        <f t="shared" si="14"/>
        <v>0</v>
      </c>
      <c r="AJ31" s="894"/>
      <c r="AN31" s="895"/>
      <c r="AQ31" s="874"/>
      <c r="AS31" s="837"/>
      <c r="AW31" s="869"/>
      <c r="AY31" s="837"/>
      <c r="AZ31" s="713"/>
      <c r="BG31" s="244"/>
    </row>
    <row r="32" spans="2:59" x14ac:dyDescent="0.2">
      <c r="B32" s="26"/>
      <c r="C32" s="1042"/>
      <c r="D32" s="1219" t="s">
        <v>997</v>
      </c>
      <c r="E32" s="1219" t="s">
        <v>997</v>
      </c>
      <c r="F32" s="1219" t="s">
        <v>997</v>
      </c>
      <c r="G32" s="1221" t="s">
        <v>997</v>
      </c>
      <c r="H32" s="1222" t="s">
        <v>997</v>
      </c>
      <c r="I32" s="1221" t="s">
        <v>997</v>
      </c>
      <c r="J32" s="1221" t="s">
        <v>997</v>
      </c>
      <c r="K32" s="1223" t="s">
        <v>997</v>
      </c>
      <c r="L32" s="1216"/>
      <c r="M32" s="1224" t="s">
        <v>997</v>
      </c>
      <c r="N32" s="1225" t="s">
        <v>997</v>
      </c>
      <c r="O32" s="1226" t="str">
        <f t="shared" si="1"/>
        <v/>
      </c>
      <c r="P32" s="1226" t="str">
        <f t="shared" si="2"/>
        <v/>
      </c>
      <c r="Q32" s="1227" t="str">
        <f t="shared" si="3"/>
        <v/>
      </c>
      <c r="R32" s="1216"/>
      <c r="S32" s="1228" t="str">
        <f t="shared" si="4"/>
        <v/>
      </c>
      <c r="T32" s="1228" t="str">
        <f t="shared" si="5"/>
        <v/>
      </c>
      <c r="U32" s="1229" t="str">
        <f t="shared" si="0"/>
        <v/>
      </c>
      <c r="V32" s="1234"/>
      <c r="W32" s="636"/>
      <c r="Z32" s="890" t="str">
        <f t="shared" si="6"/>
        <v/>
      </c>
      <c r="AA32" s="865">
        <f t="shared" si="7"/>
        <v>0.62</v>
      </c>
      <c r="AB32" s="891" t="e">
        <f t="shared" si="8"/>
        <v>#VALUE!</v>
      </c>
      <c r="AC32" s="891" t="e">
        <f t="shared" si="9"/>
        <v>#VALUE!</v>
      </c>
      <c r="AD32" s="891" t="e">
        <f t="shared" si="10"/>
        <v>#VALUE!</v>
      </c>
      <c r="AE32" s="892" t="e">
        <f t="shared" si="11"/>
        <v>#VALUE!</v>
      </c>
      <c r="AF32" s="893" t="e">
        <f t="shared" si="12"/>
        <v>#VALUE!</v>
      </c>
      <c r="AG32" s="865">
        <f>IF(H32&gt;8,tab!C$132,tab!C$134)</f>
        <v>0.5</v>
      </c>
      <c r="AH32" s="866">
        <f t="shared" si="13"/>
        <v>0</v>
      </c>
      <c r="AI32" s="864">
        <f t="shared" si="14"/>
        <v>0</v>
      </c>
      <c r="AJ32" s="894"/>
      <c r="AN32" s="895"/>
      <c r="AQ32" s="874"/>
      <c r="AS32" s="837"/>
      <c r="AW32" s="869"/>
      <c r="AY32" s="837"/>
      <c r="AZ32" s="713"/>
      <c r="BG32" s="244"/>
    </row>
    <row r="33" spans="2:59" x14ac:dyDescent="0.2">
      <c r="B33" s="26"/>
      <c r="C33" s="1042"/>
      <c r="D33" s="1219" t="s">
        <v>997</v>
      </c>
      <c r="E33" s="1219" t="s">
        <v>997</v>
      </c>
      <c r="F33" s="1219" t="s">
        <v>997</v>
      </c>
      <c r="G33" s="1221" t="s">
        <v>997</v>
      </c>
      <c r="H33" s="1222" t="s">
        <v>997</v>
      </c>
      <c r="I33" s="1221" t="s">
        <v>997</v>
      </c>
      <c r="J33" s="1221" t="s">
        <v>997</v>
      </c>
      <c r="K33" s="1223" t="s">
        <v>997</v>
      </c>
      <c r="L33" s="1216"/>
      <c r="M33" s="1224" t="s">
        <v>997</v>
      </c>
      <c r="N33" s="1225" t="s">
        <v>997</v>
      </c>
      <c r="O33" s="1226" t="str">
        <f t="shared" si="1"/>
        <v/>
      </c>
      <c r="P33" s="1226" t="str">
        <f t="shared" si="2"/>
        <v/>
      </c>
      <c r="Q33" s="1227" t="str">
        <f t="shared" si="3"/>
        <v/>
      </c>
      <c r="R33" s="1216"/>
      <c r="S33" s="1228" t="str">
        <f t="shared" si="4"/>
        <v/>
      </c>
      <c r="T33" s="1228" t="str">
        <f t="shared" si="5"/>
        <v/>
      </c>
      <c r="U33" s="1229" t="str">
        <f t="shared" si="0"/>
        <v/>
      </c>
      <c r="V33" s="1234"/>
      <c r="W33" s="636"/>
      <c r="Z33" s="890" t="str">
        <f t="shared" si="6"/>
        <v/>
      </c>
      <c r="AA33" s="865">
        <f t="shared" si="7"/>
        <v>0.62</v>
      </c>
      <c r="AB33" s="891" t="e">
        <f t="shared" si="8"/>
        <v>#VALUE!</v>
      </c>
      <c r="AC33" s="891" t="e">
        <f t="shared" si="9"/>
        <v>#VALUE!</v>
      </c>
      <c r="AD33" s="891" t="e">
        <f t="shared" si="10"/>
        <v>#VALUE!</v>
      </c>
      <c r="AE33" s="892" t="e">
        <f t="shared" si="11"/>
        <v>#VALUE!</v>
      </c>
      <c r="AF33" s="893" t="e">
        <f t="shared" si="12"/>
        <v>#VALUE!</v>
      </c>
      <c r="AG33" s="865">
        <f>IF(H33&gt;8,tab!C$132,tab!C$134)</f>
        <v>0.5</v>
      </c>
      <c r="AH33" s="866">
        <f t="shared" si="13"/>
        <v>0</v>
      </c>
      <c r="AI33" s="864">
        <f t="shared" si="14"/>
        <v>0</v>
      </c>
      <c r="AJ33" s="894"/>
      <c r="AN33" s="895"/>
      <c r="AQ33" s="874"/>
      <c r="AS33" s="837"/>
      <c r="AW33" s="869"/>
      <c r="AY33" s="837"/>
      <c r="AZ33" s="713"/>
      <c r="BG33" s="244"/>
    </row>
    <row r="34" spans="2:59" x14ac:dyDescent="0.2">
      <c r="B34" s="26"/>
      <c r="C34" s="1042"/>
      <c r="D34" s="1219" t="s">
        <v>997</v>
      </c>
      <c r="E34" s="1219" t="s">
        <v>997</v>
      </c>
      <c r="F34" s="1219" t="s">
        <v>997</v>
      </c>
      <c r="G34" s="1221" t="s">
        <v>997</v>
      </c>
      <c r="H34" s="1222" t="s">
        <v>997</v>
      </c>
      <c r="I34" s="1221" t="s">
        <v>997</v>
      </c>
      <c r="J34" s="1221" t="s">
        <v>997</v>
      </c>
      <c r="K34" s="1223" t="s">
        <v>997</v>
      </c>
      <c r="L34" s="1216"/>
      <c r="M34" s="1224" t="s">
        <v>997</v>
      </c>
      <c r="N34" s="1225" t="s">
        <v>997</v>
      </c>
      <c r="O34" s="1226" t="str">
        <f t="shared" si="1"/>
        <v/>
      </c>
      <c r="P34" s="1226" t="str">
        <f t="shared" si="2"/>
        <v/>
      </c>
      <c r="Q34" s="1227" t="str">
        <f t="shared" si="3"/>
        <v/>
      </c>
      <c r="R34" s="1216"/>
      <c r="S34" s="1228" t="str">
        <f t="shared" si="4"/>
        <v/>
      </c>
      <c r="T34" s="1228" t="str">
        <f t="shared" si="5"/>
        <v/>
      </c>
      <c r="U34" s="1229" t="str">
        <f t="shared" si="0"/>
        <v/>
      </c>
      <c r="V34" s="1234"/>
      <c r="W34" s="636"/>
      <c r="Z34" s="890" t="str">
        <f t="shared" si="6"/>
        <v/>
      </c>
      <c r="AA34" s="865">
        <f t="shared" si="7"/>
        <v>0.62</v>
      </c>
      <c r="AB34" s="891" t="e">
        <f t="shared" si="8"/>
        <v>#VALUE!</v>
      </c>
      <c r="AC34" s="891" t="e">
        <f t="shared" si="9"/>
        <v>#VALUE!</v>
      </c>
      <c r="AD34" s="891" t="e">
        <f t="shared" si="10"/>
        <v>#VALUE!</v>
      </c>
      <c r="AE34" s="892" t="e">
        <f t="shared" si="11"/>
        <v>#VALUE!</v>
      </c>
      <c r="AF34" s="893" t="e">
        <f t="shared" si="12"/>
        <v>#VALUE!</v>
      </c>
      <c r="AG34" s="865">
        <f>IF(H34&gt;8,tab!C$132,tab!C$134)</f>
        <v>0.5</v>
      </c>
      <c r="AH34" s="866">
        <f t="shared" si="13"/>
        <v>0</v>
      </c>
      <c r="AI34" s="864">
        <f t="shared" si="14"/>
        <v>0</v>
      </c>
      <c r="AJ34" s="894"/>
      <c r="AN34" s="895"/>
      <c r="AQ34" s="874"/>
      <c r="AS34" s="837"/>
      <c r="AW34" s="869"/>
      <c r="AY34" s="837"/>
      <c r="AZ34" s="713"/>
      <c r="BG34" s="244"/>
    </row>
    <row r="35" spans="2:59" x14ac:dyDescent="0.2">
      <c r="B35" s="26"/>
      <c r="C35" s="1042"/>
      <c r="D35" s="1219" t="s">
        <v>997</v>
      </c>
      <c r="E35" s="1219" t="s">
        <v>997</v>
      </c>
      <c r="F35" s="1219" t="s">
        <v>997</v>
      </c>
      <c r="G35" s="1221" t="s">
        <v>997</v>
      </c>
      <c r="H35" s="1222" t="s">
        <v>997</v>
      </c>
      <c r="I35" s="1221" t="s">
        <v>997</v>
      </c>
      <c r="J35" s="1221" t="s">
        <v>997</v>
      </c>
      <c r="K35" s="1223" t="s">
        <v>997</v>
      </c>
      <c r="L35" s="1216"/>
      <c r="M35" s="1224" t="s">
        <v>997</v>
      </c>
      <c r="N35" s="1225" t="s">
        <v>997</v>
      </c>
      <c r="O35" s="1226" t="str">
        <f t="shared" si="1"/>
        <v/>
      </c>
      <c r="P35" s="1226" t="str">
        <f t="shared" si="2"/>
        <v/>
      </c>
      <c r="Q35" s="1227" t="str">
        <f t="shared" si="3"/>
        <v/>
      </c>
      <c r="R35" s="1216"/>
      <c r="S35" s="1228" t="str">
        <f t="shared" si="4"/>
        <v/>
      </c>
      <c r="T35" s="1228" t="str">
        <f t="shared" si="5"/>
        <v/>
      </c>
      <c r="U35" s="1229" t="str">
        <f t="shared" si="0"/>
        <v/>
      </c>
      <c r="V35" s="1234"/>
      <c r="W35" s="636"/>
      <c r="Z35" s="890" t="str">
        <f t="shared" si="6"/>
        <v/>
      </c>
      <c r="AA35" s="865">
        <f t="shared" si="7"/>
        <v>0.62</v>
      </c>
      <c r="AB35" s="891" t="e">
        <f t="shared" si="8"/>
        <v>#VALUE!</v>
      </c>
      <c r="AC35" s="891" t="e">
        <f t="shared" si="9"/>
        <v>#VALUE!</v>
      </c>
      <c r="AD35" s="891" t="e">
        <f t="shared" si="10"/>
        <v>#VALUE!</v>
      </c>
      <c r="AE35" s="892" t="e">
        <f t="shared" si="11"/>
        <v>#VALUE!</v>
      </c>
      <c r="AF35" s="893" t="e">
        <f t="shared" si="12"/>
        <v>#VALUE!</v>
      </c>
      <c r="AG35" s="865">
        <f>IF(H35&gt;8,tab!C$132,tab!C$134)</f>
        <v>0.5</v>
      </c>
      <c r="AH35" s="866">
        <f t="shared" si="13"/>
        <v>0</v>
      </c>
      <c r="AI35" s="864">
        <f t="shared" si="14"/>
        <v>0</v>
      </c>
      <c r="AJ35" s="894"/>
      <c r="AN35" s="895"/>
      <c r="AQ35" s="874"/>
      <c r="AS35" s="837"/>
      <c r="AW35" s="869"/>
      <c r="AY35" s="837"/>
      <c r="AZ35" s="713"/>
      <c r="BG35" s="244"/>
    </row>
    <row r="36" spans="2:59" x14ac:dyDescent="0.2">
      <c r="B36" s="26"/>
      <c r="C36" s="1042"/>
      <c r="D36" s="1474"/>
      <c r="E36" s="1474"/>
      <c r="F36" s="1474"/>
      <c r="G36" s="1475"/>
      <c r="H36" s="1476"/>
      <c r="I36" s="1475"/>
      <c r="J36" s="1477"/>
      <c r="K36" s="1478">
        <f>SUM(K16:K35)</f>
        <v>1</v>
      </c>
      <c r="L36" s="1218"/>
      <c r="M36" s="1479">
        <f>SUM(M16:M35)</f>
        <v>0</v>
      </c>
      <c r="N36" s="1479">
        <f>SUM(N16:N35)</f>
        <v>0</v>
      </c>
      <c r="O36" s="1232">
        <f t="shared" ref="O36" si="15">SUM(O16:O35)</f>
        <v>40</v>
      </c>
      <c r="P36" s="1232">
        <f t="shared" ref="P36" si="16">SUM(P16:P35)</f>
        <v>0</v>
      </c>
      <c r="Q36" s="1232">
        <f t="shared" ref="Q36" si="17">SUM(Q16:Q35)</f>
        <v>40</v>
      </c>
      <c r="R36" s="1218"/>
      <c r="S36" s="1233">
        <f>SUM(S16:S35)</f>
        <v>75227.464448462939</v>
      </c>
      <c r="T36" s="1233">
        <f t="shared" ref="T36:U36" si="18">SUM(T16:T35)</f>
        <v>1858.6155515370706</v>
      </c>
      <c r="U36" s="1233">
        <f t="shared" si="18"/>
        <v>77086.080000000016</v>
      </c>
      <c r="V36" s="1235"/>
      <c r="W36" s="637"/>
      <c r="AA36" s="873"/>
      <c r="AB36" s="873"/>
      <c r="AC36" s="873"/>
      <c r="AD36" s="873"/>
      <c r="AE36" s="873"/>
      <c r="AF36" s="873"/>
      <c r="AG36" s="873"/>
      <c r="AH36" s="867">
        <f t="shared" ref="AH36:AI36" si="19">SUM(AH16:AH35)</f>
        <v>0</v>
      </c>
      <c r="AI36" s="870">
        <f t="shared" si="19"/>
        <v>0</v>
      </c>
      <c r="AJ36" s="846"/>
      <c r="AQ36" s="874"/>
      <c r="AS36" s="837"/>
      <c r="AY36" s="837"/>
      <c r="AZ36" s="713"/>
      <c r="BG36" s="244"/>
    </row>
    <row r="37" spans="2:59" x14ac:dyDescent="0.2">
      <c r="B37" s="26"/>
      <c r="C37" s="1037"/>
      <c r="D37" s="1236"/>
      <c r="E37" s="1236"/>
      <c r="F37" s="1236"/>
      <c r="G37" s="1237"/>
      <c r="H37" s="1238"/>
      <c r="I37" s="1237"/>
      <c r="J37" s="1239"/>
      <c r="K37" s="1240"/>
      <c r="L37" s="1240"/>
      <c r="M37" s="1239"/>
      <c r="N37" s="1240"/>
      <c r="O37" s="1239"/>
      <c r="P37" s="1241"/>
      <c r="Q37" s="1241"/>
      <c r="R37" s="1240"/>
      <c r="S37" s="1242"/>
      <c r="T37" s="1242"/>
      <c r="U37" s="1243"/>
      <c r="V37" s="1192"/>
      <c r="W37" s="632"/>
      <c r="AA37" s="873"/>
      <c r="AB37" s="873"/>
      <c r="AC37" s="873"/>
      <c r="AD37" s="873"/>
      <c r="AE37" s="873"/>
      <c r="AF37" s="873"/>
      <c r="AG37" s="873"/>
      <c r="AH37" s="867"/>
      <c r="AI37" s="870"/>
      <c r="AJ37" s="846"/>
      <c r="AQ37" s="874"/>
      <c r="AS37" s="837"/>
      <c r="AY37" s="837"/>
      <c r="AZ37" s="713"/>
    </row>
    <row r="38" spans="2:59" ht="12.75" customHeight="1" x14ac:dyDescent="0.2">
      <c r="B38" s="211"/>
      <c r="C38" s="194"/>
      <c r="D38" s="275"/>
      <c r="E38" s="275"/>
      <c r="F38" s="275"/>
      <c r="G38" s="212"/>
      <c r="H38" s="276"/>
      <c r="I38" s="212"/>
      <c r="J38" s="277"/>
      <c r="K38" s="278"/>
      <c r="L38" s="646"/>
      <c r="M38" s="279"/>
      <c r="N38" s="279"/>
      <c r="O38" s="898"/>
      <c r="P38" s="898"/>
      <c r="Q38" s="898"/>
      <c r="R38" s="646"/>
      <c r="S38" s="280"/>
      <c r="T38" s="280"/>
      <c r="U38" s="281"/>
      <c r="V38" s="281"/>
      <c r="W38" s="640"/>
      <c r="AA38" s="873"/>
      <c r="AB38" s="873"/>
      <c r="AC38" s="873"/>
      <c r="AD38" s="873"/>
      <c r="AE38" s="873"/>
      <c r="AF38" s="873"/>
      <c r="AG38" s="873"/>
      <c r="AH38" s="866"/>
      <c r="AI38" s="864"/>
      <c r="AJ38" s="837"/>
      <c r="AQ38" s="874"/>
      <c r="AS38" s="837"/>
      <c r="AY38" s="837"/>
      <c r="AZ38" s="713"/>
      <c r="BG38" s="7"/>
    </row>
    <row r="39" spans="2:59" s="526" customFormat="1" ht="12.75" customHeight="1" x14ac:dyDescent="0.2">
      <c r="B39" s="1402"/>
      <c r="C39" s="1403"/>
      <c r="D39" s="1404"/>
      <c r="E39" s="1404"/>
      <c r="F39" s="1404"/>
      <c r="G39" s="1405"/>
      <c r="H39" s="1406"/>
      <c r="I39" s="1405"/>
      <c r="J39" s="1407"/>
      <c r="K39" s="1408"/>
      <c r="L39" s="1408"/>
      <c r="M39" s="1409"/>
      <c r="N39" s="1409"/>
      <c r="O39" s="1410"/>
      <c r="P39" s="1410"/>
      <c r="Q39" s="1410"/>
      <c r="R39" s="1408"/>
      <c r="S39" s="1411"/>
      <c r="T39" s="1411"/>
      <c r="U39" s="1412"/>
      <c r="V39" s="1412"/>
      <c r="W39" s="1413"/>
      <c r="X39" s="604"/>
      <c r="Y39" s="604"/>
      <c r="Z39" s="873"/>
      <c r="AA39" s="873"/>
      <c r="AB39" s="873"/>
      <c r="AC39" s="873"/>
      <c r="AD39" s="873"/>
      <c r="AE39" s="873"/>
      <c r="AF39" s="873"/>
      <c r="AG39" s="873"/>
      <c r="AH39" s="866"/>
      <c r="AI39" s="864"/>
      <c r="AJ39" s="837"/>
      <c r="AK39" s="837"/>
      <c r="AL39" s="837"/>
      <c r="AM39" s="837"/>
      <c r="AN39" s="837"/>
      <c r="AO39" s="837"/>
      <c r="AP39" s="837"/>
      <c r="AQ39" s="874"/>
      <c r="AR39" s="837"/>
      <c r="AS39" s="837"/>
      <c r="AT39" s="837"/>
      <c r="AU39" s="836"/>
      <c r="AV39" s="836"/>
      <c r="AW39" s="836"/>
      <c r="AX39" s="836"/>
      <c r="AY39" s="837"/>
      <c r="AZ39" s="713"/>
    </row>
    <row r="40" spans="2:59" s="526" customFormat="1" ht="12.75" customHeight="1" x14ac:dyDescent="0.2">
      <c r="B40" s="528"/>
      <c r="C40" s="915"/>
      <c r="D40" s="1426"/>
      <c r="E40" s="1426"/>
      <c r="F40" s="1426"/>
      <c r="G40" s="916"/>
      <c r="H40" s="1427"/>
      <c r="I40" s="916"/>
      <c r="J40" s="1428"/>
      <c r="K40" s="645"/>
      <c r="L40" s="645"/>
      <c r="M40" s="642"/>
      <c r="N40" s="642"/>
      <c r="O40" s="1429"/>
      <c r="P40" s="1429"/>
      <c r="Q40" s="1429"/>
      <c r="R40" s="645"/>
      <c r="S40" s="1430"/>
      <c r="T40" s="1430"/>
      <c r="U40" s="1431"/>
      <c r="V40" s="1431"/>
      <c r="W40" s="636"/>
      <c r="X40" s="604"/>
      <c r="Y40" s="604"/>
      <c r="Z40" s="873"/>
      <c r="AA40" s="873"/>
      <c r="AB40" s="873"/>
      <c r="AC40" s="873"/>
      <c r="AD40" s="873"/>
      <c r="AE40" s="873"/>
      <c r="AF40" s="873"/>
      <c r="AG40" s="873"/>
      <c r="AH40" s="866"/>
      <c r="AI40" s="864"/>
      <c r="AJ40" s="837"/>
      <c r="AK40" s="837"/>
      <c r="AL40" s="837"/>
      <c r="AM40" s="837"/>
      <c r="AN40" s="837"/>
      <c r="AO40" s="837"/>
      <c r="AP40" s="837"/>
      <c r="AQ40" s="874"/>
      <c r="AR40" s="837"/>
      <c r="AS40" s="837"/>
      <c r="AT40" s="837"/>
      <c r="AU40" s="836"/>
      <c r="AV40" s="836"/>
      <c r="AW40" s="836"/>
      <c r="AX40" s="836"/>
      <c r="AY40" s="837"/>
      <c r="AZ40" s="713"/>
    </row>
    <row r="41" spans="2:59" s="526" customFormat="1" ht="12.75" customHeight="1" x14ac:dyDescent="0.2">
      <c r="B41" s="528"/>
      <c r="C41" s="915" t="s">
        <v>255</v>
      </c>
      <c r="D41" s="1426"/>
      <c r="E41" s="1432" t="str">
        <f>tab!D2</f>
        <v>2016/17</v>
      </c>
      <c r="F41" s="1426"/>
      <c r="G41" s="916"/>
      <c r="H41" s="1427"/>
      <c r="I41" s="916"/>
      <c r="J41" s="1428"/>
      <c r="K41" s="645"/>
      <c r="L41" s="645"/>
      <c r="M41" s="642"/>
      <c r="N41" s="642"/>
      <c r="O41" s="1429"/>
      <c r="P41" s="1429"/>
      <c r="Q41" s="1429"/>
      <c r="R41" s="645"/>
      <c r="S41" s="1430"/>
      <c r="T41" s="1430"/>
      <c r="U41" s="1431"/>
      <c r="V41" s="1431"/>
      <c r="W41" s="636"/>
      <c r="X41" s="604"/>
      <c r="Y41" s="604"/>
      <c r="Z41" s="873"/>
      <c r="AA41" s="873"/>
      <c r="AB41" s="873"/>
      <c r="AC41" s="873"/>
      <c r="AD41" s="873"/>
      <c r="AE41" s="873"/>
      <c r="AF41" s="873"/>
      <c r="AG41" s="873"/>
      <c r="AH41" s="866"/>
      <c r="AI41" s="864"/>
      <c r="AJ41" s="837"/>
      <c r="AK41" s="837"/>
      <c r="AL41" s="837"/>
      <c r="AM41" s="837"/>
      <c r="AN41" s="837"/>
      <c r="AO41" s="837"/>
      <c r="AP41" s="837"/>
      <c r="AQ41" s="874"/>
      <c r="AR41" s="837"/>
      <c r="AS41" s="837"/>
      <c r="AT41" s="837"/>
      <c r="AU41" s="836"/>
      <c r="AV41" s="836"/>
      <c r="AW41" s="836"/>
      <c r="AX41" s="836"/>
      <c r="AY41" s="837"/>
      <c r="AZ41" s="713"/>
    </row>
    <row r="42" spans="2:59" s="526" customFormat="1" ht="12.75" customHeight="1" x14ac:dyDescent="0.2">
      <c r="B42" s="528"/>
      <c r="C42" s="915" t="s">
        <v>256</v>
      </c>
      <c r="D42" s="1426"/>
      <c r="E42" s="1432">
        <f>tab!E3</f>
        <v>42644</v>
      </c>
      <c r="F42" s="1426"/>
      <c r="G42" s="916"/>
      <c r="H42" s="1427"/>
      <c r="I42" s="916"/>
      <c r="J42" s="1428"/>
      <c r="K42" s="645"/>
      <c r="L42" s="645"/>
      <c r="M42" s="642"/>
      <c r="N42" s="642"/>
      <c r="O42" s="1429"/>
      <c r="P42" s="1429"/>
      <c r="Q42" s="1429"/>
      <c r="R42" s="645"/>
      <c r="S42" s="1430"/>
      <c r="T42" s="1430"/>
      <c r="U42" s="1431"/>
      <c r="V42" s="1431"/>
      <c r="W42" s="636"/>
      <c r="X42" s="604"/>
      <c r="Y42" s="604"/>
      <c r="Z42" s="873"/>
      <c r="AA42" s="873"/>
      <c r="AB42" s="873"/>
      <c r="AC42" s="873"/>
      <c r="AD42" s="873"/>
      <c r="AE42" s="873"/>
      <c r="AF42" s="873"/>
      <c r="AG42" s="873"/>
      <c r="AH42" s="866"/>
      <c r="AI42" s="864"/>
      <c r="AJ42" s="837"/>
      <c r="AK42" s="837"/>
      <c r="AL42" s="837"/>
      <c r="AM42" s="837"/>
      <c r="AN42" s="837"/>
      <c r="AO42" s="837"/>
      <c r="AP42" s="837"/>
      <c r="AQ42" s="874"/>
      <c r="AR42" s="837"/>
      <c r="AS42" s="837"/>
      <c r="AT42" s="837"/>
      <c r="AU42" s="836"/>
      <c r="AV42" s="836"/>
      <c r="AW42" s="836"/>
      <c r="AX42" s="836"/>
      <c r="AY42" s="837"/>
      <c r="AZ42" s="713"/>
    </row>
    <row r="43" spans="2:59" s="526" customFormat="1" ht="12.75" customHeight="1" x14ac:dyDescent="0.2">
      <c r="B43" s="528"/>
      <c r="C43" s="915"/>
      <c r="D43" s="1426"/>
      <c r="E43" s="1426"/>
      <c r="F43" s="1426"/>
      <c r="G43" s="916"/>
      <c r="H43" s="1427"/>
      <c r="I43" s="916"/>
      <c r="J43" s="1428"/>
      <c r="K43" s="645"/>
      <c r="L43" s="645"/>
      <c r="M43" s="642"/>
      <c r="N43" s="642"/>
      <c r="O43" s="1429"/>
      <c r="P43" s="1429"/>
      <c r="Q43" s="1429"/>
      <c r="R43" s="645"/>
      <c r="S43" s="1430"/>
      <c r="T43" s="1430"/>
      <c r="U43" s="1431"/>
      <c r="V43" s="1431"/>
      <c r="W43" s="636"/>
      <c r="X43" s="604"/>
      <c r="Y43" s="604"/>
      <c r="Z43" s="873"/>
      <c r="AA43" s="873"/>
      <c r="AB43" s="873"/>
      <c r="AC43" s="873"/>
      <c r="AD43" s="873"/>
      <c r="AE43" s="873"/>
      <c r="AF43" s="873"/>
      <c r="AG43" s="873"/>
      <c r="AH43" s="866"/>
      <c r="AI43" s="864"/>
      <c r="AJ43" s="837"/>
      <c r="AK43" s="837"/>
      <c r="AL43" s="837"/>
      <c r="AM43" s="837"/>
      <c r="AN43" s="837"/>
      <c r="AO43" s="837"/>
      <c r="AP43" s="837"/>
      <c r="AQ43" s="874"/>
      <c r="AR43" s="837"/>
      <c r="AS43" s="837"/>
      <c r="AT43" s="837"/>
      <c r="AU43" s="836"/>
      <c r="AV43" s="836"/>
      <c r="AW43" s="836"/>
      <c r="AX43" s="836"/>
      <c r="AY43" s="837"/>
      <c r="AZ43" s="713"/>
    </row>
    <row r="44" spans="2:59" s="526" customFormat="1" ht="12.75" customHeight="1" x14ac:dyDescent="0.2">
      <c r="B44" s="528"/>
      <c r="C44" s="1354"/>
      <c r="D44" s="1355"/>
      <c r="E44" s="1356"/>
      <c r="F44" s="1355"/>
      <c r="G44" s="1357"/>
      <c r="H44" s="1358"/>
      <c r="I44" s="1359"/>
      <c r="J44" s="1359"/>
      <c r="K44" s="1360"/>
      <c r="L44" s="1360"/>
      <c r="M44" s="1359"/>
      <c r="N44" s="1360"/>
      <c r="O44" s="1359"/>
      <c r="P44" s="1357"/>
      <c r="Q44" s="1357"/>
      <c r="R44" s="1360"/>
      <c r="S44" s="1354"/>
      <c r="T44" s="1354"/>
      <c r="U44" s="1361"/>
      <c r="V44" s="1361"/>
      <c r="W44" s="632"/>
      <c r="X44" s="604"/>
      <c r="Y44" s="604"/>
      <c r="Z44" s="873"/>
      <c r="AA44" s="873"/>
      <c r="AB44" s="873"/>
      <c r="AC44" s="873"/>
      <c r="AD44" s="873"/>
      <c r="AE44" s="873"/>
      <c r="AF44" s="873"/>
      <c r="AG44" s="873"/>
      <c r="AH44" s="866"/>
      <c r="AI44" s="864"/>
      <c r="AJ44" s="837"/>
      <c r="AK44" s="837"/>
      <c r="AL44" s="837"/>
      <c r="AM44" s="837"/>
      <c r="AN44" s="837"/>
      <c r="AO44" s="837"/>
      <c r="AP44" s="851"/>
      <c r="AQ44" s="889"/>
      <c r="AR44" s="851"/>
      <c r="AS44" s="851"/>
      <c r="AT44" s="851"/>
      <c r="AU44" s="844"/>
      <c r="AV44" s="850"/>
      <c r="AW44" s="851"/>
      <c r="AX44" s="852"/>
      <c r="AY44" s="853"/>
      <c r="AZ44" s="715"/>
    </row>
    <row r="45" spans="2:59" s="690" customFormat="1" ht="12.75" customHeight="1" x14ac:dyDescent="0.2">
      <c r="B45" s="1414"/>
      <c r="C45" s="1362"/>
      <c r="D45" s="1363" t="s">
        <v>257</v>
      </c>
      <c r="E45" s="1364"/>
      <c r="F45" s="1364"/>
      <c r="G45" s="1364"/>
      <c r="H45" s="1364"/>
      <c r="I45" s="1364"/>
      <c r="J45" s="1364"/>
      <c r="K45" s="1364"/>
      <c r="L45" s="1364"/>
      <c r="M45" s="1363" t="s">
        <v>865</v>
      </c>
      <c r="N45" s="1365"/>
      <c r="O45" s="1365"/>
      <c r="P45" s="1365"/>
      <c r="Q45" s="1365"/>
      <c r="R45" s="1364"/>
      <c r="S45" s="1541" t="s">
        <v>866</v>
      </c>
      <c r="T45" s="1541"/>
      <c r="U45" s="1542"/>
      <c r="V45" s="1366"/>
      <c r="W45" s="638"/>
      <c r="X45" s="604"/>
      <c r="Y45" s="604"/>
      <c r="Z45" s="873"/>
      <c r="AA45" s="873"/>
      <c r="AB45" s="873"/>
      <c r="AC45" s="873"/>
      <c r="AD45" s="873"/>
      <c r="AE45" s="873"/>
      <c r="AF45" s="873"/>
      <c r="AG45" s="873"/>
      <c r="AH45" s="867"/>
      <c r="AI45" s="857"/>
      <c r="AJ45" s="846"/>
      <c r="AK45" s="860"/>
      <c r="AL45" s="860"/>
      <c r="AM45" s="845"/>
      <c r="AN45" s="868"/>
      <c r="AO45" s="845"/>
      <c r="AP45" s="837"/>
      <c r="AQ45" s="837"/>
      <c r="AR45" s="837"/>
      <c r="AS45" s="837"/>
      <c r="AT45" s="837"/>
      <c r="AU45" s="859"/>
      <c r="AV45" s="859"/>
      <c r="AW45" s="859"/>
      <c r="AX45" s="859"/>
      <c r="AY45" s="859"/>
      <c r="BA45" s="719"/>
      <c r="BB45" s="719"/>
    </row>
    <row r="46" spans="2:59" s="526" customFormat="1" ht="12.75" customHeight="1" x14ac:dyDescent="0.2">
      <c r="B46" s="528"/>
      <c r="C46" s="1367"/>
      <c r="D46" s="1368" t="s">
        <v>258</v>
      </c>
      <c r="E46" s="1368" t="s">
        <v>259</v>
      </c>
      <c r="F46" s="1368" t="s">
        <v>260</v>
      </c>
      <c r="G46" s="1369" t="s">
        <v>261</v>
      </c>
      <c r="H46" s="1370" t="s">
        <v>262</v>
      </c>
      <c r="I46" s="1369" t="s">
        <v>217</v>
      </c>
      <c r="J46" s="1369" t="s">
        <v>263</v>
      </c>
      <c r="K46" s="1371" t="s">
        <v>264</v>
      </c>
      <c r="L46" s="1371"/>
      <c r="M46" s="1372" t="s">
        <v>867</v>
      </c>
      <c r="N46" s="1372" t="s">
        <v>868</v>
      </c>
      <c r="O46" s="1372" t="s">
        <v>869</v>
      </c>
      <c r="P46" s="1372" t="s">
        <v>870</v>
      </c>
      <c r="Q46" s="1373" t="s">
        <v>871</v>
      </c>
      <c r="R46" s="1371"/>
      <c r="S46" s="1374" t="s">
        <v>872</v>
      </c>
      <c r="T46" s="1374" t="s">
        <v>873</v>
      </c>
      <c r="U46" s="1374" t="s">
        <v>265</v>
      </c>
      <c r="V46" s="1375"/>
      <c r="W46" s="639"/>
      <c r="X46" s="604"/>
      <c r="Y46" s="604"/>
      <c r="Z46" s="854" t="s">
        <v>469</v>
      </c>
      <c r="AA46" s="855" t="s">
        <v>880</v>
      </c>
      <c r="AB46" s="856" t="s">
        <v>881</v>
      </c>
      <c r="AC46" s="856" t="s">
        <v>881</v>
      </c>
      <c r="AD46" s="856" t="s">
        <v>882</v>
      </c>
      <c r="AE46" s="856" t="s">
        <v>883</v>
      </c>
      <c r="AF46" s="856" t="s">
        <v>884</v>
      </c>
      <c r="AG46" s="856" t="s">
        <v>885</v>
      </c>
      <c r="AH46" s="856" t="s">
        <v>267</v>
      </c>
      <c r="AI46" s="857" t="s">
        <v>482</v>
      </c>
      <c r="AJ46" s="861"/>
      <c r="AK46" s="862"/>
      <c r="AL46" s="862"/>
      <c r="AM46" s="855"/>
      <c r="AN46" s="854"/>
      <c r="AO46" s="855"/>
      <c r="AP46" s="837"/>
      <c r="AQ46" s="837"/>
      <c r="AR46" s="837"/>
      <c r="AS46" s="837"/>
      <c r="AT46" s="837"/>
      <c r="AU46" s="836"/>
      <c r="AV46" s="836"/>
      <c r="AW46" s="836"/>
      <c r="AX46" s="836"/>
      <c r="AY46" s="836"/>
      <c r="BA46" s="719"/>
      <c r="BB46" s="717"/>
    </row>
    <row r="47" spans="2:59" s="526" customFormat="1" ht="12.75" customHeight="1" x14ac:dyDescent="0.2">
      <c r="B47" s="528"/>
      <c r="C47" s="1367"/>
      <c r="D47" s="1376"/>
      <c r="E47" s="1368"/>
      <c r="F47" s="1377"/>
      <c r="G47" s="1369" t="s">
        <v>269</v>
      </c>
      <c r="H47" s="1370" t="s">
        <v>270</v>
      </c>
      <c r="I47" s="1369"/>
      <c r="J47" s="1369"/>
      <c r="K47" s="1371"/>
      <c r="L47" s="1371"/>
      <c r="M47" s="1372" t="s">
        <v>874</v>
      </c>
      <c r="N47" s="1372" t="s">
        <v>875</v>
      </c>
      <c r="O47" s="1372" t="s">
        <v>876</v>
      </c>
      <c r="P47" s="1372" t="s">
        <v>877</v>
      </c>
      <c r="Q47" s="1373" t="s">
        <v>173</v>
      </c>
      <c r="R47" s="1371"/>
      <c r="S47" s="1374" t="s">
        <v>878</v>
      </c>
      <c r="T47" s="1374" t="s">
        <v>879</v>
      </c>
      <c r="U47" s="1374" t="s">
        <v>173</v>
      </c>
      <c r="V47" s="1375"/>
      <c r="W47" s="639"/>
      <c r="X47" s="604"/>
      <c r="Y47" s="604"/>
      <c r="Z47" s="856" t="s">
        <v>886</v>
      </c>
      <c r="AA47" s="858">
        <f>AA$14</f>
        <v>0.62</v>
      </c>
      <c r="AB47" s="856" t="s">
        <v>887</v>
      </c>
      <c r="AC47" s="856" t="s">
        <v>888</v>
      </c>
      <c r="AD47" s="856" t="s">
        <v>889</v>
      </c>
      <c r="AE47" s="856" t="s">
        <v>890</v>
      </c>
      <c r="AF47" s="856" t="s">
        <v>890</v>
      </c>
      <c r="AG47" s="856" t="s">
        <v>891</v>
      </c>
      <c r="AH47" s="856"/>
      <c r="AI47" s="856" t="s">
        <v>266</v>
      </c>
      <c r="AJ47" s="837"/>
      <c r="AK47" s="837"/>
      <c r="AL47" s="837"/>
      <c r="AM47" s="837"/>
      <c r="AN47" s="837"/>
      <c r="AO47" s="837"/>
      <c r="AP47" s="837"/>
      <c r="AQ47" s="837"/>
      <c r="AR47" s="837"/>
      <c r="AS47" s="837"/>
      <c r="AT47" s="837"/>
      <c r="AU47" s="836"/>
      <c r="AV47" s="836"/>
      <c r="AW47" s="836"/>
      <c r="AX47" s="836"/>
      <c r="AY47" s="836"/>
      <c r="BB47" s="718"/>
    </row>
    <row r="48" spans="2:59" s="526" customFormat="1" ht="12.75" customHeight="1" x14ac:dyDescent="0.2">
      <c r="B48" s="528"/>
      <c r="C48" s="1354"/>
      <c r="D48" s="1355"/>
      <c r="E48" s="1355"/>
      <c r="F48" s="1355"/>
      <c r="G48" s="1357"/>
      <c r="H48" s="1358"/>
      <c r="I48" s="1378"/>
      <c r="J48" s="1378"/>
      <c r="K48" s="1379"/>
      <c r="L48" s="1379"/>
      <c r="M48" s="1380"/>
      <c r="N48" s="1379"/>
      <c r="O48" s="1381"/>
      <c r="P48" s="1382"/>
      <c r="Q48" s="1382"/>
      <c r="R48" s="1379"/>
      <c r="S48" s="1382"/>
      <c r="T48" s="1382"/>
      <c r="U48" s="1383"/>
      <c r="V48" s="1383"/>
      <c r="W48" s="635"/>
      <c r="X48" s="604"/>
      <c r="Y48" s="604"/>
      <c r="Z48" s="873"/>
      <c r="AA48" s="873"/>
      <c r="AB48" s="873"/>
      <c r="AC48" s="873"/>
      <c r="AD48" s="873"/>
      <c r="AE48" s="873"/>
      <c r="AF48" s="873"/>
      <c r="AG48" s="873"/>
      <c r="AH48" s="863"/>
      <c r="AI48" s="864"/>
      <c r="AJ48" s="862"/>
      <c r="AK48" s="837"/>
      <c r="AL48" s="837"/>
      <c r="AM48" s="837"/>
      <c r="AN48" s="837"/>
      <c r="AO48" s="837"/>
      <c r="AP48" s="837"/>
      <c r="AQ48" s="837"/>
      <c r="AR48" s="837"/>
      <c r="AS48" s="837"/>
      <c r="AT48" s="837"/>
      <c r="AU48" s="836"/>
      <c r="AV48" s="836"/>
      <c r="AW48" s="836"/>
      <c r="AX48" s="836"/>
      <c r="AY48" s="836"/>
      <c r="BB48" s="718"/>
    </row>
    <row r="49" spans="2:52" s="526" customFormat="1" ht="12.75" customHeight="1" x14ac:dyDescent="0.2">
      <c r="B49" s="528"/>
      <c r="C49" s="1354"/>
      <c r="D49" s="1219" t="str">
        <f t="shared" ref="D49:F60" si="20">IF(D16=0,"",D16)</f>
        <v/>
      </c>
      <c r="E49" s="1220" t="str">
        <f t="shared" si="20"/>
        <v>piet</v>
      </c>
      <c r="F49" s="1220" t="str">
        <f t="shared" si="20"/>
        <v/>
      </c>
      <c r="G49" s="1221">
        <f t="shared" ref="G49:G68" si="21">IF(G16="","",G16+1)</f>
        <v>23</v>
      </c>
      <c r="H49" s="1222">
        <f t="shared" ref="H49:I68" si="22">IF(H16=0,"",H16)</f>
        <v>29221</v>
      </c>
      <c r="I49" s="1221" t="str">
        <f>IF(I16=0,"",I16)</f>
        <v>LC</v>
      </c>
      <c r="J49" s="1221">
        <f t="shared" ref="J49:J68" si="23">IF(E49="","",(IF((J16+1)&gt;VLOOKUP(I49,tabelsalaris16,23,FALSE),J16,J16+1)))</f>
        <v>13</v>
      </c>
      <c r="K49" s="1223">
        <f t="shared" ref="K49:K60" si="24">IF(K16="","",K16)</f>
        <v>1</v>
      </c>
      <c r="L49" s="1384"/>
      <c r="M49" s="1224">
        <f>IF(M16="","",M16)</f>
        <v>0</v>
      </c>
      <c r="N49" s="1225">
        <f>IF(N16="","",N16)</f>
        <v>0</v>
      </c>
      <c r="O49" s="1385">
        <f>IF(K49="","",IF(K49*40&gt;40,40,K49*40))</f>
        <v>40</v>
      </c>
      <c r="P49" s="1385">
        <f>IF(I49="","",IF(OR(I49="LA",OR(I49="LB",OR(I49="LC",OR(I49="LD",OR(I49="LE"))))),1,0)*IF(J49&lt;4,IF(K49*40&gt;40,40,K49*40),0))</f>
        <v>0</v>
      </c>
      <c r="Q49" s="1386">
        <f>IF(K49="","",SUM(M49:P49))</f>
        <v>40</v>
      </c>
      <c r="R49" s="1384"/>
      <c r="S49" s="1387">
        <f>IF(J49="","",((1659*K49-Q49)*AC49))</f>
        <v>79356.880578661847</v>
      </c>
      <c r="T49" s="1387">
        <f>IF(K49="","",Q49*AD49+AB49*(AE49+AF49*(1-AG49)))</f>
        <v>1960.6394213381559</v>
      </c>
      <c r="U49" s="1388">
        <f t="shared" ref="U49:U68" si="25">IF(K49="","",(S49+T49))</f>
        <v>81317.52</v>
      </c>
      <c r="V49" s="1389"/>
      <c r="W49" s="636"/>
      <c r="X49" s="604"/>
      <c r="Y49" s="604"/>
      <c r="Z49" s="890">
        <f t="shared" ref="Z49:Z68" si="26">IF(I49="","",VLOOKUP(I49,tabelsalaris16,J49+2,FALSE))</f>
        <v>4183</v>
      </c>
      <c r="AA49" s="865">
        <f>AA$14</f>
        <v>0.62</v>
      </c>
      <c r="AB49" s="891">
        <f>Z49*12/1659</f>
        <v>30.256781193490053</v>
      </c>
      <c r="AC49" s="891">
        <f>Z49*12*(1+AA49)/1659</f>
        <v>49.015985533453893</v>
      </c>
      <c r="AD49" s="891">
        <f>AC49-AB49</f>
        <v>18.759204339963841</v>
      </c>
      <c r="AE49" s="892">
        <f>O49+P49</f>
        <v>40</v>
      </c>
      <c r="AF49" s="893">
        <f>M49+N49</f>
        <v>0</v>
      </c>
      <c r="AG49" s="865">
        <f>IF(H49&gt;8,tab!C$132,tab!C$134)</f>
        <v>0.5</v>
      </c>
      <c r="AH49" s="866">
        <f>IF(G49&lt;25,0,IF(G49=25,25,IF(G49&lt;40,0,IF(G49=40,40,IF(G49&gt;=40,0)))))</f>
        <v>0</v>
      </c>
      <c r="AI49" s="864">
        <f>IF(E49="",0,IF(AH49=25,Z49*1.08*K49/2,IF(AH49=40,Z49*1.08*K49,IF(AH49=0,0))))</f>
        <v>0</v>
      </c>
      <c r="AJ49" s="894"/>
      <c r="AK49" s="837"/>
      <c r="AL49" s="837"/>
      <c r="AM49" s="837"/>
      <c r="AN49" s="895"/>
      <c r="AO49" s="837"/>
      <c r="AP49" s="837"/>
      <c r="AQ49" s="874"/>
      <c r="AR49" s="837"/>
      <c r="AS49" s="837"/>
      <c r="AT49" s="837"/>
      <c r="AU49" s="836"/>
      <c r="AV49" s="836"/>
      <c r="AW49" s="869"/>
      <c r="AX49" s="836"/>
      <c r="AY49" s="837"/>
      <c r="AZ49" s="713"/>
    </row>
    <row r="50" spans="2:52" s="526" customFormat="1" ht="12.75" customHeight="1" x14ac:dyDescent="0.2">
      <c r="B50" s="528"/>
      <c r="C50" s="1354"/>
      <c r="D50" s="1219" t="str">
        <f t="shared" si="20"/>
        <v/>
      </c>
      <c r="E50" s="1219" t="str">
        <f t="shared" si="20"/>
        <v/>
      </c>
      <c r="F50" s="1219" t="str">
        <f t="shared" si="20"/>
        <v/>
      </c>
      <c r="G50" s="1221" t="str">
        <f t="shared" si="21"/>
        <v/>
      </c>
      <c r="H50" s="1222" t="str">
        <f t="shared" si="22"/>
        <v/>
      </c>
      <c r="I50" s="1221" t="str">
        <f t="shared" si="22"/>
        <v/>
      </c>
      <c r="J50" s="1221" t="str">
        <f t="shared" si="23"/>
        <v/>
      </c>
      <c r="K50" s="1223" t="str">
        <f t="shared" si="24"/>
        <v/>
      </c>
      <c r="L50" s="1384"/>
      <c r="M50" s="1224" t="str">
        <f t="shared" ref="M50:N50" si="27">IF(M17="","",M17)</f>
        <v/>
      </c>
      <c r="N50" s="1225" t="str">
        <f t="shared" si="27"/>
        <v/>
      </c>
      <c r="O50" s="1385" t="str">
        <f t="shared" ref="O50:O68" si="28">IF(K50="","",IF(K50*40&gt;40,40,K50*40))</f>
        <v/>
      </c>
      <c r="P50" s="1385" t="str">
        <f t="shared" ref="P50:P68" si="29">IF(I50="","",IF(OR(I50="LA",OR(I50="LB",OR(I50="LC",OR(I50="LD",OR(I50="LE"))))),1,0)*IF(J50&lt;4,IF(K50*40&gt;40,40,K50*40),0))</f>
        <v/>
      </c>
      <c r="Q50" s="1386" t="str">
        <f t="shared" ref="Q50:Q68" si="30">IF(K50="","",SUM(M50:P50))</f>
        <v/>
      </c>
      <c r="R50" s="1384"/>
      <c r="S50" s="1387" t="str">
        <f t="shared" ref="S50:S68" si="31">IF(J50="","",((1659*K50-Q50)*AC50))</f>
        <v/>
      </c>
      <c r="T50" s="1387" t="str">
        <f t="shared" ref="T50:T68" si="32">IF(K50="","",Q50*AD50+AB50*(AE50+AF50*(1-AG50)))</f>
        <v/>
      </c>
      <c r="U50" s="1388" t="str">
        <f t="shared" si="25"/>
        <v/>
      </c>
      <c r="V50" s="1389"/>
      <c r="W50" s="636"/>
      <c r="X50" s="604"/>
      <c r="Y50" s="604"/>
      <c r="Z50" s="890" t="str">
        <f t="shared" si="26"/>
        <v/>
      </c>
      <c r="AA50" s="865">
        <f t="shared" ref="AA50:AA68" si="33">AA$14</f>
        <v>0.62</v>
      </c>
      <c r="AB50" s="891" t="e">
        <f t="shared" ref="AB50:AB68" si="34">Z50*12/1659</f>
        <v>#VALUE!</v>
      </c>
      <c r="AC50" s="891" t="e">
        <f t="shared" ref="AC50:AC68" si="35">Z50*12*(1+AA50)/1659</f>
        <v>#VALUE!</v>
      </c>
      <c r="AD50" s="891" t="e">
        <f t="shared" ref="AD50:AD68" si="36">AC50-AB50</f>
        <v>#VALUE!</v>
      </c>
      <c r="AE50" s="892" t="e">
        <f t="shared" ref="AE50:AE68" si="37">O50+P50</f>
        <v>#VALUE!</v>
      </c>
      <c r="AF50" s="893" t="e">
        <f t="shared" ref="AF50:AF68" si="38">M50+N50</f>
        <v>#VALUE!</v>
      </c>
      <c r="AG50" s="865">
        <f>IF(H50&gt;8,tab!C$132,tab!C$134)</f>
        <v>0.5</v>
      </c>
      <c r="AH50" s="866">
        <f t="shared" ref="AH50:AH68" si="39">IF(G50&lt;25,0,IF(G50=25,25,IF(G50&lt;40,0,IF(G50=40,40,IF(G50&gt;=40,0)))))</f>
        <v>0</v>
      </c>
      <c r="AI50" s="864">
        <f t="shared" ref="AI50:AI68" si="40">IF(E50="",0,IF(AH50=25,Z50*1.08*K50/2,IF(AH50=40,Z50*1.08*K50,IF(AH50=0,0))))</f>
        <v>0</v>
      </c>
      <c r="AJ50" s="894"/>
      <c r="AK50" s="837"/>
      <c r="AL50" s="837"/>
      <c r="AM50" s="837"/>
      <c r="AN50" s="895"/>
      <c r="AO50" s="837"/>
      <c r="AP50" s="837"/>
      <c r="AQ50" s="874"/>
      <c r="AR50" s="837"/>
      <c r="AS50" s="837"/>
      <c r="AT50" s="837"/>
      <c r="AU50" s="836"/>
      <c r="AV50" s="836"/>
      <c r="AW50" s="869"/>
      <c r="AX50" s="836"/>
      <c r="AY50" s="837"/>
      <c r="AZ50" s="713"/>
    </row>
    <row r="51" spans="2:52" s="526" customFormat="1" ht="12.75" customHeight="1" x14ac:dyDescent="0.2">
      <c r="B51" s="528"/>
      <c r="C51" s="1354"/>
      <c r="D51" s="1219" t="str">
        <f t="shared" si="20"/>
        <v/>
      </c>
      <c r="E51" s="1220" t="str">
        <f t="shared" si="20"/>
        <v/>
      </c>
      <c r="F51" s="1220" t="str">
        <f t="shared" si="20"/>
        <v/>
      </c>
      <c r="G51" s="1124" t="str">
        <f t="shared" si="21"/>
        <v/>
      </c>
      <c r="H51" s="1230" t="str">
        <f t="shared" si="22"/>
        <v/>
      </c>
      <c r="I51" s="1221" t="str">
        <f t="shared" si="22"/>
        <v/>
      </c>
      <c r="J51" s="1124" t="str">
        <f t="shared" si="23"/>
        <v/>
      </c>
      <c r="K51" s="1231" t="str">
        <f t="shared" si="24"/>
        <v/>
      </c>
      <c r="L51" s="1390"/>
      <c r="M51" s="1224" t="str">
        <f t="shared" ref="M51:N51" si="41">IF(M18="","",M18)</f>
        <v/>
      </c>
      <c r="N51" s="1225" t="str">
        <f t="shared" si="41"/>
        <v/>
      </c>
      <c r="O51" s="1385" t="str">
        <f t="shared" si="28"/>
        <v/>
      </c>
      <c r="P51" s="1385" t="str">
        <f t="shared" si="29"/>
        <v/>
      </c>
      <c r="Q51" s="1386" t="str">
        <f t="shared" si="30"/>
        <v/>
      </c>
      <c r="R51" s="1390"/>
      <c r="S51" s="1387" t="str">
        <f t="shared" si="31"/>
        <v/>
      </c>
      <c r="T51" s="1387" t="str">
        <f t="shared" si="32"/>
        <v/>
      </c>
      <c r="U51" s="1388" t="str">
        <f t="shared" si="25"/>
        <v/>
      </c>
      <c r="V51" s="1389"/>
      <c r="W51" s="636"/>
      <c r="X51" s="604"/>
      <c r="Y51" s="604"/>
      <c r="Z51" s="890" t="str">
        <f t="shared" si="26"/>
        <v/>
      </c>
      <c r="AA51" s="865">
        <f t="shared" si="33"/>
        <v>0.62</v>
      </c>
      <c r="AB51" s="891" t="e">
        <f t="shared" si="34"/>
        <v>#VALUE!</v>
      </c>
      <c r="AC51" s="891" t="e">
        <f t="shared" si="35"/>
        <v>#VALUE!</v>
      </c>
      <c r="AD51" s="891" t="e">
        <f t="shared" si="36"/>
        <v>#VALUE!</v>
      </c>
      <c r="AE51" s="892" t="e">
        <f t="shared" si="37"/>
        <v>#VALUE!</v>
      </c>
      <c r="AF51" s="893" t="e">
        <f t="shared" si="38"/>
        <v>#VALUE!</v>
      </c>
      <c r="AG51" s="865">
        <f>IF(H51&gt;8,tab!C$132,tab!C$134)</f>
        <v>0.5</v>
      </c>
      <c r="AH51" s="866">
        <f t="shared" si="39"/>
        <v>0</v>
      </c>
      <c r="AI51" s="864">
        <f t="shared" si="40"/>
        <v>0</v>
      </c>
      <c r="AJ51" s="894"/>
      <c r="AK51" s="837"/>
      <c r="AL51" s="837"/>
      <c r="AM51" s="837"/>
      <c r="AN51" s="895"/>
      <c r="AO51" s="837"/>
      <c r="AP51" s="837"/>
      <c r="AQ51" s="874"/>
      <c r="AR51" s="837"/>
      <c r="AS51" s="837"/>
      <c r="AT51" s="837"/>
      <c r="AU51" s="836"/>
      <c r="AV51" s="836"/>
      <c r="AW51" s="869"/>
      <c r="AX51" s="836"/>
      <c r="AY51" s="837"/>
      <c r="AZ51" s="713"/>
    </row>
    <row r="52" spans="2:52" s="526" customFormat="1" ht="12.75" customHeight="1" x14ac:dyDescent="0.2">
      <c r="B52" s="528"/>
      <c r="C52" s="1354"/>
      <c r="D52" s="1219" t="str">
        <f t="shared" si="20"/>
        <v/>
      </c>
      <c r="E52" s="1219" t="str">
        <f t="shared" si="20"/>
        <v/>
      </c>
      <c r="F52" s="1219" t="str">
        <f t="shared" si="20"/>
        <v/>
      </c>
      <c r="G52" s="1221" t="str">
        <f t="shared" si="21"/>
        <v/>
      </c>
      <c r="H52" s="1222" t="str">
        <f t="shared" si="22"/>
        <v/>
      </c>
      <c r="I52" s="1221" t="str">
        <f t="shared" si="22"/>
        <v/>
      </c>
      <c r="J52" s="1221" t="str">
        <f t="shared" si="23"/>
        <v/>
      </c>
      <c r="K52" s="1223" t="str">
        <f t="shared" si="24"/>
        <v/>
      </c>
      <c r="L52" s="1384"/>
      <c r="M52" s="1224" t="str">
        <f t="shared" ref="M52:N52" si="42">IF(M19="","",M19)</f>
        <v/>
      </c>
      <c r="N52" s="1225" t="str">
        <f t="shared" si="42"/>
        <v/>
      </c>
      <c r="O52" s="1385" t="str">
        <f t="shared" si="28"/>
        <v/>
      </c>
      <c r="P52" s="1385" t="str">
        <f t="shared" si="29"/>
        <v/>
      </c>
      <c r="Q52" s="1386" t="str">
        <f t="shared" si="30"/>
        <v/>
      </c>
      <c r="R52" s="1384"/>
      <c r="S52" s="1387" t="str">
        <f t="shared" si="31"/>
        <v/>
      </c>
      <c r="T52" s="1387" t="str">
        <f t="shared" si="32"/>
        <v/>
      </c>
      <c r="U52" s="1388" t="str">
        <f t="shared" si="25"/>
        <v/>
      </c>
      <c r="V52" s="1389"/>
      <c r="W52" s="636"/>
      <c r="X52" s="604"/>
      <c r="Y52" s="604"/>
      <c r="Z52" s="890" t="str">
        <f t="shared" si="26"/>
        <v/>
      </c>
      <c r="AA52" s="865">
        <f t="shared" si="33"/>
        <v>0.62</v>
      </c>
      <c r="AB52" s="891" t="e">
        <f t="shared" si="34"/>
        <v>#VALUE!</v>
      </c>
      <c r="AC52" s="891" t="e">
        <f t="shared" si="35"/>
        <v>#VALUE!</v>
      </c>
      <c r="AD52" s="891" t="e">
        <f t="shared" si="36"/>
        <v>#VALUE!</v>
      </c>
      <c r="AE52" s="892" t="e">
        <f t="shared" si="37"/>
        <v>#VALUE!</v>
      </c>
      <c r="AF52" s="893" t="e">
        <f t="shared" si="38"/>
        <v>#VALUE!</v>
      </c>
      <c r="AG52" s="865">
        <f>IF(H52&gt;8,tab!C$132,tab!C$134)</f>
        <v>0.5</v>
      </c>
      <c r="AH52" s="866">
        <f t="shared" si="39"/>
        <v>0</v>
      </c>
      <c r="AI52" s="864">
        <f t="shared" si="40"/>
        <v>0</v>
      </c>
      <c r="AJ52" s="894"/>
      <c r="AK52" s="837"/>
      <c r="AL52" s="837"/>
      <c r="AM52" s="837"/>
      <c r="AN52" s="895"/>
      <c r="AO52" s="837"/>
      <c r="AP52" s="837"/>
      <c r="AQ52" s="874"/>
      <c r="AR52" s="837"/>
      <c r="AS52" s="837"/>
      <c r="AT52" s="837"/>
      <c r="AU52" s="836"/>
      <c r="AV52" s="836"/>
      <c r="AW52" s="869"/>
      <c r="AX52" s="836"/>
      <c r="AY52" s="837"/>
      <c r="AZ52" s="713"/>
    </row>
    <row r="53" spans="2:52" s="526" customFormat="1" ht="12.75" customHeight="1" x14ac:dyDescent="0.2">
      <c r="B53" s="528"/>
      <c r="C53" s="1354"/>
      <c r="D53" s="1219" t="str">
        <f t="shared" si="20"/>
        <v/>
      </c>
      <c r="E53" s="1219" t="str">
        <f t="shared" si="20"/>
        <v/>
      </c>
      <c r="F53" s="1219" t="str">
        <f t="shared" si="20"/>
        <v/>
      </c>
      <c r="G53" s="1221" t="str">
        <f t="shared" si="21"/>
        <v/>
      </c>
      <c r="H53" s="1222" t="str">
        <f t="shared" si="22"/>
        <v/>
      </c>
      <c r="I53" s="1221" t="str">
        <f t="shared" si="22"/>
        <v/>
      </c>
      <c r="J53" s="1221" t="str">
        <f t="shared" si="23"/>
        <v/>
      </c>
      <c r="K53" s="1223" t="str">
        <f t="shared" si="24"/>
        <v/>
      </c>
      <c r="L53" s="1384"/>
      <c r="M53" s="1224" t="str">
        <f t="shared" ref="M53:N53" si="43">IF(M20="","",M20)</f>
        <v/>
      </c>
      <c r="N53" s="1225" t="str">
        <f t="shared" si="43"/>
        <v/>
      </c>
      <c r="O53" s="1385" t="str">
        <f t="shared" si="28"/>
        <v/>
      </c>
      <c r="P53" s="1385" t="str">
        <f t="shared" si="29"/>
        <v/>
      </c>
      <c r="Q53" s="1386" t="str">
        <f t="shared" si="30"/>
        <v/>
      </c>
      <c r="R53" s="1384"/>
      <c r="S53" s="1387" t="str">
        <f t="shared" si="31"/>
        <v/>
      </c>
      <c r="T53" s="1387" t="str">
        <f t="shared" si="32"/>
        <v/>
      </c>
      <c r="U53" s="1388" t="str">
        <f t="shared" si="25"/>
        <v/>
      </c>
      <c r="V53" s="1389"/>
      <c r="W53" s="636"/>
      <c r="X53" s="604"/>
      <c r="Y53" s="604"/>
      <c r="Z53" s="890" t="str">
        <f t="shared" si="26"/>
        <v/>
      </c>
      <c r="AA53" s="865">
        <f t="shared" si="33"/>
        <v>0.62</v>
      </c>
      <c r="AB53" s="891" t="e">
        <f t="shared" si="34"/>
        <v>#VALUE!</v>
      </c>
      <c r="AC53" s="891" t="e">
        <f t="shared" si="35"/>
        <v>#VALUE!</v>
      </c>
      <c r="AD53" s="891" t="e">
        <f t="shared" si="36"/>
        <v>#VALUE!</v>
      </c>
      <c r="AE53" s="892" t="e">
        <f t="shared" si="37"/>
        <v>#VALUE!</v>
      </c>
      <c r="AF53" s="893" t="e">
        <f t="shared" si="38"/>
        <v>#VALUE!</v>
      </c>
      <c r="AG53" s="865">
        <f>IF(H53&gt;8,tab!C$132,tab!C$134)</f>
        <v>0.5</v>
      </c>
      <c r="AH53" s="866">
        <f t="shared" si="39"/>
        <v>0</v>
      </c>
      <c r="AI53" s="864">
        <f t="shared" si="40"/>
        <v>0</v>
      </c>
      <c r="AJ53" s="894"/>
      <c r="AK53" s="837"/>
      <c r="AL53" s="837"/>
      <c r="AM53" s="837"/>
      <c r="AN53" s="895"/>
      <c r="AO53" s="837"/>
      <c r="AP53" s="837"/>
      <c r="AQ53" s="874"/>
      <c r="AR53" s="837"/>
      <c r="AS53" s="837"/>
      <c r="AT53" s="837"/>
      <c r="AU53" s="836"/>
      <c r="AV53" s="836"/>
      <c r="AW53" s="869"/>
      <c r="AX53" s="836"/>
      <c r="AY53" s="837"/>
      <c r="AZ53" s="713"/>
    </row>
    <row r="54" spans="2:52" s="526" customFormat="1" ht="12.75" customHeight="1" x14ac:dyDescent="0.2">
      <c r="B54" s="528"/>
      <c r="C54" s="1354"/>
      <c r="D54" s="1219" t="str">
        <f t="shared" si="20"/>
        <v/>
      </c>
      <c r="E54" s="1219" t="str">
        <f t="shared" si="20"/>
        <v/>
      </c>
      <c r="F54" s="1219" t="str">
        <f t="shared" si="20"/>
        <v/>
      </c>
      <c r="G54" s="1221" t="str">
        <f t="shared" si="21"/>
        <v/>
      </c>
      <c r="H54" s="1222" t="str">
        <f t="shared" si="22"/>
        <v/>
      </c>
      <c r="I54" s="1221" t="str">
        <f t="shared" si="22"/>
        <v/>
      </c>
      <c r="J54" s="1221" t="str">
        <f t="shared" si="23"/>
        <v/>
      </c>
      <c r="K54" s="1223" t="str">
        <f t="shared" si="24"/>
        <v/>
      </c>
      <c r="L54" s="1384"/>
      <c r="M54" s="1224" t="str">
        <f t="shared" ref="M54:N54" si="44">IF(M21="","",M21)</f>
        <v/>
      </c>
      <c r="N54" s="1225" t="str">
        <f t="shared" si="44"/>
        <v/>
      </c>
      <c r="O54" s="1385" t="str">
        <f t="shared" si="28"/>
        <v/>
      </c>
      <c r="P54" s="1385" t="str">
        <f t="shared" si="29"/>
        <v/>
      </c>
      <c r="Q54" s="1386" t="str">
        <f t="shared" si="30"/>
        <v/>
      </c>
      <c r="R54" s="1384"/>
      <c r="S54" s="1387" t="str">
        <f t="shared" si="31"/>
        <v/>
      </c>
      <c r="T54" s="1387" t="str">
        <f t="shared" si="32"/>
        <v/>
      </c>
      <c r="U54" s="1388" t="str">
        <f t="shared" si="25"/>
        <v/>
      </c>
      <c r="V54" s="1389"/>
      <c r="W54" s="636"/>
      <c r="X54" s="604"/>
      <c r="Y54" s="604"/>
      <c r="Z54" s="890" t="str">
        <f t="shared" si="26"/>
        <v/>
      </c>
      <c r="AA54" s="865">
        <f t="shared" si="33"/>
        <v>0.62</v>
      </c>
      <c r="AB54" s="891" t="e">
        <f t="shared" si="34"/>
        <v>#VALUE!</v>
      </c>
      <c r="AC54" s="891" t="e">
        <f t="shared" si="35"/>
        <v>#VALUE!</v>
      </c>
      <c r="AD54" s="891" t="e">
        <f t="shared" si="36"/>
        <v>#VALUE!</v>
      </c>
      <c r="AE54" s="892" t="e">
        <f t="shared" si="37"/>
        <v>#VALUE!</v>
      </c>
      <c r="AF54" s="893" t="e">
        <f t="shared" si="38"/>
        <v>#VALUE!</v>
      </c>
      <c r="AG54" s="865">
        <f>IF(H54&gt;8,tab!C$132,tab!C$134)</f>
        <v>0.5</v>
      </c>
      <c r="AH54" s="866">
        <f t="shared" si="39"/>
        <v>0</v>
      </c>
      <c r="AI54" s="864">
        <f t="shared" si="40"/>
        <v>0</v>
      </c>
      <c r="AJ54" s="894"/>
      <c r="AK54" s="837"/>
      <c r="AL54" s="837"/>
      <c r="AM54" s="837"/>
      <c r="AN54" s="895"/>
      <c r="AO54" s="837"/>
      <c r="AP54" s="837"/>
      <c r="AQ54" s="874"/>
      <c r="AR54" s="837"/>
      <c r="AS54" s="837"/>
      <c r="AT54" s="837"/>
      <c r="AU54" s="836"/>
      <c r="AV54" s="836"/>
      <c r="AW54" s="869"/>
      <c r="AX54" s="836"/>
      <c r="AY54" s="837"/>
      <c r="AZ54" s="713"/>
    </row>
    <row r="55" spans="2:52" s="526" customFormat="1" ht="12.75" customHeight="1" x14ac:dyDescent="0.2">
      <c r="B55" s="528"/>
      <c r="C55" s="1354"/>
      <c r="D55" s="1219" t="str">
        <f t="shared" si="20"/>
        <v/>
      </c>
      <c r="E55" s="1219" t="str">
        <f t="shared" si="20"/>
        <v/>
      </c>
      <c r="F55" s="1219" t="str">
        <f t="shared" si="20"/>
        <v/>
      </c>
      <c r="G55" s="1221" t="str">
        <f t="shared" si="21"/>
        <v/>
      </c>
      <c r="H55" s="1222" t="str">
        <f t="shared" si="22"/>
        <v/>
      </c>
      <c r="I55" s="1221" t="str">
        <f t="shared" si="22"/>
        <v/>
      </c>
      <c r="J55" s="1221" t="str">
        <f t="shared" si="23"/>
        <v/>
      </c>
      <c r="K55" s="1223" t="str">
        <f t="shared" si="24"/>
        <v/>
      </c>
      <c r="L55" s="1384"/>
      <c r="M55" s="1224" t="str">
        <f t="shared" ref="M55:N55" si="45">IF(M22="","",M22)</f>
        <v/>
      </c>
      <c r="N55" s="1225" t="str">
        <f t="shared" si="45"/>
        <v/>
      </c>
      <c r="O55" s="1385" t="str">
        <f t="shared" si="28"/>
        <v/>
      </c>
      <c r="P55" s="1385" t="str">
        <f t="shared" si="29"/>
        <v/>
      </c>
      <c r="Q55" s="1386" t="str">
        <f t="shared" si="30"/>
        <v/>
      </c>
      <c r="R55" s="1384"/>
      <c r="S55" s="1387" t="str">
        <f t="shared" si="31"/>
        <v/>
      </c>
      <c r="T55" s="1387" t="str">
        <f t="shared" si="32"/>
        <v/>
      </c>
      <c r="U55" s="1388" t="str">
        <f t="shared" si="25"/>
        <v/>
      </c>
      <c r="V55" s="1389"/>
      <c r="W55" s="636"/>
      <c r="X55" s="604"/>
      <c r="Y55" s="604"/>
      <c r="Z55" s="890" t="str">
        <f t="shared" si="26"/>
        <v/>
      </c>
      <c r="AA55" s="865">
        <f t="shared" si="33"/>
        <v>0.62</v>
      </c>
      <c r="AB55" s="891" t="e">
        <f t="shared" si="34"/>
        <v>#VALUE!</v>
      </c>
      <c r="AC55" s="891" t="e">
        <f t="shared" si="35"/>
        <v>#VALUE!</v>
      </c>
      <c r="AD55" s="891" t="e">
        <f t="shared" si="36"/>
        <v>#VALUE!</v>
      </c>
      <c r="AE55" s="892" t="e">
        <f t="shared" si="37"/>
        <v>#VALUE!</v>
      </c>
      <c r="AF55" s="893" t="e">
        <f t="shared" si="38"/>
        <v>#VALUE!</v>
      </c>
      <c r="AG55" s="865">
        <f>IF(H55&gt;8,tab!C$132,tab!C$134)</f>
        <v>0.5</v>
      </c>
      <c r="AH55" s="866">
        <f t="shared" si="39"/>
        <v>0</v>
      </c>
      <c r="AI55" s="864">
        <f t="shared" si="40"/>
        <v>0</v>
      </c>
      <c r="AJ55" s="894"/>
      <c r="AK55" s="837"/>
      <c r="AL55" s="837"/>
      <c r="AM55" s="837"/>
      <c r="AN55" s="895"/>
      <c r="AO55" s="837"/>
      <c r="AP55" s="837"/>
      <c r="AQ55" s="874"/>
      <c r="AR55" s="837"/>
      <c r="AS55" s="837"/>
      <c r="AT55" s="837"/>
      <c r="AU55" s="836"/>
      <c r="AV55" s="836"/>
      <c r="AW55" s="869"/>
      <c r="AX55" s="836"/>
      <c r="AY55" s="837"/>
      <c r="AZ55" s="713"/>
    </row>
    <row r="56" spans="2:52" s="526" customFormat="1" ht="12.75" customHeight="1" x14ac:dyDescent="0.2">
      <c r="B56" s="528"/>
      <c r="C56" s="1354"/>
      <c r="D56" s="1219" t="str">
        <f t="shared" si="20"/>
        <v/>
      </c>
      <c r="E56" s="1219" t="str">
        <f t="shared" si="20"/>
        <v/>
      </c>
      <c r="F56" s="1219" t="str">
        <f t="shared" si="20"/>
        <v/>
      </c>
      <c r="G56" s="1221" t="str">
        <f t="shared" si="21"/>
        <v/>
      </c>
      <c r="H56" s="1222" t="str">
        <f t="shared" si="22"/>
        <v/>
      </c>
      <c r="I56" s="1221" t="str">
        <f t="shared" si="22"/>
        <v/>
      </c>
      <c r="J56" s="1221" t="str">
        <f t="shared" si="23"/>
        <v/>
      </c>
      <c r="K56" s="1223" t="str">
        <f t="shared" si="24"/>
        <v/>
      </c>
      <c r="L56" s="1384"/>
      <c r="M56" s="1224" t="str">
        <f t="shared" ref="M56:N56" si="46">IF(M23="","",M23)</f>
        <v/>
      </c>
      <c r="N56" s="1225" t="str">
        <f t="shared" si="46"/>
        <v/>
      </c>
      <c r="O56" s="1385" t="str">
        <f t="shared" si="28"/>
        <v/>
      </c>
      <c r="P56" s="1385" t="str">
        <f t="shared" si="29"/>
        <v/>
      </c>
      <c r="Q56" s="1386" t="str">
        <f t="shared" si="30"/>
        <v/>
      </c>
      <c r="R56" s="1384"/>
      <c r="S56" s="1387" t="str">
        <f t="shared" si="31"/>
        <v/>
      </c>
      <c r="T56" s="1387" t="str">
        <f t="shared" si="32"/>
        <v/>
      </c>
      <c r="U56" s="1388" t="str">
        <f t="shared" si="25"/>
        <v/>
      </c>
      <c r="V56" s="1389"/>
      <c r="W56" s="636"/>
      <c r="X56" s="604"/>
      <c r="Y56" s="604"/>
      <c r="Z56" s="890" t="str">
        <f t="shared" si="26"/>
        <v/>
      </c>
      <c r="AA56" s="865">
        <f t="shared" si="33"/>
        <v>0.62</v>
      </c>
      <c r="AB56" s="891" t="e">
        <f t="shared" si="34"/>
        <v>#VALUE!</v>
      </c>
      <c r="AC56" s="891" t="e">
        <f t="shared" si="35"/>
        <v>#VALUE!</v>
      </c>
      <c r="AD56" s="891" t="e">
        <f t="shared" si="36"/>
        <v>#VALUE!</v>
      </c>
      <c r="AE56" s="892" t="e">
        <f t="shared" si="37"/>
        <v>#VALUE!</v>
      </c>
      <c r="AF56" s="893" t="e">
        <f t="shared" si="38"/>
        <v>#VALUE!</v>
      </c>
      <c r="AG56" s="865">
        <f>IF(H56&gt;8,tab!C$132,tab!C$134)</f>
        <v>0.5</v>
      </c>
      <c r="AH56" s="866">
        <f t="shared" si="39"/>
        <v>0</v>
      </c>
      <c r="AI56" s="864">
        <f t="shared" si="40"/>
        <v>0</v>
      </c>
      <c r="AJ56" s="894"/>
      <c r="AK56" s="837"/>
      <c r="AL56" s="837"/>
      <c r="AM56" s="837"/>
      <c r="AN56" s="895"/>
      <c r="AO56" s="837"/>
      <c r="AP56" s="837"/>
      <c r="AQ56" s="874"/>
      <c r="AR56" s="837"/>
      <c r="AS56" s="837"/>
      <c r="AT56" s="837"/>
      <c r="AU56" s="836"/>
      <c r="AV56" s="836"/>
      <c r="AW56" s="869"/>
      <c r="AX56" s="836"/>
      <c r="AY56" s="837"/>
      <c r="AZ56" s="713"/>
    </row>
    <row r="57" spans="2:52" s="526" customFormat="1" ht="12.75" customHeight="1" x14ac:dyDescent="0.2">
      <c r="B57" s="528"/>
      <c r="C57" s="1354"/>
      <c r="D57" s="1219" t="str">
        <f t="shared" si="20"/>
        <v/>
      </c>
      <c r="E57" s="1219" t="str">
        <f t="shared" si="20"/>
        <v/>
      </c>
      <c r="F57" s="1219" t="str">
        <f t="shared" si="20"/>
        <v/>
      </c>
      <c r="G57" s="1221" t="str">
        <f t="shared" si="21"/>
        <v/>
      </c>
      <c r="H57" s="1222" t="str">
        <f t="shared" si="22"/>
        <v/>
      </c>
      <c r="I57" s="1221" t="str">
        <f t="shared" si="22"/>
        <v/>
      </c>
      <c r="J57" s="1221" t="str">
        <f t="shared" si="23"/>
        <v/>
      </c>
      <c r="K57" s="1223" t="str">
        <f t="shared" si="24"/>
        <v/>
      </c>
      <c r="L57" s="1384"/>
      <c r="M57" s="1224" t="str">
        <f t="shared" ref="M57:N57" si="47">IF(M24="","",M24)</f>
        <v/>
      </c>
      <c r="N57" s="1225" t="str">
        <f t="shared" si="47"/>
        <v/>
      </c>
      <c r="O57" s="1385" t="str">
        <f t="shared" si="28"/>
        <v/>
      </c>
      <c r="P57" s="1385" t="str">
        <f t="shared" si="29"/>
        <v/>
      </c>
      <c r="Q57" s="1386" t="str">
        <f t="shared" si="30"/>
        <v/>
      </c>
      <c r="R57" s="1384"/>
      <c r="S57" s="1387" t="str">
        <f t="shared" si="31"/>
        <v/>
      </c>
      <c r="T57" s="1387" t="str">
        <f t="shared" si="32"/>
        <v/>
      </c>
      <c r="U57" s="1388" t="str">
        <f t="shared" si="25"/>
        <v/>
      </c>
      <c r="V57" s="1389"/>
      <c r="W57" s="636"/>
      <c r="X57" s="604"/>
      <c r="Y57" s="604"/>
      <c r="Z57" s="890" t="str">
        <f t="shared" si="26"/>
        <v/>
      </c>
      <c r="AA57" s="865">
        <f t="shared" si="33"/>
        <v>0.62</v>
      </c>
      <c r="AB57" s="891" t="e">
        <f t="shared" si="34"/>
        <v>#VALUE!</v>
      </c>
      <c r="AC57" s="891" t="e">
        <f t="shared" si="35"/>
        <v>#VALUE!</v>
      </c>
      <c r="AD57" s="891" t="e">
        <f t="shared" si="36"/>
        <v>#VALUE!</v>
      </c>
      <c r="AE57" s="892" t="e">
        <f t="shared" si="37"/>
        <v>#VALUE!</v>
      </c>
      <c r="AF57" s="893" t="e">
        <f t="shared" si="38"/>
        <v>#VALUE!</v>
      </c>
      <c r="AG57" s="865">
        <f>IF(H57&gt;8,tab!C$132,tab!C$134)</f>
        <v>0.5</v>
      </c>
      <c r="AH57" s="866">
        <f t="shared" si="39"/>
        <v>0</v>
      </c>
      <c r="AI57" s="864">
        <f t="shared" si="40"/>
        <v>0</v>
      </c>
      <c r="AJ57" s="894"/>
      <c r="AK57" s="837"/>
      <c r="AL57" s="837"/>
      <c r="AM57" s="837"/>
      <c r="AN57" s="895"/>
      <c r="AO57" s="837"/>
      <c r="AP57" s="837"/>
      <c r="AQ57" s="874"/>
      <c r="AR57" s="837"/>
      <c r="AS57" s="837"/>
      <c r="AT57" s="837"/>
      <c r="AU57" s="836"/>
      <c r="AV57" s="836"/>
      <c r="AW57" s="869"/>
      <c r="AX57" s="836"/>
      <c r="AY57" s="837"/>
      <c r="AZ57" s="713"/>
    </row>
    <row r="58" spans="2:52" s="526" customFormat="1" ht="12.75" customHeight="1" x14ac:dyDescent="0.2">
      <c r="B58" s="528"/>
      <c r="C58" s="1354"/>
      <c r="D58" s="1219" t="str">
        <f t="shared" si="20"/>
        <v/>
      </c>
      <c r="E58" s="1219" t="str">
        <f t="shared" si="20"/>
        <v/>
      </c>
      <c r="F58" s="1219" t="str">
        <f t="shared" si="20"/>
        <v/>
      </c>
      <c r="G58" s="1221" t="str">
        <f t="shared" si="21"/>
        <v/>
      </c>
      <c r="H58" s="1222" t="str">
        <f t="shared" si="22"/>
        <v/>
      </c>
      <c r="I58" s="1221" t="str">
        <f t="shared" si="22"/>
        <v/>
      </c>
      <c r="J58" s="1221" t="str">
        <f t="shared" si="23"/>
        <v/>
      </c>
      <c r="K58" s="1223" t="str">
        <f t="shared" si="24"/>
        <v/>
      </c>
      <c r="L58" s="1384"/>
      <c r="M58" s="1224" t="str">
        <f t="shared" ref="M58:N58" si="48">IF(M25="","",M25)</f>
        <v/>
      </c>
      <c r="N58" s="1225" t="str">
        <f t="shared" si="48"/>
        <v/>
      </c>
      <c r="O58" s="1385" t="str">
        <f t="shared" si="28"/>
        <v/>
      </c>
      <c r="P58" s="1385" t="str">
        <f t="shared" si="29"/>
        <v/>
      </c>
      <c r="Q58" s="1386" t="str">
        <f t="shared" si="30"/>
        <v/>
      </c>
      <c r="R58" s="1384"/>
      <c r="S58" s="1387" t="str">
        <f t="shared" si="31"/>
        <v/>
      </c>
      <c r="T58" s="1387" t="str">
        <f t="shared" si="32"/>
        <v/>
      </c>
      <c r="U58" s="1388" t="str">
        <f t="shared" si="25"/>
        <v/>
      </c>
      <c r="V58" s="1389"/>
      <c r="W58" s="636"/>
      <c r="X58" s="604"/>
      <c r="Y58" s="604"/>
      <c r="Z58" s="890" t="str">
        <f t="shared" si="26"/>
        <v/>
      </c>
      <c r="AA58" s="865">
        <f t="shared" si="33"/>
        <v>0.62</v>
      </c>
      <c r="AB58" s="891" t="e">
        <f t="shared" si="34"/>
        <v>#VALUE!</v>
      </c>
      <c r="AC58" s="891" t="e">
        <f t="shared" si="35"/>
        <v>#VALUE!</v>
      </c>
      <c r="AD58" s="891" t="e">
        <f t="shared" si="36"/>
        <v>#VALUE!</v>
      </c>
      <c r="AE58" s="892" t="e">
        <f t="shared" si="37"/>
        <v>#VALUE!</v>
      </c>
      <c r="AF58" s="893" t="e">
        <f t="shared" si="38"/>
        <v>#VALUE!</v>
      </c>
      <c r="AG58" s="865">
        <f>IF(H58&gt;8,tab!C$132,tab!C$134)</f>
        <v>0.5</v>
      </c>
      <c r="AH58" s="866">
        <f t="shared" si="39"/>
        <v>0</v>
      </c>
      <c r="AI58" s="864">
        <f t="shared" si="40"/>
        <v>0</v>
      </c>
      <c r="AJ58" s="894"/>
      <c r="AK58" s="837"/>
      <c r="AL58" s="837"/>
      <c r="AM58" s="837"/>
      <c r="AN58" s="895"/>
      <c r="AO58" s="837"/>
      <c r="AP58" s="837"/>
      <c r="AQ58" s="874"/>
      <c r="AR58" s="837"/>
      <c r="AS58" s="837"/>
      <c r="AT58" s="837"/>
      <c r="AU58" s="836"/>
      <c r="AV58" s="836"/>
      <c r="AW58" s="869"/>
      <c r="AX58" s="836"/>
      <c r="AY58" s="837"/>
      <c r="AZ58" s="713"/>
    </row>
    <row r="59" spans="2:52" s="526" customFormat="1" ht="12.75" customHeight="1" x14ac:dyDescent="0.2">
      <c r="B59" s="528"/>
      <c r="C59" s="1354"/>
      <c r="D59" s="1219" t="str">
        <f t="shared" si="20"/>
        <v/>
      </c>
      <c r="E59" s="1219" t="str">
        <f t="shared" si="20"/>
        <v/>
      </c>
      <c r="F59" s="1219" t="str">
        <f t="shared" si="20"/>
        <v/>
      </c>
      <c r="G59" s="1221" t="str">
        <f t="shared" si="21"/>
        <v/>
      </c>
      <c r="H59" s="1222" t="str">
        <f t="shared" si="22"/>
        <v/>
      </c>
      <c r="I59" s="1221" t="str">
        <f t="shared" si="22"/>
        <v/>
      </c>
      <c r="J59" s="1221" t="str">
        <f t="shared" si="23"/>
        <v/>
      </c>
      <c r="K59" s="1223" t="str">
        <f t="shared" si="24"/>
        <v/>
      </c>
      <c r="L59" s="1384"/>
      <c r="M59" s="1224" t="str">
        <f t="shared" ref="M59:N59" si="49">IF(M26="","",M26)</f>
        <v/>
      </c>
      <c r="N59" s="1225" t="str">
        <f t="shared" si="49"/>
        <v/>
      </c>
      <c r="O59" s="1385" t="str">
        <f t="shared" si="28"/>
        <v/>
      </c>
      <c r="P59" s="1385" t="str">
        <f t="shared" si="29"/>
        <v/>
      </c>
      <c r="Q59" s="1386" t="str">
        <f t="shared" si="30"/>
        <v/>
      </c>
      <c r="R59" s="1384"/>
      <c r="S59" s="1387" t="str">
        <f t="shared" si="31"/>
        <v/>
      </c>
      <c r="T59" s="1387" t="str">
        <f t="shared" si="32"/>
        <v/>
      </c>
      <c r="U59" s="1388" t="str">
        <f t="shared" si="25"/>
        <v/>
      </c>
      <c r="V59" s="1389"/>
      <c r="W59" s="636"/>
      <c r="X59" s="604"/>
      <c r="Y59" s="604"/>
      <c r="Z59" s="890" t="str">
        <f t="shared" si="26"/>
        <v/>
      </c>
      <c r="AA59" s="865">
        <f t="shared" si="33"/>
        <v>0.62</v>
      </c>
      <c r="AB59" s="891" t="e">
        <f t="shared" si="34"/>
        <v>#VALUE!</v>
      </c>
      <c r="AC59" s="891" t="e">
        <f t="shared" si="35"/>
        <v>#VALUE!</v>
      </c>
      <c r="AD59" s="891" t="e">
        <f t="shared" si="36"/>
        <v>#VALUE!</v>
      </c>
      <c r="AE59" s="892" t="e">
        <f t="shared" si="37"/>
        <v>#VALUE!</v>
      </c>
      <c r="AF59" s="893" t="e">
        <f t="shared" si="38"/>
        <v>#VALUE!</v>
      </c>
      <c r="AG59" s="865">
        <f>IF(H59&gt;8,tab!C$132,tab!C$134)</f>
        <v>0.5</v>
      </c>
      <c r="AH59" s="866">
        <f t="shared" si="39"/>
        <v>0</v>
      </c>
      <c r="AI59" s="864">
        <f t="shared" si="40"/>
        <v>0</v>
      </c>
      <c r="AJ59" s="894"/>
      <c r="AK59" s="837"/>
      <c r="AL59" s="837"/>
      <c r="AM59" s="837"/>
      <c r="AN59" s="895"/>
      <c r="AO59" s="837"/>
      <c r="AP59" s="837"/>
      <c r="AQ59" s="874"/>
      <c r="AR59" s="837"/>
      <c r="AS59" s="837"/>
      <c r="AT59" s="837"/>
      <c r="AU59" s="836"/>
      <c r="AV59" s="836"/>
      <c r="AW59" s="869"/>
      <c r="AX59" s="836"/>
      <c r="AY59" s="837"/>
      <c r="AZ59" s="713"/>
    </row>
    <row r="60" spans="2:52" s="526" customFormat="1" ht="12.75" customHeight="1" x14ac:dyDescent="0.2">
      <c r="B60" s="528"/>
      <c r="C60" s="1354"/>
      <c r="D60" s="1219" t="str">
        <f t="shared" si="20"/>
        <v/>
      </c>
      <c r="E60" s="1219" t="str">
        <f t="shared" si="20"/>
        <v/>
      </c>
      <c r="F60" s="1219" t="str">
        <f t="shared" si="20"/>
        <v/>
      </c>
      <c r="G60" s="1221" t="str">
        <f t="shared" si="21"/>
        <v/>
      </c>
      <c r="H60" s="1222" t="str">
        <f t="shared" si="22"/>
        <v/>
      </c>
      <c r="I60" s="1221" t="str">
        <f t="shared" si="22"/>
        <v/>
      </c>
      <c r="J60" s="1221" t="str">
        <f t="shared" si="23"/>
        <v/>
      </c>
      <c r="K60" s="1223" t="str">
        <f t="shared" si="24"/>
        <v/>
      </c>
      <c r="L60" s="1384"/>
      <c r="M60" s="1224" t="str">
        <f t="shared" ref="M60:N60" si="50">IF(M27="","",M27)</f>
        <v/>
      </c>
      <c r="N60" s="1225" t="str">
        <f t="shared" si="50"/>
        <v/>
      </c>
      <c r="O60" s="1385" t="str">
        <f t="shared" si="28"/>
        <v/>
      </c>
      <c r="P60" s="1385" t="str">
        <f t="shared" si="29"/>
        <v/>
      </c>
      <c r="Q60" s="1386" t="str">
        <f t="shared" si="30"/>
        <v/>
      </c>
      <c r="R60" s="1384"/>
      <c r="S60" s="1387" t="str">
        <f t="shared" si="31"/>
        <v/>
      </c>
      <c r="T60" s="1387" t="str">
        <f t="shared" si="32"/>
        <v/>
      </c>
      <c r="U60" s="1388" t="str">
        <f t="shared" si="25"/>
        <v/>
      </c>
      <c r="V60" s="1389"/>
      <c r="W60" s="636"/>
      <c r="X60" s="604"/>
      <c r="Y60" s="604"/>
      <c r="Z60" s="890" t="str">
        <f t="shared" si="26"/>
        <v/>
      </c>
      <c r="AA60" s="865">
        <f t="shared" si="33"/>
        <v>0.62</v>
      </c>
      <c r="AB60" s="891" t="e">
        <f t="shared" si="34"/>
        <v>#VALUE!</v>
      </c>
      <c r="AC60" s="891" t="e">
        <f t="shared" si="35"/>
        <v>#VALUE!</v>
      </c>
      <c r="AD60" s="891" t="e">
        <f t="shared" si="36"/>
        <v>#VALUE!</v>
      </c>
      <c r="AE60" s="892" t="e">
        <f t="shared" si="37"/>
        <v>#VALUE!</v>
      </c>
      <c r="AF60" s="893" t="e">
        <f t="shared" si="38"/>
        <v>#VALUE!</v>
      </c>
      <c r="AG60" s="865">
        <f>IF(H60&gt;8,tab!C$132,tab!C$134)</f>
        <v>0.5</v>
      </c>
      <c r="AH60" s="866">
        <f t="shared" si="39"/>
        <v>0</v>
      </c>
      <c r="AI60" s="864">
        <f t="shared" si="40"/>
        <v>0</v>
      </c>
      <c r="AJ60" s="894"/>
      <c r="AK60" s="837"/>
      <c r="AL60" s="837"/>
      <c r="AM60" s="837"/>
      <c r="AN60" s="895"/>
      <c r="AO60" s="837"/>
      <c r="AP60" s="837"/>
      <c r="AQ60" s="874"/>
      <c r="AR60" s="837"/>
      <c r="AS60" s="837"/>
      <c r="AT60" s="837"/>
      <c r="AU60" s="836"/>
      <c r="AV60" s="836"/>
      <c r="AW60" s="869"/>
      <c r="AX60" s="836"/>
      <c r="AY60" s="837"/>
      <c r="AZ60" s="713"/>
    </row>
    <row r="61" spans="2:52" s="526" customFormat="1" ht="12.75" customHeight="1" x14ac:dyDescent="0.2">
      <c r="B61" s="528"/>
      <c r="C61" s="1354"/>
      <c r="D61" s="1219" t="str">
        <f t="shared" ref="D61:F63" si="51">IF(D28=0,"",D28)</f>
        <v/>
      </c>
      <c r="E61" s="1219" t="str">
        <f t="shared" si="51"/>
        <v/>
      </c>
      <c r="F61" s="1219" t="str">
        <f t="shared" si="51"/>
        <v/>
      </c>
      <c r="G61" s="1221" t="str">
        <f t="shared" si="21"/>
        <v/>
      </c>
      <c r="H61" s="1222" t="str">
        <f t="shared" si="22"/>
        <v/>
      </c>
      <c r="I61" s="1221" t="str">
        <f t="shared" si="22"/>
        <v/>
      </c>
      <c r="J61" s="1221" t="str">
        <f t="shared" si="23"/>
        <v/>
      </c>
      <c r="K61" s="1223" t="str">
        <f t="shared" ref="K61:K63" si="52">IF(K28="","",K28)</f>
        <v/>
      </c>
      <c r="L61" s="1384"/>
      <c r="M61" s="1224" t="str">
        <f t="shared" ref="M61:N61" si="53">IF(M28="","",M28)</f>
        <v/>
      </c>
      <c r="N61" s="1225" t="str">
        <f t="shared" si="53"/>
        <v/>
      </c>
      <c r="O61" s="1385" t="str">
        <f t="shared" si="28"/>
        <v/>
      </c>
      <c r="P61" s="1385" t="str">
        <f t="shared" si="29"/>
        <v/>
      </c>
      <c r="Q61" s="1386" t="str">
        <f t="shared" si="30"/>
        <v/>
      </c>
      <c r="R61" s="1384"/>
      <c r="S61" s="1387" t="str">
        <f t="shared" si="31"/>
        <v/>
      </c>
      <c r="T61" s="1387" t="str">
        <f t="shared" si="32"/>
        <v/>
      </c>
      <c r="U61" s="1388" t="str">
        <f t="shared" si="25"/>
        <v/>
      </c>
      <c r="V61" s="1389"/>
      <c r="W61" s="636"/>
      <c r="X61" s="604"/>
      <c r="Y61" s="604"/>
      <c r="Z61" s="890" t="str">
        <f t="shared" si="26"/>
        <v/>
      </c>
      <c r="AA61" s="865">
        <f t="shared" si="33"/>
        <v>0.62</v>
      </c>
      <c r="AB61" s="891" t="e">
        <f t="shared" si="34"/>
        <v>#VALUE!</v>
      </c>
      <c r="AC61" s="891" t="e">
        <f t="shared" si="35"/>
        <v>#VALUE!</v>
      </c>
      <c r="AD61" s="891" t="e">
        <f t="shared" si="36"/>
        <v>#VALUE!</v>
      </c>
      <c r="AE61" s="892" t="e">
        <f t="shared" si="37"/>
        <v>#VALUE!</v>
      </c>
      <c r="AF61" s="893" t="e">
        <f t="shared" si="38"/>
        <v>#VALUE!</v>
      </c>
      <c r="AG61" s="865">
        <f>IF(H61&gt;8,tab!C$132,tab!C$134)</f>
        <v>0.5</v>
      </c>
      <c r="AH61" s="866">
        <f t="shared" si="39"/>
        <v>0</v>
      </c>
      <c r="AI61" s="864">
        <f t="shared" si="40"/>
        <v>0</v>
      </c>
      <c r="AJ61" s="894"/>
      <c r="AK61" s="837"/>
      <c r="AL61" s="837"/>
      <c r="AM61" s="837"/>
      <c r="AN61" s="895"/>
      <c r="AO61" s="837"/>
      <c r="AP61" s="837"/>
      <c r="AQ61" s="874"/>
      <c r="AR61" s="837"/>
      <c r="AS61" s="837"/>
      <c r="AT61" s="837"/>
      <c r="AU61" s="836"/>
      <c r="AV61" s="836"/>
      <c r="AW61" s="869"/>
      <c r="AX61" s="836"/>
      <c r="AY61" s="837"/>
      <c r="AZ61" s="713"/>
    </row>
    <row r="62" spans="2:52" s="526" customFormat="1" ht="12.75" customHeight="1" x14ac:dyDescent="0.2">
      <c r="B62" s="528"/>
      <c r="C62" s="1354"/>
      <c r="D62" s="1219" t="str">
        <f t="shared" si="51"/>
        <v/>
      </c>
      <c r="E62" s="1219" t="str">
        <f t="shared" si="51"/>
        <v/>
      </c>
      <c r="F62" s="1219" t="str">
        <f t="shared" si="51"/>
        <v/>
      </c>
      <c r="G62" s="1221" t="str">
        <f t="shared" si="21"/>
        <v/>
      </c>
      <c r="H62" s="1222" t="str">
        <f t="shared" si="22"/>
        <v/>
      </c>
      <c r="I62" s="1221" t="str">
        <f t="shared" si="22"/>
        <v/>
      </c>
      <c r="J62" s="1221" t="str">
        <f t="shared" si="23"/>
        <v/>
      </c>
      <c r="K62" s="1223" t="str">
        <f t="shared" si="52"/>
        <v/>
      </c>
      <c r="L62" s="1384"/>
      <c r="M62" s="1224" t="str">
        <f t="shared" ref="M62:N62" si="54">IF(M29="","",M29)</f>
        <v/>
      </c>
      <c r="N62" s="1225" t="str">
        <f t="shared" si="54"/>
        <v/>
      </c>
      <c r="O62" s="1385" t="str">
        <f t="shared" si="28"/>
        <v/>
      </c>
      <c r="P62" s="1385" t="str">
        <f t="shared" si="29"/>
        <v/>
      </c>
      <c r="Q62" s="1386" t="str">
        <f t="shared" si="30"/>
        <v/>
      </c>
      <c r="R62" s="1384"/>
      <c r="S62" s="1387" t="str">
        <f t="shared" si="31"/>
        <v/>
      </c>
      <c r="T62" s="1387" t="str">
        <f t="shared" si="32"/>
        <v/>
      </c>
      <c r="U62" s="1388" t="str">
        <f t="shared" si="25"/>
        <v/>
      </c>
      <c r="V62" s="1389"/>
      <c r="W62" s="636"/>
      <c r="X62" s="604"/>
      <c r="Y62" s="604"/>
      <c r="Z62" s="890" t="str">
        <f t="shared" si="26"/>
        <v/>
      </c>
      <c r="AA62" s="865">
        <f t="shared" si="33"/>
        <v>0.62</v>
      </c>
      <c r="AB62" s="891" t="e">
        <f t="shared" si="34"/>
        <v>#VALUE!</v>
      </c>
      <c r="AC62" s="891" t="e">
        <f t="shared" si="35"/>
        <v>#VALUE!</v>
      </c>
      <c r="AD62" s="891" t="e">
        <f t="shared" si="36"/>
        <v>#VALUE!</v>
      </c>
      <c r="AE62" s="892" t="e">
        <f t="shared" si="37"/>
        <v>#VALUE!</v>
      </c>
      <c r="AF62" s="893" t="e">
        <f t="shared" si="38"/>
        <v>#VALUE!</v>
      </c>
      <c r="AG62" s="865">
        <f>IF(H62&gt;8,tab!C$132,tab!C$134)</f>
        <v>0.5</v>
      </c>
      <c r="AH62" s="866">
        <f t="shared" si="39"/>
        <v>0</v>
      </c>
      <c r="AI62" s="864">
        <f t="shared" si="40"/>
        <v>0</v>
      </c>
      <c r="AJ62" s="894"/>
      <c r="AK62" s="837"/>
      <c r="AL62" s="837"/>
      <c r="AM62" s="837"/>
      <c r="AN62" s="895"/>
      <c r="AO62" s="837"/>
      <c r="AP62" s="837"/>
      <c r="AQ62" s="874"/>
      <c r="AR62" s="837"/>
      <c r="AS62" s="837"/>
      <c r="AT62" s="837"/>
      <c r="AU62" s="836"/>
      <c r="AV62" s="836"/>
      <c r="AW62" s="869"/>
      <c r="AX62" s="836"/>
      <c r="AY62" s="837"/>
      <c r="AZ62" s="713"/>
    </row>
    <row r="63" spans="2:52" s="526" customFormat="1" ht="12.75" customHeight="1" x14ac:dyDescent="0.2">
      <c r="B63" s="528"/>
      <c r="C63" s="1354"/>
      <c r="D63" s="1219" t="str">
        <f t="shared" si="51"/>
        <v/>
      </c>
      <c r="E63" s="1219" t="str">
        <f t="shared" si="51"/>
        <v/>
      </c>
      <c r="F63" s="1219" t="str">
        <f t="shared" si="51"/>
        <v/>
      </c>
      <c r="G63" s="1221" t="str">
        <f t="shared" si="21"/>
        <v/>
      </c>
      <c r="H63" s="1222" t="str">
        <f t="shared" si="22"/>
        <v/>
      </c>
      <c r="I63" s="1221" t="str">
        <f t="shared" si="22"/>
        <v/>
      </c>
      <c r="J63" s="1221" t="str">
        <f t="shared" si="23"/>
        <v/>
      </c>
      <c r="K63" s="1223" t="str">
        <f t="shared" si="52"/>
        <v/>
      </c>
      <c r="L63" s="1384"/>
      <c r="M63" s="1224" t="str">
        <f t="shared" ref="M63:N63" si="55">IF(M30="","",M30)</f>
        <v/>
      </c>
      <c r="N63" s="1225" t="str">
        <f t="shared" si="55"/>
        <v/>
      </c>
      <c r="O63" s="1385" t="str">
        <f t="shared" si="28"/>
        <v/>
      </c>
      <c r="P63" s="1385" t="str">
        <f t="shared" si="29"/>
        <v/>
      </c>
      <c r="Q63" s="1386" t="str">
        <f t="shared" si="30"/>
        <v/>
      </c>
      <c r="R63" s="1384"/>
      <c r="S63" s="1387" t="str">
        <f t="shared" si="31"/>
        <v/>
      </c>
      <c r="T63" s="1387" t="str">
        <f t="shared" si="32"/>
        <v/>
      </c>
      <c r="U63" s="1388" t="str">
        <f t="shared" si="25"/>
        <v/>
      </c>
      <c r="V63" s="1389"/>
      <c r="W63" s="636"/>
      <c r="X63" s="604"/>
      <c r="Y63" s="604"/>
      <c r="Z63" s="890" t="str">
        <f t="shared" si="26"/>
        <v/>
      </c>
      <c r="AA63" s="865">
        <f t="shared" si="33"/>
        <v>0.62</v>
      </c>
      <c r="AB63" s="891" t="e">
        <f t="shared" si="34"/>
        <v>#VALUE!</v>
      </c>
      <c r="AC63" s="891" t="e">
        <f t="shared" si="35"/>
        <v>#VALUE!</v>
      </c>
      <c r="AD63" s="891" t="e">
        <f t="shared" si="36"/>
        <v>#VALUE!</v>
      </c>
      <c r="AE63" s="892" t="e">
        <f t="shared" si="37"/>
        <v>#VALUE!</v>
      </c>
      <c r="AF63" s="893" t="e">
        <f t="shared" si="38"/>
        <v>#VALUE!</v>
      </c>
      <c r="AG63" s="865">
        <f>IF(H63&gt;8,tab!C$132,tab!C$134)</f>
        <v>0.5</v>
      </c>
      <c r="AH63" s="866">
        <f t="shared" si="39"/>
        <v>0</v>
      </c>
      <c r="AI63" s="864">
        <f t="shared" si="40"/>
        <v>0</v>
      </c>
      <c r="AJ63" s="894"/>
      <c r="AK63" s="837"/>
      <c r="AL63" s="837"/>
      <c r="AM63" s="837"/>
      <c r="AN63" s="895"/>
      <c r="AO63" s="837"/>
      <c r="AP63" s="837"/>
      <c r="AQ63" s="874"/>
      <c r="AR63" s="837"/>
      <c r="AS63" s="837"/>
      <c r="AT63" s="837"/>
      <c r="AU63" s="836"/>
      <c r="AV63" s="836"/>
      <c r="AW63" s="869"/>
      <c r="AX63" s="836"/>
      <c r="AY63" s="837"/>
      <c r="AZ63" s="713"/>
    </row>
    <row r="64" spans="2:52" s="526" customFormat="1" ht="12.75" customHeight="1" x14ac:dyDescent="0.2">
      <c r="B64" s="528"/>
      <c r="C64" s="1354"/>
      <c r="D64" s="1219" t="str">
        <f t="shared" ref="D64:F68" si="56">IF(D31=0,"",D31)</f>
        <v/>
      </c>
      <c r="E64" s="1219" t="str">
        <f t="shared" si="56"/>
        <v/>
      </c>
      <c r="F64" s="1219" t="str">
        <f t="shared" si="56"/>
        <v/>
      </c>
      <c r="G64" s="1221" t="str">
        <f t="shared" si="21"/>
        <v/>
      </c>
      <c r="H64" s="1222" t="str">
        <f t="shared" si="22"/>
        <v/>
      </c>
      <c r="I64" s="1221" t="str">
        <f t="shared" si="22"/>
        <v/>
      </c>
      <c r="J64" s="1221" t="str">
        <f t="shared" si="23"/>
        <v/>
      </c>
      <c r="K64" s="1223" t="str">
        <f t="shared" ref="K64:K68" si="57">IF(K31="","",K31)</f>
        <v/>
      </c>
      <c r="L64" s="1384"/>
      <c r="M64" s="1224" t="str">
        <f t="shared" ref="M64:N64" si="58">IF(M31="","",M31)</f>
        <v/>
      </c>
      <c r="N64" s="1225" t="str">
        <f t="shared" si="58"/>
        <v/>
      </c>
      <c r="O64" s="1385" t="str">
        <f t="shared" si="28"/>
        <v/>
      </c>
      <c r="P64" s="1385" t="str">
        <f t="shared" si="29"/>
        <v/>
      </c>
      <c r="Q64" s="1386" t="str">
        <f t="shared" si="30"/>
        <v/>
      </c>
      <c r="R64" s="1384"/>
      <c r="S64" s="1387" t="str">
        <f t="shared" si="31"/>
        <v/>
      </c>
      <c r="T64" s="1387" t="str">
        <f t="shared" si="32"/>
        <v/>
      </c>
      <c r="U64" s="1388" t="str">
        <f t="shared" si="25"/>
        <v/>
      </c>
      <c r="V64" s="1389"/>
      <c r="W64" s="636"/>
      <c r="X64" s="604"/>
      <c r="Y64" s="604"/>
      <c r="Z64" s="890" t="str">
        <f t="shared" si="26"/>
        <v/>
      </c>
      <c r="AA64" s="865">
        <f t="shared" si="33"/>
        <v>0.62</v>
      </c>
      <c r="AB64" s="891" t="e">
        <f t="shared" si="34"/>
        <v>#VALUE!</v>
      </c>
      <c r="AC64" s="891" t="e">
        <f t="shared" si="35"/>
        <v>#VALUE!</v>
      </c>
      <c r="AD64" s="891" t="e">
        <f t="shared" si="36"/>
        <v>#VALUE!</v>
      </c>
      <c r="AE64" s="892" t="e">
        <f t="shared" si="37"/>
        <v>#VALUE!</v>
      </c>
      <c r="AF64" s="893" t="e">
        <f t="shared" si="38"/>
        <v>#VALUE!</v>
      </c>
      <c r="AG64" s="865">
        <f>IF(H64&gt;8,tab!C$132,tab!C$134)</f>
        <v>0.5</v>
      </c>
      <c r="AH64" s="866">
        <f t="shared" si="39"/>
        <v>0</v>
      </c>
      <c r="AI64" s="864">
        <f t="shared" si="40"/>
        <v>0</v>
      </c>
      <c r="AJ64" s="894"/>
      <c r="AK64" s="837"/>
      <c r="AL64" s="837"/>
      <c r="AM64" s="837"/>
      <c r="AN64" s="895"/>
      <c r="AO64" s="837"/>
      <c r="AP64" s="837"/>
      <c r="AQ64" s="874"/>
      <c r="AR64" s="837"/>
      <c r="AS64" s="837"/>
      <c r="AT64" s="837"/>
      <c r="AU64" s="836"/>
      <c r="AV64" s="836"/>
      <c r="AW64" s="869"/>
      <c r="AX64" s="836"/>
      <c r="AY64" s="837"/>
      <c r="AZ64" s="713"/>
    </row>
    <row r="65" spans="2:59" s="526" customFormat="1" ht="12.75" customHeight="1" x14ac:dyDescent="0.2">
      <c r="B65" s="528"/>
      <c r="C65" s="1354"/>
      <c r="D65" s="1219" t="str">
        <f t="shared" si="56"/>
        <v/>
      </c>
      <c r="E65" s="1219" t="str">
        <f t="shared" si="56"/>
        <v/>
      </c>
      <c r="F65" s="1219" t="str">
        <f t="shared" si="56"/>
        <v/>
      </c>
      <c r="G65" s="1221" t="str">
        <f t="shared" si="21"/>
        <v/>
      </c>
      <c r="H65" s="1222" t="str">
        <f t="shared" si="22"/>
        <v/>
      </c>
      <c r="I65" s="1221" t="str">
        <f t="shared" si="22"/>
        <v/>
      </c>
      <c r="J65" s="1221" t="str">
        <f t="shared" si="23"/>
        <v/>
      </c>
      <c r="K65" s="1223" t="str">
        <f t="shared" si="57"/>
        <v/>
      </c>
      <c r="L65" s="1384"/>
      <c r="M65" s="1224" t="str">
        <f t="shared" ref="M65:N65" si="59">IF(M32="","",M32)</f>
        <v/>
      </c>
      <c r="N65" s="1225" t="str">
        <f t="shared" si="59"/>
        <v/>
      </c>
      <c r="O65" s="1385" t="str">
        <f t="shared" si="28"/>
        <v/>
      </c>
      <c r="P65" s="1385" t="str">
        <f t="shared" si="29"/>
        <v/>
      </c>
      <c r="Q65" s="1386" t="str">
        <f t="shared" si="30"/>
        <v/>
      </c>
      <c r="R65" s="1384"/>
      <c r="S65" s="1387" t="str">
        <f t="shared" si="31"/>
        <v/>
      </c>
      <c r="T65" s="1387" t="str">
        <f t="shared" si="32"/>
        <v/>
      </c>
      <c r="U65" s="1388" t="str">
        <f t="shared" si="25"/>
        <v/>
      </c>
      <c r="V65" s="1389"/>
      <c r="W65" s="636"/>
      <c r="X65" s="604"/>
      <c r="Y65" s="604"/>
      <c r="Z65" s="890" t="str">
        <f t="shared" si="26"/>
        <v/>
      </c>
      <c r="AA65" s="865">
        <f t="shared" si="33"/>
        <v>0.62</v>
      </c>
      <c r="AB65" s="891" t="e">
        <f t="shared" si="34"/>
        <v>#VALUE!</v>
      </c>
      <c r="AC65" s="891" t="e">
        <f t="shared" si="35"/>
        <v>#VALUE!</v>
      </c>
      <c r="AD65" s="891" t="e">
        <f t="shared" si="36"/>
        <v>#VALUE!</v>
      </c>
      <c r="AE65" s="892" t="e">
        <f t="shared" si="37"/>
        <v>#VALUE!</v>
      </c>
      <c r="AF65" s="893" t="e">
        <f t="shared" si="38"/>
        <v>#VALUE!</v>
      </c>
      <c r="AG65" s="865">
        <f>IF(H65&gt;8,tab!C$132,tab!C$134)</f>
        <v>0.5</v>
      </c>
      <c r="AH65" s="866">
        <f t="shared" si="39"/>
        <v>0</v>
      </c>
      <c r="AI65" s="864">
        <f t="shared" si="40"/>
        <v>0</v>
      </c>
      <c r="AJ65" s="894"/>
      <c r="AK65" s="837"/>
      <c r="AL65" s="837"/>
      <c r="AM65" s="837"/>
      <c r="AN65" s="895"/>
      <c r="AO65" s="837"/>
      <c r="AP65" s="837"/>
      <c r="AQ65" s="874"/>
      <c r="AR65" s="837"/>
      <c r="AS65" s="837"/>
      <c r="AT65" s="837"/>
      <c r="AU65" s="836"/>
      <c r="AV65" s="836"/>
      <c r="AW65" s="869"/>
      <c r="AX65" s="836"/>
      <c r="AY65" s="837"/>
      <c r="AZ65" s="713"/>
    </row>
    <row r="66" spans="2:59" s="526" customFormat="1" ht="12.75" customHeight="1" x14ac:dyDescent="0.2">
      <c r="B66" s="528"/>
      <c r="C66" s="1354"/>
      <c r="D66" s="1219" t="str">
        <f t="shared" si="56"/>
        <v/>
      </c>
      <c r="E66" s="1219" t="str">
        <f t="shared" si="56"/>
        <v/>
      </c>
      <c r="F66" s="1219" t="str">
        <f t="shared" si="56"/>
        <v/>
      </c>
      <c r="G66" s="1221" t="str">
        <f t="shared" si="21"/>
        <v/>
      </c>
      <c r="H66" s="1222" t="str">
        <f t="shared" si="22"/>
        <v/>
      </c>
      <c r="I66" s="1221" t="str">
        <f t="shared" si="22"/>
        <v/>
      </c>
      <c r="J66" s="1221" t="str">
        <f t="shared" si="23"/>
        <v/>
      </c>
      <c r="K66" s="1223" t="str">
        <f t="shared" si="57"/>
        <v/>
      </c>
      <c r="L66" s="1384"/>
      <c r="M66" s="1224" t="str">
        <f t="shared" ref="M66:N66" si="60">IF(M33="","",M33)</f>
        <v/>
      </c>
      <c r="N66" s="1225" t="str">
        <f t="shared" si="60"/>
        <v/>
      </c>
      <c r="O66" s="1385" t="str">
        <f t="shared" si="28"/>
        <v/>
      </c>
      <c r="P66" s="1385" t="str">
        <f t="shared" si="29"/>
        <v/>
      </c>
      <c r="Q66" s="1386" t="str">
        <f t="shared" si="30"/>
        <v/>
      </c>
      <c r="R66" s="1384"/>
      <c r="S66" s="1387" t="str">
        <f t="shared" si="31"/>
        <v/>
      </c>
      <c r="T66" s="1387" t="str">
        <f t="shared" si="32"/>
        <v/>
      </c>
      <c r="U66" s="1388" t="str">
        <f t="shared" si="25"/>
        <v/>
      </c>
      <c r="V66" s="1389"/>
      <c r="W66" s="636"/>
      <c r="X66" s="604"/>
      <c r="Y66" s="604"/>
      <c r="Z66" s="890" t="str">
        <f t="shared" si="26"/>
        <v/>
      </c>
      <c r="AA66" s="865">
        <f t="shared" si="33"/>
        <v>0.62</v>
      </c>
      <c r="AB66" s="891" t="e">
        <f t="shared" si="34"/>
        <v>#VALUE!</v>
      </c>
      <c r="AC66" s="891" t="e">
        <f t="shared" si="35"/>
        <v>#VALUE!</v>
      </c>
      <c r="AD66" s="891" t="e">
        <f t="shared" si="36"/>
        <v>#VALUE!</v>
      </c>
      <c r="AE66" s="892" t="e">
        <f t="shared" si="37"/>
        <v>#VALUE!</v>
      </c>
      <c r="AF66" s="893" t="e">
        <f t="shared" si="38"/>
        <v>#VALUE!</v>
      </c>
      <c r="AG66" s="865">
        <f>IF(H66&gt;8,tab!C$132,tab!C$134)</f>
        <v>0.5</v>
      </c>
      <c r="AH66" s="866">
        <f t="shared" si="39"/>
        <v>0</v>
      </c>
      <c r="AI66" s="864">
        <f t="shared" si="40"/>
        <v>0</v>
      </c>
      <c r="AJ66" s="894"/>
      <c r="AK66" s="837"/>
      <c r="AL66" s="837"/>
      <c r="AM66" s="837"/>
      <c r="AN66" s="895"/>
      <c r="AO66" s="837"/>
      <c r="AP66" s="837"/>
      <c r="AQ66" s="874"/>
      <c r="AR66" s="837"/>
      <c r="AS66" s="837"/>
      <c r="AT66" s="837"/>
      <c r="AU66" s="836"/>
      <c r="AV66" s="836"/>
      <c r="AW66" s="869"/>
      <c r="AX66" s="836"/>
      <c r="AY66" s="837"/>
      <c r="AZ66" s="713"/>
    </row>
    <row r="67" spans="2:59" s="526" customFormat="1" ht="12.75" customHeight="1" x14ac:dyDescent="0.2">
      <c r="B67" s="528"/>
      <c r="C67" s="1354"/>
      <c r="D67" s="1219" t="str">
        <f t="shared" si="56"/>
        <v/>
      </c>
      <c r="E67" s="1219" t="str">
        <f t="shared" si="56"/>
        <v/>
      </c>
      <c r="F67" s="1219" t="str">
        <f t="shared" si="56"/>
        <v/>
      </c>
      <c r="G67" s="1221" t="str">
        <f t="shared" si="21"/>
        <v/>
      </c>
      <c r="H67" s="1222" t="str">
        <f t="shared" si="22"/>
        <v/>
      </c>
      <c r="I67" s="1221" t="str">
        <f t="shared" si="22"/>
        <v/>
      </c>
      <c r="J67" s="1221" t="str">
        <f t="shared" si="23"/>
        <v/>
      </c>
      <c r="K67" s="1223" t="str">
        <f t="shared" si="57"/>
        <v/>
      </c>
      <c r="L67" s="1384"/>
      <c r="M67" s="1224" t="str">
        <f t="shared" ref="M67:N67" si="61">IF(M34="","",M34)</f>
        <v/>
      </c>
      <c r="N67" s="1225" t="str">
        <f t="shared" si="61"/>
        <v/>
      </c>
      <c r="O67" s="1385" t="str">
        <f t="shared" si="28"/>
        <v/>
      </c>
      <c r="P67" s="1385" t="str">
        <f t="shared" si="29"/>
        <v/>
      </c>
      <c r="Q67" s="1386" t="str">
        <f t="shared" si="30"/>
        <v/>
      </c>
      <c r="R67" s="1384"/>
      <c r="S67" s="1387" t="str">
        <f t="shared" si="31"/>
        <v/>
      </c>
      <c r="T67" s="1387" t="str">
        <f t="shared" si="32"/>
        <v/>
      </c>
      <c r="U67" s="1388" t="str">
        <f t="shared" si="25"/>
        <v/>
      </c>
      <c r="V67" s="1389"/>
      <c r="W67" s="636"/>
      <c r="X67" s="604"/>
      <c r="Y67" s="604"/>
      <c r="Z67" s="890" t="str">
        <f t="shared" si="26"/>
        <v/>
      </c>
      <c r="AA67" s="865">
        <f t="shared" si="33"/>
        <v>0.62</v>
      </c>
      <c r="AB67" s="891" t="e">
        <f t="shared" si="34"/>
        <v>#VALUE!</v>
      </c>
      <c r="AC67" s="891" t="e">
        <f t="shared" si="35"/>
        <v>#VALUE!</v>
      </c>
      <c r="AD67" s="891" t="e">
        <f t="shared" si="36"/>
        <v>#VALUE!</v>
      </c>
      <c r="AE67" s="892" t="e">
        <f t="shared" si="37"/>
        <v>#VALUE!</v>
      </c>
      <c r="AF67" s="893" t="e">
        <f t="shared" si="38"/>
        <v>#VALUE!</v>
      </c>
      <c r="AG67" s="865">
        <f>IF(H67&gt;8,tab!C$132,tab!C$134)</f>
        <v>0.5</v>
      </c>
      <c r="AH67" s="866">
        <f t="shared" si="39"/>
        <v>0</v>
      </c>
      <c r="AI67" s="864">
        <f t="shared" si="40"/>
        <v>0</v>
      </c>
      <c r="AJ67" s="894"/>
      <c r="AK67" s="837"/>
      <c r="AL67" s="837"/>
      <c r="AM67" s="837"/>
      <c r="AN67" s="895"/>
      <c r="AO67" s="837"/>
      <c r="AP67" s="837"/>
      <c r="AQ67" s="874"/>
      <c r="AR67" s="837"/>
      <c r="AS67" s="837"/>
      <c r="AT67" s="837"/>
      <c r="AU67" s="836"/>
      <c r="AV67" s="836"/>
      <c r="AW67" s="869"/>
      <c r="AX67" s="836"/>
      <c r="AY67" s="837"/>
      <c r="AZ67" s="713"/>
    </row>
    <row r="68" spans="2:59" s="526" customFormat="1" ht="12.75" customHeight="1" x14ac:dyDescent="0.2">
      <c r="B68" s="528"/>
      <c r="C68" s="1354"/>
      <c r="D68" s="1219" t="str">
        <f t="shared" si="56"/>
        <v/>
      </c>
      <c r="E68" s="1219" t="str">
        <f t="shared" si="56"/>
        <v/>
      </c>
      <c r="F68" s="1219" t="str">
        <f t="shared" si="56"/>
        <v/>
      </c>
      <c r="G68" s="1221" t="str">
        <f t="shared" si="21"/>
        <v/>
      </c>
      <c r="H68" s="1222" t="str">
        <f t="shared" si="22"/>
        <v/>
      </c>
      <c r="I68" s="1221" t="str">
        <f t="shared" si="22"/>
        <v/>
      </c>
      <c r="J68" s="1221" t="str">
        <f t="shared" si="23"/>
        <v/>
      </c>
      <c r="K68" s="1223" t="str">
        <f t="shared" si="57"/>
        <v/>
      </c>
      <c r="L68" s="1384"/>
      <c r="M68" s="1224" t="str">
        <f t="shared" ref="M68:N68" si="62">IF(M35="","",M35)</f>
        <v/>
      </c>
      <c r="N68" s="1225" t="str">
        <f t="shared" si="62"/>
        <v/>
      </c>
      <c r="O68" s="1385" t="str">
        <f t="shared" si="28"/>
        <v/>
      </c>
      <c r="P68" s="1385" t="str">
        <f t="shared" si="29"/>
        <v/>
      </c>
      <c r="Q68" s="1386" t="str">
        <f t="shared" si="30"/>
        <v/>
      </c>
      <c r="R68" s="1384"/>
      <c r="S68" s="1387" t="str">
        <f t="shared" si="31"/>
        <v/>
      </c>
      <c r="T68" s="1387" t="str">
        <f t="shared" si="32"/>
        <v/>
      </c>
      <c r="U68" s="1388" t="str">
        <f t="shared" si="25"/>
        <v/>
      </c>
      <c r="V68" s="1389"/>
      <c r="W68" s="636"/>
      <c r="X68" s="604"/>
      <c r="Y68" s="604"/>
      <c r="Z68" s="890" t="str">
        <f t="shared" si="26"/>
        <v/>
      </c>
      <c r="AA68" s="865">
        <f t="shared" si="33"/>
        <v>0.62</v>
      </c>
      <c r="AB68" s="891" t="e">
        <f t="shared" si="34"/>
        <v>#VALUE!</v>
      </c>
      <c r="AC68" s="891" t="e">
        <f t="shared" si="35"/>
        <v>#VALUE!</v>
      </c>
      <c r="AD68" s="891" t="e">
        <f t="shared" si="36"/>
        <v>#VALUE!</v>
      </c>
      <c r="AE68" s="892" t="e">
        <f t="shared" si="37"/>
        <v>#VALUE!</v>
      </c>
      <c r="AF68" s="893" t="e">
        <f t="shared" si="38"/>
        <v>#VALUE!</v>
      </c>
      <c r="AG68" s="865">
        <f>IF(H68&gt;8,tab!C$132,tab!C$134)</f>
        <v>0.5</v>
      </c>
      <c r="AH68" s="866">
        <f t="shared" si="39"/>
        <v>0</v>
      </c>
      <c r="AI68" s="864">
        <f t="shared" si="40"/>
        <v>0</v>
      </c>
      <c r="AJ68" s="894"/>
      <c r="AK68" s="837"/>
      <c r="AL68" s="837"/>
      <c r="AM68" s="837"/>
      <c r="AN68" s="895"/>
      <c r="AO68" s="837"/>
      <c r="AP68" s="837"/>
      <c r="AQ68" s="874"/>
      <c r="AR68" s="837"/>
      <c r="AS68" s="837"/>
      <c r="AT68" s="837"/>
      <c r="AU68" s="836"/>
      <c r="AV68" s="836"/>
      <c r="AW68" s="869"/>
      <c r="AX68" s="836"/>
      <c r="AY68" s="837"/>
      <c r="AZ68" s="713"/>
    </row>
    <row r="69" spans="2:59" s="526" customFormat="1" x14ac:dyDescent="0.2">
      <c r="B69" s="528"/>
      <c r="C69" s="1354"/>
      <c r="D69" s="1391"/>
      <c r="E69" s="1391"/>
      <c r="F69" s="1391"/>
      <c r="G69" s="1392"/>
      <c r="H69" s="1393"/>
      <c r="I69" s="1392"/>
      <c r="J69" s="1394"/>
      <c r="K69" s="1395">
        <f>SUM(K49:K68)</f>
        <v>1</v>
      </c>
      <c r="L69" s="1396"/>
      <c r="M69" s="1397">
        <f>SUM(M49:M68)</f>
        <v>0</v>
      </c>
      <c r="N69" s="1397">
        <f>SUM(N49:N68)</f>
        <v>0</v>
      </c>
      <c r="O69" s="1397">
        <f t="shared" ref="O69" si="63">SUM(O49:O68)</f>
        <v>40</v>
      </c>
      <c r="P69" s="1397">
        <f t="shared" ref="P69" si="64">SUM(P49:P68)</f>
        <v>0</v>
      </c>
      <c r="Q69" s="1397">
        <f t="shared" ref="Q69" si="65">SUM(Q49:Q68)</f>
        <v>40</v>
      </c>
      <c r="R69" s="1396"/>
      <c r="S69" s="1398">
        <f>SUM(S49:S68)</f>
        <v>79356.880578661847</v>
      </c>
      <c r="T69" s="1398">
        <f t="shared" ref="T69:U69" si="66">SUM(T49:T68)</f>
        <v>1960.6394213381559</v>
      </c>
      <c r="U69" s="1398">
        <f t="shared" si="66"/>
        <v>81317.52</v>
      </c>
      <c r="V69" s="1399"/>
      <c r="W69" s="637"/>
      <c r="X69" s="604"/>
      <c r="Y69" s="604"/>
      <c r="Z69" s="873"/>
      <c r="AA69" s="873"/>
      <c r="AB69" s="873"/>
      <c r="AC69" s="873"/>
      <c r="AD69" s="873"/>
      <c r="AE69" s="873"/>
      <c r="AF69" s="873"/>
      <c r="AG69" s="873"/>
      <c r="AH69" s="867">
        <f t="shared" ref="AH69:AI69" si="67">SUM(AH49:AH68)</f>
        <v>0</v>
      </c>
      <c r="AI69" s="870">
        <f t="shared" si="67"/>
        <v>0</v>
      </c>
      <c r="AJ69" s="846"/>
      <c r="AK69" s="837"/>
      <c r="AL69" s="837"/>
      <c r="AM69" s="837"/>
      <c r="AN69" s="837"/>
      <c r="AO69" s="837"/>
      <c r="AP69" s="837"/>
      <c r="AQ69" s="874"/>
      <c r="AR69" s="837"/>
      <c r="AS69" s="837"/>
      <c r="AT69" s="837"/>
      <c r="AU69" s="836"/>
      <c r="AV69" s="836"/>
      <c r="AW69" s="836"/>
      <c r="AX69" s="836"/>
      <c r="AY69" s="837"/>
      <c r="AZ69" s="713"/>
    </row>
    <row r="70" spans="2:59" s="526" customFormat="1" x14ac:dyDescent="0.2">
      <c r="B70" s="528"/>
      <c r="C70" s="1354"/>
      <c r="D70" s="1355"/>
      <c r="E70" s="1355"/>
      <c r="F70" s="1355"/>
      <c r="G70" s="1357"/>
      <c r="H70" s="1358"/>
      <c r="I70" s="1357"/>
      <c r="J70" s="1359"/>
      <c r="K70" s="1360"/>
      <c r="L70" s="1360"/>
      <c r="M70" s="1359"/>
      <c r="N70" s="1360"/>
      <c r="O70" s="1359"/>
      <c r="P70" s="1400"/>
      <c r="Q70" s="1400"/>
      <c r="R70" s="1360"/>
      <c r="S70" s="1401"/>
      <c r="T70" s="1401"/>
      <c r="U70" s="1361"/>
      <c r="V70" s="1361"/>
      <c r="W70" s="632"/>
      <c r="X70" s="604"/>
      <c r="Y70" s="604"/>
      <c r="Z70" s="873"/>
      <c r="AA70" s="873"/>
      <c r="AB70" s="873"/>
      <c r="AC70" s="873"/>
      <c r="AD70" s="873"/>
      <c r="AE70" s="873"/>
      <c r="AF70" s="873"/>
      <c r="AG70" s="873"/>
      <c r="AH70" s="867"/>
      <c r="AI70" s="870"/>
      <c r="AJ70" s="846"/>
      <c r="AK70" s="837"/>
      <c r="AL70" s="837"/>
      <c r="AM70" s="837"/>
      <c r="AN70" s="837"/>
      <c r="AO70" s="837"/>
      <c r="AP70" s="837"/>
      <c r="AQ70" s="874"/>
      <c r="AR70" s="837"/>
      <c r="AS70" s="837"/>
      <c r="AT70" s="837"/>
      <c r="AU70" s="836"/>
      <c r="AV70" s="836"/>
      <c r="AW70" s="836"/>
      <c r="AX70" s="836"/>
      <c r="AY70" s="837"/>
      <c r="AZ70" s="713"/>
    </row>
    <row r="71" spans="2:59" s="707" customFormat="1" ht="12.75" customHeight="1" x14ac:dyDescent="0.2">
      <c r="B71" s="1415"/>
      <c r="C71" s="1416"/>
      <c r="D71" s="1417"/>
      <c r="E71" s="1417"/>
      <c r="F71" s="1417"/>
      <c r="G71" s="1418"/>
      <c r="H71" s="1419"/>
      <c r="I71" s="1418"/>
      <c r="J71" s="1420"/>
      <c r="K71" s="1421"/>
      <c r="L71" s="1421"/>
      <c r="M71" s="1420"/>
      <c r="N71" s="1422"/>
      <c r="O71" s="1423"/>
      <c r="P71" s="1423"/>
      <c r="Q71" s="1423"/>
      <c r="R71" s="1421"/>
      <c r="S71" s="1424"/>
      <c r="T71" s="1424"/>
      <c r="U71" s="1425"/>
      <c r="V71" s="1425"/>
      <c r="W71" s="640"/>
      <c r="X71" s="604"/>
      <c r="Y71" s="604"/>
      <c r="Z71" s="873"/>
      <c r="AA71" s="873"/>
      <c r="AB71" s="873"/>
      <c r="AC71" s="873"/>
      <c r="AD71" s="873"/>
      <c r="AE71" s="873"/>
      <c r="AF71" s="873"/>
      <c r="AG71" s="873"/>
      <c r="AH71" s="867"/>
      <c r="AI71" s="870"/>
      <c r="AJ71" s="872"/>
      <c r="AK71" s="872"/>
      <c r="AL71" s="872"/>
      <c r="AM71" s="872"/>
      <c r="AN71" s="872"/>
      <c r="AO71" s="872"/>
      <c r="AP71" s="872"/>
      <c r="AQ71" s="896"/>
      <c r="AR71" s="872"/>
      <c r="AS71" s="872"/>
      <c r="AT71" s="872"/>
      <c r="AU71" s="871"/>
      <c r="AV71" s="871"/>
      <c r="AW71" s="871"/>
      <c r="AX71" s="871"/>
      <c r="AY71" s="872"/>
      <c r="AZ71" s="721"/>
      <c r="BG71" s="526"/>
    </row>
    <row r="72" spans="2:59" s="526" customFormat="1" ht="12.75" customHeight="1" x14ac:dyDescent="0.2">
      <c r="D72" s="708"/>
      <c r="E72" s="708"/>
      <c r="F72" s="708"/>
      <c r="G72" s="527"/>
      <c r="H72" s="709"/>
      <c r="I72" s="527"/>
      <c r="J72" s="710"/>
      <c r="K72" s="722"/>
      <c r="L72" s="722"/>
      <c r="M72" s="710"/>
      <c r="N72" s="711"/>
      <c r="O72" s="899"/>
      <c r="P72" s="899"/>
      <c r="Q72" s="899"/>
      <c r="R72" s="722"/>
      <c r="S72" s="718"/>
      <c r="T72" s="718"/>
      <c r="U72" s="723"/>
      <c r="V72" s="723"/>
      <c r="W72" s="723"/>
      <c r="X72" s="604"/>
      <c r="Y72" s="604"/>
      <c r="Z72" s="873"/>
      <c r="AA72" s="873"/>
      <c r="AB72" s="873"/>
      <c r="AC72" s="873"/>
      <c r="AD72" s="873"/>
      <c r="AE72" s="873"/>
      <c r="AF72" s="873"/>
      <c r="AG72" s="873"/>
      <c r="AH72" s="866"/>
      <c r="AI72" s="864"/>
      <c r="AJ72" s="837"/>
      <c r="AK72" s="837"/>
      <c r="AL72" s="837"/>
      <c r="AM72" s="837"/>
      <c r="AN72" s="837"/>
      <c r="AO72" s="837"/>
      <c r="AP72" s="837"/>
      <c r="AQ72" s="874"/>
      <c r="AR72" s="837"/>
      <c r="AS72" s="837"/>
      <c r="AT72" s="837"/>
      <c r="AU72" s="836"/>
      <c r="AV72" s="836"/>
      <c r="AW72" s="836"/>
      <c r="AX72" s="836"/>
      <c r="AY72" s="837"/>
      <c r="AZ72" s="713"/>
      <c r="BG72" s="707"/>
    </row>
    <row r="73" spans="2:59" s="526" customFormat="1" ht="12.75" customHeight="1" x14ac:dyDescent="0.2">
      <c r="C73" s="526" t="s">
        <v>255</v>
      </c>
      <c r="D73" s="708"/>
      <c r="E73" s="724" t="str">
        <f>tab!E2</f>
        <v>2017/18</v>
      </c>
      <c r="F73" s="708"/>
      <c r="G73" s="527"/>
      <c r="H73" s="709"/>
      <c r="I73" s="527"/>
      <c r="J73" s="710"/>
      <c r="K73" s="722"/>
      <c r="L73" s="722"/>
      <c r="M73" s="710"/>
      <c r="N73" s="711"/>
      <c r="O73" s="899"/>
      <c r="P73" s="899"/>
      <c r="Q73" s="899"/>
      <c r="R73" s="722"/>
      <c r="S73" s="718"/>
      <c r="T73" s="718"/>
      <c r="U73" s="723"/>
      <c r="V73" s="723"/>
      <c r="W73" s="723"/>
      <c r="X73" s="604"/>
      <c r="Y73" s="604"/>
      <c r="Z73" s="873"/>
      <c r="AA73" s="873"/>
      <c r="AB73" s="873"/>
      <c r="AC73" s="873"/>
      <c r="AD73" s="873"/>
      <c r="AE73" s="873"/>
      <c r="AF73" s="873"/>
      <c r="AG73" s="873"/>
      <c r="AH73" s="866"/>
      <c r="AI73" s="864"/>
      <c r="AJ73" s="837"/>
      <c r="AK73" s="837"/>
      <c r="AL73" s="837"/>
      <c r="AM73" s="837"/>
      <c r="AN73" s="837"/>
      <c r="AO73" s="837"/>
      <c r="AP73" s="837"/>
      <c r="AQ73" s="874"/>
      <c r="AR73" s="837"/>
      <c r="AS73" s="837"/>
      <c r="AT73" s="837"/>
      <c r="AU73" s="836"/>
      <c r="AV73" s="836"/>
      <c r="AW73" s="836"/>
      <c r="AX73" s="836"/>
      <c r="AY73" s="837"/>
      <c r="AZ73" s="713"/>
    </row>
    <row r="74" spans="2:59" s="707" customFormat="1" ht="12.75" customHeight="1" x14ac:dyDescent="0.2">
      <c r="C74" s="526" t="s">
        <v>256</v>
      </c>
      <c r="D74" s="729"/>
      <c r="E74" s="724">
        <f>tab!F3</f>
        <v>43009</v>
      </c>
      <c r="F74" s="729"/>
      <c r="G74" s="720"/>
      <c r="H74" s="730"/>
      <c r="I74" s="720"/>
      <c r="J74" s="731"/>
      <c r="K74" s="732"/>
      <c r="L74" s="732"/>
      <c r="M74" s="731"/>
      <c r="N74" s="733"/>
      <c r="O74" s="900"/>
      <c r="P74" s="900"/>
      <c r="Q74" s="900"/>
      <c r="R74" s="732"/>
      <c r="S74" s="734"/>
      <c r="T74" s="734"/>
      <c r="U74" s="723"/>
      <c r="V74" s="723"/>
      <c r="W74" s="723"/>
      <c r="X74" s="604"/>
      <c r="Y74" s="604"/>
      <c r="Z74" s="873"/>
      <c r="AA74" s="873"/>
      <c r="AB74" s="873"/>
      <c r="AC74" s="873"/>
      <c r="AD74" s="873"/>
      <c r="AE74" s="873"/>
      <c r="AF74" s="873"/>
      <c r="AG74" s="873"/>
      <c r="AH74" s="867"/>
      <c r="AI74" s="870"/>
      <c r="AJ74" s="872"/>
      <c r="AK74" s="872"/>
      <c r="AL74" s="872"/>
      <c r="AM74" s="872"/>
      <c r="AN74" s="872"/>
      <c r="AO74" s="872"/>
      <c r="AP74" s="872"/>
      <c r="AQ74" s="896"/>
      <c r="AR74" s="872"/>
      <c r="AS74" s="872"/>
      <c r="AT74" s="872"/>
      <c r="AU74" s="871"/>
      <c r="AV74" s="871"/>
      <c r="AW74" s="871"/>
      <c r="AX74" s="871"/>
      <c r="AY74" s="872"/>
      <c r="AZ74" s="721"/>
      <c r="BG74" s="526"/>
    </row>
    <row r="75" spans="2:59" s="526" customFormat="1" ht="12.75" customHeight="1" x14ac:dyDescent="0.2">
      <c r="D75" s="708"/>
      <c r="E75" s="708"/>
      <c r="F75" s="708"/>
      <c r="G75" s="527"/>
      <c r="H75" s="709"/>
      <c r="I75" s="527"/>
      <c r="J75" s="710"/>
      <c r="K75" s="722"/>
      <c r="L75" s="722"/>
      <c r="M75" s="710"/>
      <c r="N75" s="711"/>
      <c r="O75" s="899"/>
      <c r="P75" s="899"/>
      <c r="Q75" s="899"/>
      <c r="R75" s="722"/>
      <c r="S75" s="718"/>
      <c r="T75" s="718"/>
      <c r="U75" s="723"/>
      <c r="V75" s="723"/>
      <c r="W75" s="723"/>
      <c r="X75" s="604"/>
      <c r="Y75" s="604"/>
      <c r="Z75" s="873"/>
      <c r="AA75" s="873"/>
      <c r="AB75" s="873"/>
      <c r="AC75" s="873"/>
      <c r="AD75" s="873"/>
      <c r="AE75" s="873"/>
      <c r="AF75" s="873"/>
      <c r="AG75" s="873"/>
      <c r="AH75" s="866"/>
      <c r="AI75" s="864"/>
      <c r="AJ75" s="837"/>
      <c r="AK75" s="837"/>
      <c r="AL75" s="837"/>
      <c r="AM75" s="837"/>
      <c r="AN75" s="837"/>
      <c r="AO75" s="837"/>
      <c r="AP75" s="837"/>
      <c r="AQ75" s="874"/>
      <c r="AR75" s="837"/>
      <c r="AS75" s="837"/>
      <c r="AT75" s="837"/>
      <c r="AU75" s="836"/>
      <c r="AV75" s="836"/>
      <c r="AW75" s="836"/>
      <c r="AX75" s="836"/>
      <c r="AY75" s="837"/>
      <c r="AZ75" s="713"/>
      <c r="BG75" s="707"/>
    </row>
    <row r="76" spans="2:59" s="526" customFormat="1" ht="12.75" customHeight="1" x14ac:dyDescent="0.2">
      <c r="C76" s="1037"/>
      <c r="D76" s="1040"/>
      <c r="E76" s="1092"/>
      <c r="F76" s="1040"/>
      <c r="G76" s="1039"/>
      <c r="H76" s="1189"/>
      <c r="I76" s="1190"/>
      <c r="J76" s="1190"/>
      <c r="K76" s="1191"/>
      <c r="L76" s="1191"/>
      <c r="M76" s="1190"/>
      <c r="N76" s="1191"/>
      <c r="O76" s="1190"/>
      <c r="P76" s="1039"/>
      <c r="Q76" s="1039"/>
      <c r="R76" s="1191"/>
      <c r="S76" s="1037"/>
      <c r="T76" s="1037"/>
      <c r="U76" s="1192"/>
      <c r="V76" s="1192"/>
      <c r="W76" s="712"/>
      <c r="X76" s="604"/>
      <c r="Y76" s="604"/>
      <c r="Z76" s="873"/>
      <c r="AA76" s="873"/>
      <c r="AB76" s="873"/>
      <c r="AC76" s="873"/>
      <c r="AD76" s="873"/>
      <c r="AE76" s="873"/>
      <c r="AF76" s="873"/>
      <c r="AG76" s="873"/>
      <c r="AH76" s="866"/>
      <c r="AI76" s="864"/>
      <c r="AJ76" s="837"/>
      <c r="AK76" s="837"/>
      <c r="AL76" s="837"/>
      <c r="AM76" s="837"/>
      <c r="AN76" s="837"/>
      <c r="AO76" s="837"/>
      <c r="AP76" s="851"/>
      <c r="AQ76" s="889"/>
      <c r="AR76" s="851"/>
      <c r="AS76" s="851"/>
      <c r="AT76" s="851"/>
      <c r="AU76" s="844"/>
      <c r="AV76" s="850"/>
      <c r="AW76" s="851"/>
      <c r="AX76" s="852"/>
      <c r="AY76" s="853"/>
      <c r="AZ76" s="715"/>
    </row>
    <row r="77" spans="2:59" s="690" customFormat="1" ht="12.75" customHeight="1" x14ac:dyDescent="0.2">
      <c r="C77" s="1193"/>
      <c r="D77" s="1194" t="s">
        <v>257</v>
      </c>
      <c r="E77" s="1195"/>
      <c r="F77" s="1195"/>
      <c r="G77" s="1195"/>
      <c r="H77" s="1195"/>
      <c r="I77" s="1195"/>
      <c r="J77" s="1195"/>
      <c r="K77" s="1195"/>
      <c r="L77" s="1195"/>
      <c r="M77" s="1194" t="s">
        <v>865</v>
      </c>
      <c r="N77" s="1196"/>
      <c r="O77" s="1196"/>
      <c r="P77" s="1196"/>
      <c r="Q77" s="1196"/>
      <c r="R77" s="1195"/>
      <c r="S77" s="1539" t="s">
        <v>866</v>
      </c>
      <c r="T77" s="1539"/>
      <c r="U77" s="1540"/>
      <c r="V77" s="1197"/>
      <c r="W77" s="725"/>
      <c r="X77" s="604"/>
      <c r="Y77" s="604"/>
      <c r="Z77" s="873"/>
      <c r="AA77" s="873"/>
      <c r="AB77" s="873"/>
      <c r="AC77" s="873"/>
      <c r="AD77" s="873"/>
      <c r="AE77" s="873"/>
      <c r="AF77" s="873"/>
      <c r="AG77" s="873"/>
      <c r="AH77" s="867"/>
      <c r="AI77" s="857"/>
      <c r="AJ77" s="846"/>
      <c r="AK77" s="860"/>
      <c r="AL77" s="860"/>
      <c r="AM77" s="845"/>
      <c r="AN77" s="868"/>
      <c r="AO77" s="845"/>
      <c r="AP77" s="837"/>
      <c r="AQ77" s="837"/>
      <c r="AR77" s="837"/>
      <c r="AS77" s="837"/>
      <c r="AT77" s="837"/>
      <c r="AU77" s="859"/>
      <c r="AV77" s="859"/>
      <c r="AW77" s="859"/>
      <c r="AX77" s="859"/>
      <c r="AY77" s="859"/>
      <c r="BA77" s="719"/>
      <c r="BB77" s="719"/>
    </row>
    <row r="78" spans="2:59" s="526" customFormat="1" ht="12.75" customHeight="1" x14ac:dyDescent="0.2">
      <c r="C78" s="1198"/>
      <c r="D78" s="1145" t="s">
        <v>258</v>
      </c>
      <c r="E78" s="1145" t="s">
        <v>259</v>
      </c>
      <c r="F78" s="1145" t="s">
        <v>260</v>
      </c>
      <c r="G78" s="1199" t="s">
        <v>261</v>
      </c>
      <c r="H78" s="1200" t="s">
        <v>262</v>
      </c>
      <c r="I78" s="1199" t="s">
        <v>217</v>
      </c>
      <c r="J78" s="1199" t="s">
        <v>263</v>
      </c>
      <c r="K78" s="1201" t="s">
        <v>264</v>
      </c>
      <c r="L78" s="1201"/>
      <c r="M78" s="1078" t="s">
        <v>867</v>
      </c>
      <c r="N78" s="1078" t="s">
        <v>868</v>
      </c>
      <c r="O78" s="1078" t="s">
        <v>869</v>
      </c>
      <c r="P78" s="1078" t="s">
        <v>870</v>
      </c>
      <c r="Q78" s="1202" t="s">
        <v>871</v>
      </c>
      <c r="R78" s="1201"/>
      <c r="S78" s="1203" t="s">
        <v>872</v>
      </c>
      <c r="T78" s="1203" t="s">
        <v>873</v>
      </c>
      <c r="U78" s="1203" t="s">
        <v>265</v>
      </c>
      <c r="V78" s="1204"/>
      <c r="W78" s="726"/>
      <c r="X78" s="604"/>
      <c r="Y78" s="604"/>
      <c r="Z78" s="854" t="s">
        <v>469</v>
      </c>
      <c r="AA78" s="855" t="s">
        <v>880</v>
      </c>
      <c r="AB78" s="856" t="s">
        <v>881</v>
      </c>
      <c r="AC78" s="856" t="s">
        <v>881</v>
      </c>
      <c r="AD78" s="856" t="s">
        <v>882</v>
      </c>
      <c r="AE78" s="856" t="s">
        <v>883</v>
      </c>
      <c r="AF78" s="856" t="s">
        <v>884</v>
      </c>
      <c r="AG78" s="856" t="s">
        <v>885</v>
      </c>
      <c r="AH78" s="856" t="s">
        <v>267</v>
      </c>
      <c r="AI78" s="857" t="s">
        <v>482</v>
      </c>
      <c r="AJ78" s="861"/>
      <c r="AK78" s="862"/>
      <c r="AL78" s="862"/>
      <c r="AM78" s="855"/>
      <c r="AN78" s="854"/>
      <c r="AO78" s="855"/>
      <c r="AP78" s="837"/>
      <c r="AQ78" s="837"/>
      <c r="AR78" s="837"/>
      <c r="AS78" s="837"/>
      <c r="AT78" s="837"/>
      <c r="AU78" s="836"/>
      <c r="AV78" s="836"/>
      <c r="AW78" s="836"/>
      <c r="AX78" s="836"/>
      <c r="AY78" s="836"/>
      <c r="BA78" s="719"/>
      <c r="BB78" s="717"/>
    </row>
    <row r="79" spans="2:59" s="526" customFormat="1" ht="12.75" customHeight="1" x14ac:dyDescent="0.2">
      <c r="C79" s="1198"/>
      <c r="D79" s="1205"/>
      <c r="E79" s="1145"/>
      <c r="F79" s="1206"/>
      <c r="G79" s="1199" t="s">
        <v>269</v>
      </c>
      <c r="H79" s="1200" t="s">
        <v>270</v>
      </c>
      <c r="I79" s="1199"/>
      <c r="J79" s="1199"/>
      <c r="K79" s="1201"/>
      <c r="L79" s="1201"/>
      <c r="M79" s="1078" t="s">
        <v>874</v>
      </c>
      <c r="N79" s="1078" t="s">
        <v>875</v>
      </c>
      <c r="O79" s="1078" t="s">
        <v>876</v>
      </c>
      <c r="P79" s="1078" t="s">
        <v>877</v>
      </c>
      <c r="Q79" s="1202" t="s">
        <v>173</v>
      </c>
      <c r="R79" s="1201"/>
      <c r="S79" s="1203" t="s">
        <v>878</v>
      </c>
      <c r="T79" s="1203" t="s">
        <v>879</v>
      </c>
      <c r="U79" s="1203" t="s">
        <v>173</v>
      </c>
      <c r="V79" s="1204"/>
      <c r="W79" s="726"/>
      <c r="X79" s="604"/>
      <c r="Y79" s="604"/>
      <c r="Z79" s="856" t="s">
        <v>886</v>
      </c>
      <c r="AA79" s="858">
        <f>AA$14</f>
        <v>0.62</v>
      </c>
      <c r="AB79" s="856" t="s">
        <v>887</v>
      </c>
      <c r="AC79" s="856" t="s">
        <v>888</v>
      </c>
      <c r="AD79" s="856" t="s">
        <v>889</v>
      </c>
      <c r="AE79" s="856" t="s">
        <v>890</v>
      </c>
      <c r="AF79" s="856" t="s">
        <v>890</v>
      </c>
      <c r="AG79" s="856" t="s">
        <v>891</v>
      </c>
      <c r="AH79" s="856"/>
      <c r="AI79" s="856" t="s">
        <v>266</v>
      </c>
      <c r="AJ79" s="837"/>
      <c r="AK79" s="837"/>
      <c r="AL79" s="837"/>
      <c r="AM79" s="837"/>
      <c r="AN79" s="837"/>
      <c r="AO79" s="837"/>
      <c r="AP79" s="837"/>
      <c r="AQ79" s="837"/>
      <c r="AR79" s="837"/>
      <c r="AS79" s="837"/>
      <c r="AT79" s="837"/>
      <c r="AU79" s="836"/>
      <c r="AV79" s="836"/>
      <c r="AW79" s="836"/>
      <c r="AX79" s="836"/>
      <c r="AY79" s="836"/>
      <c r="BB79" s="718"/>
    </row>
    <row r="80" spans="2:59" s="526" customFormat="1" ht="12.75" customHeight="1" x14ac:dyDescent="0.2">
      <c r="C80" s="1037"/>
      <c r="D80" s="1097"/>
      <c r="E80" s="1097"/>
      <c r="F80" s="1097"/>
      <c r="G80" s="1044"/>
      <c r="H80" s="1470"/>
      <c r="I80" s="1471"/>
      <c r="J80" s="1471"/>
      <c r="K80" s="1472"/>
      <c r="L80" s="1208"/>
      <c r="M80" s="1473"/>
      <c r="N80" s="1472"/>
      <c r="O80" s="1209"/>
      <c r="P80" s="1210"/>
      <c r="Q80" s="1210"/>
      <c r="R80" s="1208"/>
      <c r="S80" s="1210"/>
      <c r="T80" s="1210"/>
      <c r="U80" s="1211"/>
      <c r="V80" s="1211"/>
      <c r="W80" s="727"/>
      <c r="X80" s="604"/>
      <c r="Y80" s="604"/>
      <c r="Z80" s="873"/>
      <c r="AA80" s="873"/>
      <c r="AB80" s="873"/>
      <c r="AC80" s="873"/>
      <c r="AD80" s="873"/>
      <c r="AE80" s="873"/>
      <c r="AF80" s="873"/>
      <c r="AG80" s="873"/>
      <c r="AH80" s="863"/>
      <c r="AI80" s="864"/>
      <c r="AJ80" s="862"/>
      <c r="AK80" s="837"/>
      <c r="AL80" s="837"/>
      <c r="AM80" s="837"/>
      <c r="AN80" s="837"/>
      <c r="AO80" s="837"/>
      <c r="AP80" s="837"/>
      <c r="AQ80" s="837"/>
      <c r="AR80" s="837"/>
      <c r="AS80" s="837"/>
      <c r="AT80" s="837"/>
      <c r="AU80" s="836"/>
      <c r="AV80" s="836"/>
      <c r="AW80" s="836"/>
      <c r="AX80" s="836"/>
      <c r="AY80" s="836"/>
      <c r="BB80" s="718"/>
    </row>
    <row r="81" spans="3:52" s="526" customFormat="1" ht="12.75" customHeight="1" x14ac:dyDescent="0.2">
      <c r="C81" s="1037"/>
      <c r="D81" s="1219" t="str">
        <f t="shared" ref="D81:F92" si="68">IF(D49=0,"",D49)</f>
        <v/>
      </c>
      <c r="E81" s="1220" t="str">
        <f t="shared" si="68"/>
        <v>piet</v>
      </c>
      <c r="F81" s="1220" t="str">
        <f t="shared" si="68"/>
        <v/>
      </c>
      <c r="G81" s="1221">
        <f t="shared" ref="G81:G100" si="69">IF(G49="","",G49+1)</f>
        <v>24</v>
      </c>
      <c r="H81" s="1222">
        <f t="shared" ref="H81:H100" si="70">IF(H49=0,"",H49)</f>
        <v>29221</v>
      </c>
      <c r="I81" s="1221" t="str">
        <f t="shared" ref="I81:I100" si="71">IF(I49=0,"",I49)</f>
        <v>LC</v>
      </c>
      <c r="J81" s="1221">
        <f t="shared" ref="J81:J100" si="72">IF(E81="","",(IF((J49+1)&gt;VLOOKUP(I81,tabelsalaris16,23,FALSE),J49,J49+1)))</f>
        <v>14</v>
      </c>
      <c r="K81" s="1223">
        <f t="shared" ref="K81:K92" si="73">IF(K49="","",K49)</f>
        <v>1</v>
      </c>
      <c r="L81" s="1216"/>
      <c r="M81" s="1224">
        <f>IF(M49="","",M49)</f>
        <v>0</v>
      </c>
      <c r="N81" s="1225">
        <f>IF(N49="","",N49)</f>
        <v>0</v>
      </c>
      <c r="O81" s="1226">
        <f>IF(K81="","",IF(K81*40&gt;40,40,K81*40))</f>
        <v>40</v>
      </c>
      <c r="P81" s="1226">
        <f>IF(I81="","",IF(OR(I81="LA",OR(I81="LB",OR(I81="LC",OR(I81="LD",OR(I81="LE"))))),1,0)*IF(J81&lt;4,IF(K81*40&gt;40,40,K81*40),0))</f>
        <v>0</v>
      </c>
      <c r="Q81" s="1227">
        <f>IF(K81="","",SUM(M81:P81))</f>
        <v>40</v>
      </c>
      <c r="R81" s="1216"/>
      <c r="S81" s="1228">
        <f>IF(J81="","",((1659*K81-Q81)*AC81))</f>
        <v>82373.314719710688</v>
      </c>
      <c r="T81" s="1228">
        <f>IF(K81="","",Q81*AD81+AB81*(AE81+AF81*(1-AG81)))</f>
        <v>2035.1652802893313</v>
      </c>
      <c r="U81" s="1229">
        <f t="shared" ref="U81:U100" si="74">IF(K81="","",(S81+T81))</f>
        <v>84408.480000000025</v>
      </c>
      <c r="V81" s="1212"/>
      <c r="W81" s="723"/>
      <c r="X81" s="604"/>
      <c r="Y81" s="604"/>
      <c r="Z81" s="890">
        <f t="shared" ref="Z81:Z100" si="75">IF(I81="","",VLOOKUP(I81,tabelsalaris16,J81+2,FALSE))</f>
        <v>4342</v>
      </c>
      <c r="AA81" s="865">
        <f>AA$14</f>
        <v>0.62</v>
      </c>
      <c r="AB81" s="891">
        <f>Z81*12/1659</f>
        <v>31.406871609403254</v>
      </c>
      <c r="AC81" s="891">
        <f>Z81*12*(1+AA81)/1659</f>
        <v>50.879132007233281</v>
      </c>
      <c r="AD81" s="891">
        <f>AC81-AB81</f>
        <v>19.472260397830027</v>
      </c>
      <c r="AE81" s="892">
        <f>O81+P81</f>
        <v>40</v>
      </c>
      <c r="AF81" s="893">
        <f>M81+N81</f>
        <v>0</v>
      </c>
      <c r="AG81" s="865">
        <f>IF(H81&gt;8,tab!C$132,tab!C$134)</f>
        <v>0.5</v>
      </c>
      <c r="AH81" s="866">
        <f>IF(G81&lt;25,0,IF(G81=25,25,IF(G81&lt;40,0,IF(G81=40,40,IF(G81&gt;=40,0)))))</f>
        <v>0</v>
      </c>
      <c r="AI81" s="864">
        <f>IF(E81="",0,IF(AH81=25,Z81*1.08*K81/2,IF(AH81=40,Z81*1.08*K81,IF(AH81=0,0))))</f>
        <v>0</v>
      </c>
      <c r="AJ81" s="894"/>
      <c r="AK81" s="837"/>
      <c r="AL81" s="837"/>
      <c r="AM81" s="837"/>
      <c r="AN81" s="895"/>
      <c r="AO81" s="837"/>
      <c r="AP81" s="837"/>
      <c r="AQ81" s="874"/>
      <c r="AR81" s="837"/>
      <c r="AS81" s="837"/>
      <c r="AT81" s="837"/>
      <c r="AU81" s="836"/>
      <c r="AV81" s="836"/>
      <c r="AW81" s="869"/>
      <c r="AX81" s="836"/>
      <c r="AY81" s="837"/>
      <c r="AZ81" s="713"/>
    </row>
    <row r="82" spans="3:52" s="526" customFormat="1" ht="12.75" customHeight="1" x14ac:dyDescent="0.2">
      <c r="C82" s="1037"/>
      <c r="D82" s="1219" t="str">
        <f t="shared" si="68"/>
        <v/>
      </c>
      <c r="E82" s="1219" t="str">
        <f t="shared" si="68"/>
        <v/>
      </c>
      <c r="F82" s="1219" t="str">
        <f t="shared" si="68"/>
        <v/>
      </c>
      <c r="G82" s="1221" t="str">
        <f t="shared" si="69"/>
        <v/>
      </c>
      <c r="H82" s="1222" t="str">
        <f t="shared" si="70"/>
        <v/>
      </c>
      <c r="I82" s="1221" t="str">
        <f t="shared" si="71"/>
        <v/>
      </c>
      <c r="J82" s="1221" t="str">
        <f t="shared" si="72"/>
        <v/>
      </c>
      <c r="K82" s="1223" t="str">
        <f t="shared" si="73"/>
        <v/>
      </c>
      <c r="L82" s="1216"/>
      <c r="M82" s="1224" t="str">
        <f t="shared" ref="M82:N82" si="76">IF(M50="","",M50)</f>
        <v/>
      </c>
      <c r="N82" s="1225" t="str">
        <f t="shared" si="76"/>
        <v/>
      </c>
      <c r="O82" s="1226" t="str">
        <f t="shared" ref="O82:O100" si="77">IF(K82="","",IF(K82*40&gt;40,40,K82*40))</f>
        <v/>
      </c>
      <c r="P82" s="1226" t="str">
        <f t="shared" ref="P82:P100" si="78">IF(I82="","",IF(OR(I82="LA",OR(I82="LB",OR(I82="LC",OR(I82="LD",OR(I82="LE"))))),1,0)*IF(J82&lt;4,IF(K82*40&gt;40,40,K82*40),0))</f>
        <v/>
      </c>
      <c r="Q82" s="1227" t="str">
        <f t="shared" ref="Q82:Q100" si="79">IF(K82="","",SUM(M82:P82))</f>
        <v/>
      </c>
      <c r="R82" s="1216"/>
      <c r="S82" s="1228" t="str">
        <f t="shared" ref="S82:S100" si="80">IF(J82="","",((1659*K82-Q82)*AC82))</f>
        <v/>
      </c>
      <c r="T82" s="1228" t="str">
        <f t="shared" ref="T82:T100" si="81">IF(K82="","",Q82*AD82+AB82*(AE82+AF82*(1-AG82)))</f>
        <v/>
      </c>
      <c r="U82" s="1229" t="str">
        <f t="shared" si="74"/>
        <v/>
      </c>
      <c r="V82" s="1212"/>
      <c r="W82" s="723"/>
      <c r="X82" s="604"/>
      <c r="Y82" s="604"/>
      <c r="Z82" s="890" t="str">
        <f t="shared" si="75"/>
        <v/>
      </c>
      <c r="AA82" s="865">
        <f t="shared" ref="AA82:AA100" si="82">AA$14</f>
        <v>0.62</v>
      </c>
      <c r="AB82" s="891" t="e">
        <f t="shared" ref="AB82:AB100" si="83">Z82*12/1659</f>
        <v>#VALUE!</v>
      </c>
      <c r="AC82" s="891" t="e">
        <f t="shared" ref="AC82:AC100" si="84">Z82*12*(1+AA82)/1659</f>
        <v>#VALUE!</v>
      </c>
      <c r="AD82" s="891" t="e">
        <f t="shared" ref="AD82:AD100" si="85">AC82-AB82</f>
        <v>#VALUE!</v>
      </c>
      <c r="AE82" s="892" t="e">
        <f t="shared" ref="AE82:AE100" si="86">O82+P82</f>
        <v>#VALUE!</v>
      </c>
      <c r="AF82" s="893" t="e">
        <f t="shared" ref="AF82:AF100" si="87">M82+N82</f>
        <v>#VALUE!</v>
      </c>
      <c r="AG82" s="865">
        <f>IF(H82&gt;8,tab!C$132,tab!C$134)</f>
        <v>0.5</v>
      </c>
      <c r="AH82" s="866">
        <f t="shared" ref="AH82:AH100" si="88">IF(G82&lt;25,0,IF(G82=25,25,IF(G82&lt;40,0,IF(G82=40,40,IF(G82&gt;=40,0)))))</f>
        <v>0</v>
      </c>
      <c r="AI82" s="864">
        <f t="shared" ref="AI82:AI100" si="89">IF(E82="",0,IF(AH82=25,Z82*1.08*K82/2,IF(AH82=40,Z82*1.08*K82,IF(AH82=0,0))))</f>
        <v>0</v>
      </c>
      <c r="AJ82" s="894"/>
      <c r="AK82" s="837"/>
      <c r="AL82" s="837"/>
      <c r="AM82" s="837"/>
      <c r="AN82" s="895"/>
      <c r="AO82" s="837"/>
      <c r="AP82" s="837"/>
      <c r="AQ82" s="874"/>
      <c r="AR82" s="837"/>
      <c r="AS82" s="837"/>
      <c r="AT82" s="837"/>
      <c r="AU82" s="836"/>
      <c r="AV82" s="836"/>
      <c r="AW82" s="869"/>
      <c r="AX82" s="836"/>
      <c r="AY82" s="837"/>
      <c r="AZ82" s="713"/>
    </row>
    <row r="83" spans="3:52" s="526" customFormat="1" ht="12.75" customHeight="1" x14ac:dyDescent="0.2">
      <c r="C83" s="1037"/>
      <c r="D83" s="1219" t="str">
        <f t="shared" si="68"/>
        <v/>
      </c>
      <c r="E83" s="1220" t="str">
        <f t="shared" si="68"/>
        <v/>
      </c>
      <c r="F83" s="1220" t="str">
        <f t="shared" si="68"/>
        <v/>
      </c>
      <c r="G83" s="1124" t="str">
        <f t="shared" si="69"/>
        <v/>
      </c>
      <c r="H83" s="1230" t="str">
        <f t="shared" si="70"/>
        <v/>
      </c>
      <c r="I83" s="1221" t="str">
        <f t="shared" si="71"/>
        <v/>
      </c>
      <c r="J83" s="1124" t="str">
        <f t="shared" si="72"/>
        <v/>
      </c>
      <c r="K83" s="1231" t="str">
        <f t="shared" si="73"/>
        <v/>
      </c>
      <c r="L83" s="1217"/>
      <c r="M83" s="1224" t="str">
        <f t="shared" ref="M83:N83" si="90">IF(M51="","",M51)</f>
        <v/>
      </c>
      <c r="N83" s="1225" t="str">
        <f t="shared" si="90"/>
        <v/>
      </c>
      <c r="O83" s="1226" t="str">
        <f t="shared" si="77"/>
        <v/>
      </c>
      <c r="P83" s="1226" t="str">
        <f t="shared" si="78"/>
        <v/>
      </c>
      <c r="Q83" s="1227" t="str">
        <f t="shared" si="79"/>
        <v/>
      </c>
      <c r="R83" s="1217"/>
      <c r="S83" s="1228" t="str">
        <f t="shared" si="80"/>
        <v/>
      </c>
      <c r="T83" s="1228" t="str">
        <f t="shared" si="81"/>
        <v/>
      </c>
      <c r="U83" s="1229" t="str">
        <f t="shared" si="74"/>
        <v/>
      </c>
      <c r="V83" s="1212"/>
      <c r="W83" s="723"/>
      <c r="X83" s="604"/>
      <c r="Y83" s="604"/>
      <c r="Z83" s="890" t="str">
        <f t="shared" si="75"/>
        <v/>
      </c>
      <c r="AA83" s="865">
        <f t="shared" si="82"/>
        <v>0.62</v>
      </c>
      <c r="AB83" s="891" t="e">
        <f t="shared" si="83"/>
        <v>#VALUE!</v>
      </c>
      <c r="AC83" s="891" t="e">
        <f t="shared" si="84"/>
        <v>#VALUE!</v>
      </c>
      <c r="AD83" s="891" t="e">
        <f t="shared" si="85"/>
        <v>#VALUE!</v>
      </c>
      <c r="AE83" s="892" t="e">
        <f t="shared" si="86"/>
        <v>#VALUE!</v>
      </c>
      <c r="AF83" s="893" t="e">
        <f t="shared" si="87"/>
        <v>#VALUE!</v>
      </c>
      <c r="AG83" s="865">
        <f>IF(H83&gt;8,tab!C$132,tab!C$134)</f>
        <v>0.5</v>
      </c>
      <c r="AH83" s="866">
        <f t="shared" si="88"/>
        <v>0</v>
      </c>
      <c r="AI83" s="864">
        <f t="shared" si="89"/>
        <v>0</v>
      </c>
      <c r="AJ83" s="894"/>
      <c r="AK83" s="837"/>
      <c r="AL83" s="837"/>
      <c r="AM83" s="837"/>
      <c r="AN83" s="895"/>
      <c r="AO83" s="837"/>
      <c r="AP83" s="837"/>
      <c r="AQ83" s="874"/>
      <c r="AR83" s="837"/>
      <c r="AS83" s="837"/>
      <c r="AT83" s="837"/>
      <c r="AU83" s="836"/>
      <c r="AV83" s="836"/>
      <c r="AW83" s="869"/>
      <c r="AX83" s="836"/>
      <c r="AY83" s="837"/>
      <c r="AZ83" s="713"/>
    </row>
    <row r="84" spans="3:52" s="526" customFormat="1" ht="12.75" customHeight="1" x14ac:dyDescent="0.2">
      <c r="C84" s="1037"/>
      <c r="D84" s="1219" t="str">
        <f t="shared" si="68"/>
        <v/>
      </c>
      <c r="E84" s="1219" t="str">
        <f t="shared" si="68"/>
        <v/>
      </c>
      <c r="F84" s="1219" t="str">
        <f t="shared" si="68"/>
        <v/>
      </c>
      <c r="G84" s="1221" t="str">
        <f t="shared" si="69"/>
        <v/>
      </c>
      <c r="H84" s="1222" t="str">
        <f t="shared" si="70"/>
        <v/>
      </c>
      <c r="I84" s="1221" t="str">
        <f t="shared" si="71"/>
        <v/>
      </c>
      <c r="J84" s="1221" t="str">
        <f t="shared" si="72"/>
        <v/>
      </c>
      <c r="K84" s="1223" t="str">
        <f t="shared" si="73"/>
        <v/>
      </c>
      <c r="L84" s="1216"/>
      <c r="M84" s="1224" t="str">
        <f t="shared" ref="M84:N84" si="91">IF(M52="","",M52)</f>
        <v/>
      </c>
      <c r="N84" s="1225" t="str">
        <f t="shared" si="91"/>
        <v/>
      </c>
      <c r="O84" s="1226" t="str">
        <f t="shared" si="77"/>
        <v/>
      </c>
      <c r="P84" s="1226" t="str">
        <f t="shared" si="78"/>
        <v/>
      </c>
      <c r="Q84" s="1227" t="str">
        <f t="shared" si="79"/>
        <v/>
      </c>
      <c r="R84" s="1216"/>
      <c r="S84" s="1228" t="str">
        <f t="shared" si="80"/>
        <v/>
      </c>
      <c r="T84" s="1228" t="str">
        <f t="shared" si="81"/>
        <v/>
      </c>
      <c r="U84" s="1229" t="str">
        <f t="shared" si="74"/>
        <v/>
      </c>
      <c r="V84" s="1212"/>
      <c r="W84" s="723"/>
      <c r="X84" s="604"/>
      <c r="Y84" s="604"/>
      <c r="Z84" s="890" t="str">
        <f t="shared" si="75"/>
        <v/>
      </c>
      <c r="AA84" s="865">
        <f t="shared" si="82"/>
        <v>0.62</v>
      </c>
      <c r="AB84" s="891" t="e">
        <f t="shared" si="83"/>
        <v>#VALUE!</v>
      </c>
      <c r="AC84" s="891" t="e">
        <f t="shared" si="84"/>
        <v>#VALUE!</v>
      </c>
      <c r="AD84" s="891" t="e">
        <f t="shared" si="85"/>
        <v>#VALUE!</v>
      </c>
      <c r="AE84" s="892" t="e">
        <f t="shared" si="86"/>
        <v>#VALUE!</v>
      </c>
      <c r="AF84" s="893" t="e">
        <f t="shared" si="87"/>
        <v>#VALUE!</v>
      </c>
      <c r="AG84" s="865">
        <f>IF(H84&gt;8,tab!C$132,tab!C$134)</f>
        <v>0.5</v>
      </c>
      <c r="AH84" s="866">
        <f t="shared" si="88"/>
        <v>0</v>
      </c>
      <c r="AI84" s="864">
        <f t="shared" si="89"/>
        <v>0</v>
      </c>
      <c r="AJ84" s="894"/>
      <c r="AK84" s="837"/>
      <c r="AL84" s="837"/>
      <c r="AM84" s="837"/>
      <c r="AN84" s="895"/>
      <c r="AO84" s="837"/>
      <c r="AP84" s="837"/>
      <c r="AQ84" s="874"/>
      <c r="AR84" s="837"/>
      <c r="AS84" s="837"/>
      <c r="AT84" s="837"/>
      <c r="AU84" s="836"/>
      <c r="AV84" s="836"/>
      <c r="AW84" s="869"/>
      <c r="AX84" s="836"/>
      <c r="AY84" s="837"/>
      <c r="AZ84" s="713"/>
    </row>
    <row r="85" spans="3:52" s="526" customFormat="1" ht="12.75" customHeight="1" x14ac:dyDescent="0.2">
      <c r="C85" s="1037"/>
      <c r="D85" s="1219" t="str">
        <f t="shared" si="68"/>
        <v/>
      </c>
      <c r="E85" s="1219" t="str">
        <f t="shared" si="68"/>
        <v/>
      </c>
      <c r="F85" s="1219" t="str">
        <f t="shared" si="68"/>
        <v/>
      </c>
      <c r="G85" s="1221" t="str">
        <f t="shared" si="69"/>
        <v/>
      </c>
      <c r="H85" s="1222" t="str">
        <f t="shared" si="70"/>
        <v/>
      </c>
      <c r="I85" s="1221" t="str">
        <f t="shared" si="71"/>
        <v/>
      </c>
      <c r="J85" s="1221" t="str">
        <f t="shared" si="72"/>
        <v/>
      </c>
      <c r="K85" s="1223" t="str">
        <f t="shared" si="73"/>
        <v/>
      </c>
      <c r="L85" s="1216"/>
      <c r="M85" s="1224" t="str">
        <f t="shared" ref="M85:N85" si="92">IF(M53="","",M53)</f>
        <v/>
      </c>
      <c r="N85" s="1225" t="str">
        <f t="shared" si="92"/>
        <v/>
      </c>
      <c r="O85" s="1226" t="str">
        <f t="shared" si="77"/>
        <v/>
      </c>
      <c r="P85" s="1226" t="str">
        <f t="shared" si="78"/>
        <v/>
      </c>
      <c r="Q85" s="1227" t="str">
        <f t="shared" si="79"/>
        <v/>
      </c>
      <c r="R85" s="1216"/>
      <c r="S85" s="1228" t="str">
        <f t="shared" si="80"/>
        <v/>
      </c>
      <c r="T85" s="1228" t="str">
        <f t="shared" si="81"/>
        <v/>
      </c>
      <c r="U85" s="1229" t="str">
        <f t="shared" si="74"/>
        <v/>
      </c>
      <c r="V85" s="1212"/>
      <c r="W85" s="723"/>
      <c r="X85" s="604"/>
      <c r="Y85" s="604"/>
      <c r="Z85" s="890" t="str">
        <f t="shared" si="75"/>
        <v/>
      </c>
      <c r="AA85" s="865">
        <f t="shared" si="82"/>
        <v>0.62</v>
      </c>
      <c r="AB85" s="891" t="e">
        <f t="shared" si="83"/>
        <v>#VALUE!</v>
      </c>
      <c r="AC85" s="891" t="e">
        <f t="shared" si="84"/>
        <v>#VALUE!</v>
      </c>
      <c r="AD85" s="891" t="e">
        <f t="shared" si="85"/>
        <v>#VALUE!</v>
      </c>
      <c r="AE85" s="892" t="e">
        <f t="shared" si="86"/>
        <v>#VALUE!</v>
      </c>
      <c r="AF85" s="893" t="e">
        <f t="shared" si="87"/>
        <v>#VALUE!</v>
      </c>
      <c r="AG85" s="865">
        <f>IF(H85&gt;8,tab!C$132,tab!C$134)</f>
        <v>0.5</v>
      </c>
      <c r="AH85" s="866">
        <f t="shared" si="88"/>
        <v>0</v>
      </c>
      <c r="AI85" s="864">
        <f t="shared" si="89"/>
        <v>0</v>
      </c>
      <c r="AJ85" s="894"/>
      <c r="AK85" s="837"/>
      <c r="AL85" s="837"/>
      <c r="AM85" s="837"/>
      <c r="AN85" s="895"/>
      <c r="AO85" s="837"/>
      <c r="AP85" s="837"/>
      <c r="AQ85" s="874"/>
      <c r="AR85" s="837"/>
      <c r="AS85" s="837"/>
      <c r="AT85" s="837"/>
      <c r="AU85" s="836"/>
      <c r="AV85" s="836"/>
      <c r="AW85" s="869"/>
      <c r="AX85" s="836"/>
      <c r="AY85" s="837"/>
      <c r="AZ85" s="713"/>
    </row>
    <row r="86" spans="3:52" s="526" customFormat="1" ht="12.75" customHeight="1" x14ac:dyDescent="0.2">
      <c r="C86" s="1037"/>
      <c r="D86" s="1219" t="str">
        <f t="shared" si="68"/>
        <v/>
      </c>
      <c r="E86" s="1219" t="str">
        <f t="shared" si="68"/>
        <v/>
      </c>
      <c r="F86" s="1219" t="str">
        <f t="shared" si="68"/>
        <v/>
      </c>
      <c r="G86" s="1221" t="str">
        <f t="shared" si="69"/>
        <v/>
      </c>
      <c r="H86" s="1222" t="str">
        <f t="shared" si="70"/>
        <v/>
      </c>
      <c r="I86" s="1221" t="str">
        <f t="shared" si="71"/>
        <v/>
      </c>
      <c r="J86" s="1221" t="str">
        <f t="shared" si="72"/>
        <v/>
      </c>
      <c r="K86" s="1223" t="str">
        <f t="shared" si="73"/>
        <v/>
      </c>
      <c r="L86" s="1216"/>
      <c r="M86" s="1224" t="str">
        <f t="shared" ref="M86:N86" si="93">IF(M54="","",M54)</f>
        <v/>
      </c>
      <c r="N86" s="1225" t="str">
        <f t="shared" si="93"/>
        <v/>
      </c>
      <c r="O86" s="1226" t="str">
        <f t="shared" si="77"/>
        <v/>
      </c>
      <c r="P86" s="1226" t="str">
        <f t="shared" si="78"/>
        <v/>
      </c>
      <c r="Q86" s="1227" t="str">
        <f t="shared" si="79"/>
        <v/>
      </c>
      <c r="R86" s="1216"/>
      <c r="S86" s="1228" t="str">
        <f t="shared" si="80"/>
        <v/>
      </c>
      <c r="T86" s="1228" t="str">
        <f t="shared" si="81"/>
        <v/>
      </c>
      <c r="U86" s="1229" t="str">
        <f t="shared" si="74"/>
        <v/>
      </c>
      <c r="V86" s="1212"/>
      <c r="W86" s="723"/>
      <c r="X86" s="604"/>
      <c r="Y86" s="604"/>
      <c r="Z86" s="890" t="str">
        <f t="shared" si="75"/>
        <v/>
      </c>
      <c r="AA86" s="865">
        <f t="shared" si="82"/>
        <v>0.62</v>
      </c>
      <c r="AB86" s="891" t="e">
        <f t="shared" si="83"/>
        <v>#VALUE!</v>
      </c>
      <c r="AC86" s="891" t="e">
        <f t="shared" si="84"/>
        <v>#VALUE!</v>
      </c>
      <c r="AD86" s="891" t="e">
        <f t="shared" si="85"/>
        <v>#VALUE!</v>
      </c>
      <c r="AE86" s="892" t="e">
        <f t="shared" si="86"/>
        <v>#VALUE!</v>
      </c>
      <c r="AF86" s="893" t="e">
        <f t="shared" si="87"/>
        <v>#VALUE!</v>
      </c>
      <c r="AG86" s="865">
        <f>IF(H86&gt;8,tab!C$132,tab!C$134)</f>
        <v>0.5</v>
      </c>
      <c r="AH86" s="866">
        <f t="shared" si="88"/>
        <v>0</v>
      </c>
      <c r="AI86" s="864">
        <f t="shared" si="89"/>
        <v>0</v>
      </c>
      <c r="AJ86" s="894"/>
      <c r="AK86" s="837"/>
      <c r="AL86" s="837"/>
      <c r="AM86" s="837"/>
      <c r="AN86" s="895"/>
      <c r="AO86" s="837"/>
      <c r="AP86" s="837"/>
      <c r="AQ86" s="874"/>
      <c r="AR86" s="837"/>
      <c r="AS86" s="837"/>
      <c r="AT86" s="837"/>
      <c r="AU86" s="836"/>
      <c r="AV86" s="836"/>
      <c r="AW86" s="869"/>
      <c r="AX86" s="836"/>
      <c r="AY86" s="837"/>
      <c r="AZ86" s="713"/>
    </row>
    <row r="87" spans="3:52" s="526" customFormat="1" ht="12.75" customHeight="1" x14ac:dyDescent="0.2">
      <c r="C87" s="1037"/>
      <c r="D87" s="1219" t="str">
        <f t="shared" si="68"/>
        <v/>
      </c>
      <c r="E87" s="1219" t="str">
        <f t="shared" si="68"/>
        <v/>
      </c>
      <c r="F87" s="1219" t="str">
        <f t="shared" si="68"/>
        <v/>
      </c>
      <c r="G87" s="1221" t="str">
        <f t="shared" si="69"/>
        <v/>
      </c>
      <c r="H87" s="1222" t="str">
        <f t="shared" si="70"/>
        <v/>
      </c>
      <c r="I87" s="1221" t="str">
        <f t="shared" si="71"/>
        <v/>
      </c>
      <c r="J87" s="1221" t="str">
        <f t="shared" si="72"/>
        <v/>
      </c>
      <c r="K87" s="1223" t="str">
        <f t="shared" si="73"/>
        <v/>
      </c>
      <c r="L87" s="1216"/>
      <c r="M87" s="1224" t="str">
        <f t="shared" ref="M87:N87" si="94">IF(M55="","",M55)</f>
        <v/>
      </c>
      <c r="N87" s="1225" t="str">
        <f t="shared" si="94"/>
        <v/>
      </c>
      <c r="O87" s="1226" t="str">
        <f t="shared" si="77"/>
        <v/>
      </c>
      <c r="P87" s="1226" t="str">
        <f t="shared" si="78"/>
        <v/>
      </c>
      <c r="Q87" s="1227" t="str">
        <f t="shared" si="79"/>
        <v/>
      </c>
      <c r="R87" s="1216"/>
      <c r="S87" s="1228" t="str">
        <f t="shared" si="80"/>
        <v/>
      </c>
      <c r="T87" s="1228" t="str">
        <f t="shared" si="81"/>
        <v/>
      </c>
      <c r="U87" s="1229" t="str">
        <f t="shared" si="74"/>
        <v/>
      </c>
      <c r="V87" s="1212"/>
      <c r="W87" s="723"/>
      <c r="X87" s="604"/>
      <c r="Y87" s="604"/>
      <c r="Z87" s="890" t="str">
        <f t="shared" si="75"/>
        <v/>
      </c>
      <c r="AA87" s="865">
        <f t="shared" si="82"/>
        <v>0.62</v>
      </c>
      <c r="AB87" s="891" t="e">
        <f t="shared" si="83"/>
        <v>#VALUE!</v>
      </c>
      <c r="AC87" s="891" t="e">
        <f t="shared" si="84"/>
        <v>#VALUE!</v>
      </c>
      <c r="AD87" s="891" t="e">
        <f t="shared" si="85"/>
        <v>#VALUE!</v>
      </c>
      <c r="AE87" s="892" t="e">
        <f t="shared" si="86"/>
        <v>#VALUE!</v>
      </c>
      <c r="AF87" s="893" t="e">
        <f t="shared" si="87"/>
        <v>#VALUE!</v>
      </c>
      <c r="AG87" s="865">
        <f>IF(H87&gt;8,tab!C$132,tab!C$134)</f>
        <v>0.5</v>
      </c>
      <c r="AH87" s="866">
        <f t="shared" si="88"/>
        <v>0</v>
      </c>
      <c r="AI87" s="864">
        <f t="shared" si="89"/>
        <v>0</v>
      </c>
      <c r="AJ87" s="894"/>
      <c r="AK87" s="837"/>
      <c r="AL87" s="837"/>
      <c r="AM87" s="837"/>
      <c r="AN87" s="895"/>
      <c r="AO87" s="837"/>
      <c r="AP87" s="837"/>
      <c r="AQ87" s="874"/>
      <c r="AR87" s="837"/>
      <c r="AS87" s="837"/>
      <c r="AT87" s="837"/>
      <c r="AU87" s="836"/>
      <c r="AV87" s="836"/>
      <c r="AW87" s="869"/>
      <c r="AX87" s="836"/>
      <c r="AY87" s="837"/>
      <c r="AZ87" s="713"/>
    </row>
    <row r="88" spans="3:52" s="526" customFormat="1" ht="12.75" customHeight="1" x14ac:dyDescent="0.2">
      <c r="C88" s="1037"/>
      <c r="D88" s="1219" t="str">
        <f t="shared" si="68"/>
        <v/>
      </c>
      <c r="E88" s="1219" t="str">
        <f t="shared" si="68"/>
        <v/>
      </c>
      <c r="F88" s="1219" t="str">
        <f t="shared" si="68"/>
        <v/>
      </c>
      <c r="G88" s="1221" t="str">
        <f t="shared" si="69"/>
        <v/>
      </c>
      <c r="H88" s="1222" t="str">
        <f t="shared" si="70"/>
        <v/>
      </c>
      <c r="I88" s="1221" t="str">
        <f t="shared" si="71"/>
        <v/>
      </c>
      <c r="J88" s="1221" t="str">
        <f t="shared" si="72"/>
        <v/>
      </c>
      <c r="K88" s="1223" t="str">
        <f t="shared" si="73"/>
        <v/>
      </c>
      <c r="L88" s="1216"/>
      <c r="M88" s="1224" t="str">
        <f t="shared" ref="M88:N88" si="95">IF(M56="","",M56)</f>
        <v/>
      </c>
      <c r="N88" s="1225" t="str">
        <f t="shared" si="95"/>
        <v/>
      </c>
      <c r="O88" s="1226" t="str">
        <f t="shared" si="77"/>
        <v/>
      </c>
      <c r="P88" s="1226" t="str">
        <f t="shared" si="78"/>
        <v/>
      </c>
      <c r="Q88" s="1227" t="str">
        <f t="shared" si="79"/>
        <v/>
      </c>
      <c r="R88" s="1216"/>
      <c r="S88" s="1228" t="str">
        <f t="shared" si="80"/>
        <v/>
      </c>
      <c r="T88" s="1228" t="str">
        <f t="shared" si="81"/>
        <v/>
      </c>
      <c r="U88" s="1229" t="str">
        <f t="shared" si="74"/>
        <v/>
      </c>
      <c r="V88" s="1212"/>
      <c r="W88" s="723"/>
      <c r="X88" s="604"/>
      <c r="Y88" s="604"/>
      <c r="Z88" s="890" t="str">
        <f t="shared" si="75"/>
        <v/>
      </c>
      <c r="AA88" s="865">
        <f t="shared" si="82"/>
        <v>0.62</v>
      </c>
      <c r="AB88" s="891" t="e">
        <f t="shared" si="83"/>
        <v>#VALUE!</v>
      </c>
      <c r="AC88" s="891" t="e">
        <f t="shared" si="84"/>
        <v>#VALUE!</v>
      </c>
      <c r="AD88" s="891" t="e">
        <f t="shared" si="85"/>
        <v>#VALUE!</v>
      </c>
      <c r="AE88" s="892" t="e">
        <f t="shared" si="86"/>
        <v>#VALUE!</v>
      </c>
      <c r="AF88" s="893" t="e">
        <f t="shared" si="87"/>
        <v>#VALUE!</v>
      </c>
      <c r="AG88" s="865">
        <f>IF(H88&gt;8,tab!C$132,tab!C$134)</f>
        <v>0.5</v>
      </c>
      <c r="AH88" s="866">
        <f t="shared" si="88"/>
        <v>0</v>
      </c>
      <c r="AI88" s="864">
        <f t="shared" si="89"/>
        <v>0</v>
      </c>
      <c r="AJ88" s="894"/>
      <c r="AK88" s="837"/>
      <c r="AL88" s="837"/>
      <c r="AM88" s="837"/>
      <c r="AN88" s="895"/>
      <c r="AO88" s="837"/>
      <c r="AP88" s="837"/>
      <c r="AQ88" s="874"/>
      <c r="AR88" s="837"/>
      <c r="AS88" s="837"/>
      <c r="AT88" s="837"/>
      <c r="AU88" s="836"/>
      <c r="AV88" s="836"/>
      <c r="AW88" s="869"/>
      <c r="AX88" s="836"/>
      <c r="AY88" s="837"/>
      <c r="AZ88" s="713"/>
    </row>
    <row r="89" spans="3:52" s="526" customFormat="1" ht="12.75" customHeight="1" x14ac:dyDescent="0.2">
      <c r="C89" s="1037"/>
      <c r="D89" s="1219" t="str">
        <f t="shared" si="68"/>
        <v/>
      </c>
      <c r="E89" s="1219" t="str">
        <f t="shared" si="68"/>
        <v/>
      </c>
      <c r="F89" s="1219" t="str">
        <f t="shared" si="68"/>
        <v/>
      </c>
      <c r="G89" s="1221" t="str">
        <f t="shared" si="69"/>
        <v/>
      </c>
      <c r="H89" s="1222" t="str">
        <f t="shared" si="70"/>
        <v/>
      </c>
      <c r="I89" s="1221" t="str">
        <f t="shared" si="71"/>
        <v/>
      </c>
      <c r="J89" s="1221" t="str">
        <f t="shared" si="72"/>
        <v/>
      </c>
      <c r="K89" s="1223" t="str">
        <f t="shared" si="73"/>
        <v/>
      </c>
      <c r="L89" s="1216"/>
      <c r="M89" s="1224" t="str">
        <f t="shared" ref="M89:N89" si="96">IF(M57="","",M57)</f>
        <v/>
      </c>
      <c r="N89" s="1225" t="str">
        <f t="shared" si="96"/>
        <v/>
      </c>
      <c r="O89" s="1226" t="str">
        <f t="shared" si="77"/>
        <v/>
      </c>
      <c r="P89" s="1226" t="str">
        <f t="shared" si="78"/>
        <v/>
      </c>
      <c r="Q89" s="1227" t="str">
        <f t="shared" si="79"/>
        <v/>
      </c>
      <c r="R89" s="1216"/>
      <c r="S89" s="1228" t="str">
        <f t="shared" si="80"/>
        <v/>
      </c>
      <c r="T89" s="1228" t="str">
        <f t="shared" si="81"/>
        <v/>
      </c>
      <c r="U89" s="1229" t="str">
        <f t="shared" si="74"/>
        <v/>
      </c>
      <c r="V89" s="1212"/>
      <c r="W89" s="723"/>
      <c r="X89" s="604"/>
      <c r="Y89" s="604"/>
      <c r="Z89" s="890" t="str">
        <f t="shared" si="75"/>
        <v/>
      </c>
      <c r="AA89" s="865">
        <f t="shared" si="82"/>
        <v>0.62</v>
      </c>
      <c r="AB89" s="891" t="e">
        <f t="shared" si="83"/>
        <v>#VALUE!</v>
      </c>
      <c r="AC89" s="891" t="e">
        <f t="shared" si="84"/>
        <v>#VALUE!</v>
      </c>
      <c r="AD89" s="891" t="e">
        <f t="shared" si="85"/>
        <v>#VALUE!</v>
      </c>
      <c r="AE89" s="892" t="e">
        <f t="shared" si="86"/>
        <v>#VALUE!</v>
      </c>
      <c r="AF89" s="893" t="e">
        <f t="shared" si="87"/>
        <v>#VALUE!</v>
      </c>
      <c r="AG89" s="865">
        <f>IF(H89&gt;8,tab!C$132,tab!C$134)</f>
        <v>0.5</v>
      </c>
      <c r="AH89" s="866">
        <f t="shared" si="88"/>
        <v>0</v>
      </c>
      <c r="AI89" s="864">
        <f t="shared" si="89"/>
        <v>0</v>
      </c>
      <c r="AJ89" s="894"/>
      <c r="AK89" s="837"/>
      <c r="AL89" s="837"/>
      <c r="AM89" s="837"/>
      <c r="AN89" s="895"/>
      <c r="AO89" s="837"/>
      <c r="AP89" s="837"/>
      <c r="AQ89" s="874"/>
      <c r="AR89" s="837"/>
      <c r="AS89" s="837"/>
      <c r="AT89" s="837"/>
      <c r="AU89" s="836"/>
      <c r="AV89" s="836"/>
      <c r="AW89" s="869"/>
      <c r="AX89" s="836"/>
      <c r="AY89" s="837"/>
      <c r="AZ89" s="713"/>
    </row>
    <row r="90" spans="3:52" s="526" customFormat="1" ht="12.75" customHeight="1" x14ac:dyDescent="0.2">
      <c r="C90" s="1037"/>
      <c r="D90" s="1219" t="str">
        <f t="shared" si="68"/>
        <v/>
      </c>
      <c r="E90" s="1219" t="str">
        <f t="shared" si="68"/>
        <v/>
      </c>
      <c r="F90" s="1219" t="str">
        <f t="shared" si="68"/>
        <v/>
      </c>
      <c r="G90" s="1221" t="str">
        <f t="shared" si="69"/>
        <v/>
      </c>
      <c r="H90" s="1222" t="str">
        <f t="shared" si="70"/>
        <v/>
      </c>
      <c r="I90" s="1221" t="str">
        <f t="shared" si="71"/>
        <v/>
      </c>
      <c r="J90" s="1221" t="str">
        <f t="shared" si="72"/>
        <v/>
      </c>
      <c r="K90" s="1223" t="str">
        <f t="shared" si="73"/>
        <v/>
      </c>
      <c r="L90" s="1216"/>
      <c r="M90" s="1224" t="str">
        <f t="shared" ref="M90:N90" si="97">IF(M58="","",M58)</f>
        <v/>
      </c>
      <c r="N90" s="1225" t="str">
        <f t="shared" si="97"/>
        <v/>
      </c>
      <c r="O90" s="1226" t="str">
        <f t="shared" si="77"/>
        <v/>
      </c>
      <c r="P90" s="1226" t="str">
        <f t="shared" si="78"/>
        <v/>
      </c>
      <c r="Q90" s="1227" t="str">
        <f t="shared" si="79"/>
        <v/>
      </c>
      <c r="R90" s="1216"/>
      <c r="S90" s="1228" t="str">
        <f t="shared" si="80"/>
        <v/>
      </c>
      <c r="T90" s="1228" t="str">
        <f t="shared" si="81"/>
        <v/>
      </c>
      <c r="U90" s="1229" t="str">
        <f t="shared" si="74"/>
        <v/>
      </c>
      <c r="V90" s="1212"/>
      <c r="W90" s="723"/>
      <c r="X90" s="604"/>
      <c r="Y90" s="604"/>
      <c r="Z90" s="890" t="str">
        <f t="shared" si="75"/>
        <v/>
      </c>
      <c r="AA90" s="865">
        <f t="shared" si="82"/>
        <v>0.62</v>
      </c>
      <c r="AB90" s="891" t="e">
        <f t="shared" si="83"/>
        <v>#VALUE!</v>
      </c>
      <c r="AC90" s="891" t="e">
        <f t="shared" si="84"/>
        <v>#VALUE!</v>
      </c>
      <c r="AD90" s="891" t="e">
        <f t="shared" si="85"/>
        <v>#VALUE!</v>
      </c>
      <c r="AE90" s="892" t="e">
        <f t="shared" si="86"/>
        <v>#VALUE!</v>
      </c>
      <c r="AF90" s="893" t="e">
        <f t="shared" si="87"/>
        <v>#VALUE!</v>
      </c>
      <c r="AG90" s="865">
        <f>IF(H90&gt;8,tab!C$132,tab!C$134)</f>
        <v>0.5</v>
      </c>
      <c r="AH90" s="866">
        <f t="shared" si="88"/>
        <v>0</v>
      </c>
      <c r="AI90" s="864">
        <f t="shared" si="89"/>
        <v>0</v>
      </c>
      <c r="AJ90" s="894"/>
      <c r="AK90" s="837"/>
      <c r="AL90" s="837"/>
      <c r="AM90" s="837"/>
      <c r="AN90" s="895"/>
      <c r="AO90" s="837"/>
      <c r="AP90" s="837"/>
      <c r="AQ90" s="874"/>
      <c r="AR90" s="837"/>
      <c r="AS90" s="837"/>
      <c r="AT90" s="837"/>
      <c r="AU90" s="836"/>
      <c r="AV90" s="836"/>
      <c r="AW90" s="869"/>
      <c r="AX90" s="836"/>
      <c r="AY90" s="837"/>
      <c r="AZ90" s="713"/>
    </row>
    <row r="91" spans="3:52" s="526" customFormat="1" ht="12.75" customHeight="1" x14ac:dyDescent="0.2">
      <c r="C91" s="1037"/>
      <c r="D91" s="1219" t="str">
        <f t="shared" si="68"/>
        <v/>
      </c>
      <c r="E91" s="1219" t="str">
        <f t="shared" si="68"/>
        <v/>
      </c>
      <c r="F91" s="1219" t="str">
        <f t="shared" si="68"/>
        <v/>
      </c>
      <c r="G91" s="1221" t="str">
        <f t="shared" si="69"/>
        <v/>
      </c>
      <c r="H91" s="1222" t="str">
        <f t="shared" si="70"/>
        <v/>
      </c>
      <c r="I91" s="1221" t="str">
        <f t="shared" si="71"/>
        <v/>
      </c>
      <c r="J91" s="1221" t="str">
        <f t="shared" si="72"/>
        <v/>
      </c>
      <c r="K91" s="1223" t="str">
        <f t="shared" si="73"/>
        <v/>
      </c>
      <c r="L91" s="1216"/>
      <c r="M91" s="1224" t="str">
        <f t="shared" ref="M91:N91" si="98">IF(M59="","",M59)</f>
        <v/>
      </c>
      <c r="N91" s="1225" t="str">
        <f t="shared" si="98"/>
        <v/>
      </c>
      <c r="O91" s="1226" t="str">
        <f t="shared" si="77"/>
        <v/>
      </c>
      <c r="P91" s="1226" t="str">
        <f t="shared" si="78"/>
        <v/>
      </c>
      <c r="Q91" s="1227" t="str">
        <f t="shared" si="79"/>
        <v/>
      </c>
      <c r="R91" s="1216"/>
      <c r="S91" s="1228" t="str">
        <f t="shared" si="80"/>
        <v/>
      </c>
      <c r="T91" s="1228" t="str">
        <f t="shared" si="81"/>
        <v/>
      </c>
      <c r="U91" s="1229" t="str">
        <f t="shared" si="74"/>
        <v/>
      </c>
      <c r="V91" s="1212"/>
      <c r="W91" s="723"/>
      <c r="X91" s="604"/>
      <c r="Y91" s="604"/>
      <c r="Z91" s="890" t="str">
        <f t="shared" si="75"/>
        <v/>
      </c>
      <c r="AA91" s="865">
        <f t="shared" si="82"/>
        <v>0.62</v>
      </c>
      <c r="AB91" s="891" t="e">
        <f t="shared" si="83"/>
        <v>#VALUE!</v>
      </c>
      <c r="AC91" s="891" t="e">
        <f t="shared" si="84"/>
        <v>#VALUE!</v>
      </c>
      <c r="AD91" s="891" t="e">
        <f t="shared" si="85"/>
        <v>#VALUE!</v>
      </c>
      <c r="AE91" s="892" t="e">
        <f t="shared" si="86"/>
        <v>#VALUE!</v>
      </c>
      <c r="AF91" s="893" t="e">
        <f t="shared" si="87"/>
        <v>#VALUE!</v>
      </c>
      <c r="AG91" s="865">
        <f>IF(H91&gt;8,tab!C$132,tab!C$134)</f>
        <v>0.5</v>
      </c>
      <c r="AH91" s="866">
        <f t="shared" si="88"/>
        <v>0</v>
      </c>
      <c r="AI91" s="864">
        <f t="shared" si="89"/>
        <v>0</v>
      </c>
      <c r="AJ91" s="894"/>
      <c r="AK91" s="837"/>
      <c r="AL91" s="837"/>
      <c r="AM91" s="837"/>
      <c r="AN91" s="895"/>
      <c r="AO91" s="837"/>
      <c r="AP91" s="837"/>
      <c r="AQ91" s="874"/>
      <c r="AR91" s="837"/>
      <c r="AS91" s="837"/>
      <c r="AT91" s="837"/>
      <c r="AU91" s="836"/>
      <c r="AV91" s="836"/>
      <c r="AW91" s="869"/>
      <c r="AX91" s="836"/>
      <c r="AY91" s="837"/>
      <c r="AZ91" s="713"/>
    </row>
    <row r="92" spans="3:52" s="526" customFormat="1" ht="12.75" customHeight="1" x14ac:dyDescent="0.2">
      <c r="C92" s="1037"/>
      <c r="D92" s="1219" t="str">
        <f t="shared" si="68"/>
        <v/>
      </c>
      <c r="E92" s="1219" t="str">
        <f t="shared" si="68"/>
        <v/>
      </c>
      <c r="F92" s="1219" t="str">
        <f t="shared" si="68"/>
        <v/>
      </c>
      <c r="G92" s="1221" t="str">
        <f t="shared" si="69"/>
        <v/>
      </c>
      <c r="H92" s="1222" t="str">
        <f t="shared" si="70"/>
        <v/>
      </c>
      <c r="I92" s="1221" t="str">
        <f t="shared" si="71"/>
        <v/>
      </c>
      <c r="J92" s="1221" t="str">
        <f t="shared" si="72"/>
        <v/>
      </c>
      <c r="K92" s="1223" t="str">
        <f t="shared" si="73"/>
        <v/>
      </c>
      <c r="L92" s="1216"/>
      <c r="M92" s="1224" t="str">
        <f t="shared" ref="M92:N92" si="99">IF(M60="","",M60)</f>
        <v/>
      </c>
      <c r="N92" s="1225" t="str">
        <f t="shared" si="99"/>
        <v/>
      </c>
      <c r="O92" s="1226" t="str">
        <f t="shared" si="77"/>
        <v/>
      </c>
      <c r="P92" s="1226" t="str">
        <f t="shared" si="78"/>
        <v/>
      </c>
      <c r="Q92" s="1227" t="str">
        <f t="shared" si="79"/>
        <v/>
      </c>
      <c r="R92" s="1216"/>
      <c r="S92" s="1228" t="str">
        <f t="shared" si="80"/>
        <v/>
      </c>
      <c r="T92" s="1228" t="str">
        <f t="shared" si="81"/>
        <v/>
      </c>
      <c r="U92" s="1229" t="str">
        <f t="shared" si="74"/>
        <v/>
      </c>
      <c r="V92" s="1212"/>
      <c r="W92" s="723"/>
      <c r="X92" s="604"/>
      <c r="Y92" s="604"/>
      <c r="Z92" s="890" t="str">
        <f t="shared" si="75"/>
        <v/>
      </c>
      <c r="AA92" s="865">
        <f t="shared" si="82"/>
        <v>0.62</v>
      </c>
      <c r="AB92" s="891" t="e">
        <f t="shared" si="83"/>
        <v>#VALUE!</v>
      </c>
      <c r="AC92" s="891" t="e">
        <f t="shared" si="84"/>
        <v>#VALUE!</v>
      </c>
      <c r="AD92" s="891" t="e">
        <f t="shared" si="85"/>
        <v>#VALUE!</v>
      </c>
      <c r="AE92" s="892" t="e">
        <f t="shared" si="86"/>
        <v>#VALUE!</v>
      </c>
      <c r="AF92" s="893" t="e">
        <f t="shared" si="87"/>
        <v>#VALUE!</v>
      </c>
      <c r="AG92" s="865">
        <f>IF(H92&gt;8,tab!C$132,tab!C$134)</f>
        <v>0.5</v>
      </c>
      <c r="AH92" s="866">
        <f t="shared" si="88"/>
        <v>0</v>
      </c>
      <c r="AI92" s="864">
        <f t="shared" si="89"/>
        <v>0</v>
      </c>
      <c r="AJ92" s="894"/>
      <c r="AK92" s="837"/>
      <c r="AL92" s="837"/>
      <c r="AM92" s="837"/>
      <c r="AN92" s="895"/>
      <c r="AO92" s="837"/>
      <c r="AP92" s="837"/>
      <c r="AQ92" s="874"/>
      <c r="AR92" s="837"/>
      <c r="AS92" s="837"/>
      <c r="AT92" s="837"/>
      <c r="AU92" s="836"/>
      <c r="AV92" s="836"/>
      <c r="AW92" s="869"/>
      <c r="AX92" s="836"/>
      <c r="AY92" s="837"/>
      <c r="AZ92" s="713"/>
    </row>
    <row r="93" spans="3:52" s="526" customFormat="1" ht="12.75" customHeight="1" x14ac:dyDescent="0.2">
      <c r="C93" s="1037"/>
      <c r="D93" s="1219" t="str">
        <f t="shared" ref="D93:F95" si="100">IF(D61=0,"",D61)</f>
        <v/>
      </c>
      <c r="E93" s="1219" t="str">
        <f t="shared" si="100"/>
        <v/>
      </c>
      <c r="F93" s="1219" t="str">
        <f t="shared" si="100"/>
        <v/>
      </c>
      <c r="G93" s="1221" t="str">
        <f t="shared" si="69"/>
        <v/>
      </c>
      <c r="H93" s="1222" t="str">
        <f t="shared" si="70"/>
        <v/>
      </c>
      <c r="I93" s="1221" t="str">
        <f t="shared" si="71"/>
        <v/>
      </c>
      <c r="J93" s="1221" t="str">
        <f t="shared" si="72"/>
        <v/>
      </c>
      <c r="K93" s="1223" t="str">
        <f t="shared" ref="K93:K95" si="101">IF(K61="","",K61)</f>
        <v/>
      </c>
      <c r="L93" s="1216"/>
      <c r="M93" s="1224" t="str">
        <f t="shared" ref="M93:N93" si="102">IF(M61="","",M61)</f>
        <v/>
      </c>
      <c r="N93" s="1225" t="str">
        <f t="shared" si="102"/>
        <v/>
      </c>
      <c r="O93" s="1226" t="str">
        <f t="shared" si="77"/>
        <v/>
      </c>
      <c r="P93" s="1226" t="str">
        <f t="shared" si="78"/>
        <v/>
      </c>
      <c r="Q93" s="1227" t="str">
        <f t="shared" si="79"/>
        <v/>
      </c>
      <c r="R93" s="1216"/>
      <c r="S93" s="1228" t="str">
        <f t="shared" si="80"/>
        <v/>
      </c>
      <c r="T93" s="1228" t="str">
        <f t="shared" si="81"/>
        <v/>
      </c>
      <c r="U93" s="1229" t="str">
        <f t="shared" si="74"/>
        <v/>
      </c>
      <c r="V93" s="1212"/>
      <c r="W93" s="723"/>
      <c r="X93" s="604"/>
      <c r="Y93" s="604"/>
      <c r="Z93" s="890" t="str">
        <f t="shared" si="75"/>
        <v/>
      </c>
      <c r="AA93" s="865">
        <f t="shared" si="82"/>
        <v>0.62</v>
      </c>
      <c r="AB93" s="891" t="e">
        <f t="shared" si="83"/>
        <v>#VALUE!</v>
      </c>
      <c r="AC93" s="891" t="e">
        <f t="shared" si="84"/>
        <v>#VALUE!</v>
      </c>
      <c r="AD93" s="891" t="e">
        <f t="shared" si="85"/>
        <v>#VALUE!</v>
      </c>
      <c r="AE93" s="892" t="e">
        <f t="shared" si="86"/>
        <v>#VALUE!</v>
      </c>
      <c r="AF93" s="893" t="e">
        <f t="shared" si="87"/>
        <v>#VALUE!</v>
      </c>
      <c r="AG93" s="865">
        <f>IF(H93&gt;8,tab!C$132,tab!C$134)</f>
        <v>0.5</v>
      </c>
      <c r="AH93" s="866">
        <f t="shared" si="88"/>
        <v>0</v>
      </c>
      <c r="AI93" s="864">
        <f t="shared" si="89"/>
        <v>0</v>
      </c>
      <c r="AJ93" s="894"/>
      <c r="AK93" s="837"/>
      <c r="AL93" s="837"/>
      <c r="AM93" s="837"/>
      <c r="AN93" s="895"/>
      <c r="AO93" s="837"/>
      <c r="AP93" s="837"/>
      <c r="AQ93" s="874"/>
      <c r="AR93" s="837"/>
      <c r="AS93" s="837"/>
      <c r="AT93" s="837"/>
      <c r="AU93" s="836"/>
      <c r="AV93" s="836"/>
      <c r="AW93" s="869"/>
      <c r="AX93" s="836"/>
      <c r="AY93" s="837"/>
      <c r="AZ93" s="713"/>
    </row>
    <row r="94" spans="3:52" s="526" customFormat="1" ht="12.75" customHeight="1" x14ac:dyDescent="0.2">
      <c r="C94" s="1037"/>
      <c r="D94" s="1219" t="str">
        <f t="shared" si="100"/>
        <v/>
      </c>
      <c r="E94" s="1219" t="str">
        <f t="shared" si="100"/>
        <v/>
      </c>
      <c r="F94" s="1219" t="str">
        <f t="shared" si="100"/>
        <v/>
      </c>
      <c r="G94" s="1221" t="str">
        <f t="shared" si="69"/>
        <v/>
      </c>
      <c r="H94" s="1222" t="str">
        <f t="shared" si="70"/>
        <v/>
      </c>
      <c r="I94" s="1221" t="str">
        <f t="shared" si="71"/>
        <v/>
      </c>
      <c r="J94" s="1221" t="str">
        <f t="shared" si="72"/>
        <v/>
      </c>
      <c r="K94" s="1223" t="str">
        <f t="shared" si="101"/>
        <v/>
      </c>
      <c r="L94" s="1216"/>
      <c r="M94" s="1224" t="str">
        <f t="shared" ref="M94:N94" si="103">IF(M62="","",M62)</f>
        <v/>
      </c>
      <c r="N94" s="1225" t="str">
        <f t="shared" si="103"/>
        <v/>
      </c>
      <c r="O94" s="1226" t="str">
        <f t="shared" si="77"/>
        <v/>
      </c>
      <c r="P94" s="1226" t="str">
        <f t="shared" si="78"/>
        <v/>
      </c>
      <c r="Q94" s="1227" t="str">
        <f t="shared" si="79"/>
        <v/>
      </c>
      <c r="R94" s="1216"/>
      <c r="S94" s="1228" t="str">
        <f t="shared" si="80"/>
        <v/>
      </c>
      <c r="T94" s="1228" t="str">
        <f t="shared" si="81"/>
        <v/>
      </c>
      <c r="U94" s="1229" t="str">
        <f t="shared" si="74"/>
        <v/>
      </c>
      <c r="V94" s="1212"/>
      <c r="W94" s="723"/>
      <c r="X94" s="604"/>
      <c r="Y94" s="604"/>
      <c r="Z94" s="890" t="str">
        <f t="shared" si="75"/>
        <v/>
      </c>
      <c r="AA94" s="865">
        <f t="shared" si="82"/>
        <v>0.62</v>
      </c>
      <c r="AB94" s="891" t="e">
        <f t="shared" si="83"/>
        <v>#VALUE!</v>
      </c>
      <c r="AC94" s="891" t="e">
        <f t="shared" si="84"/>
        <v>#VALUE!</v>
      </c>
      <c r="AD94" s="891" t="e">
        <f t="shared" si="85"/>
        <v>#VALUE!</v>
      </c>
      <c r="AE94" s="892" t="e">
        <f t="shared" si="86"/>
        <v>#VALUE!</v>
      </c>
      <c r="AF94" s="893" t="e">
        <f t="shared" si="87"/>
        <v>#VALUE!</v>
      </c>
      <c r="AG94" s="865">
        <f>IF(H94&gt;8,tab!C$132,tab!C$134)</f>
        <v>0.5</v>
      </c>
      <c r="AH94" s="866">
        <f t="shared" si="88"/>
        <v>0</v>
      </c>
      <c r="AI94" s="864">
        <f t="shared" si="89"/>
        <v>0</v>
      </c>
      <c r="AJ94" s="894"/>
      <c r="AK94" s="837"/>
      <c r="AL94" s="837"/>
      <c r="AM94" s="837"/>
      <c r="AN94" s="895"/>
      <c r="AO94" s="837"/>
      <c r="AP94" s="837"/>
      <c r="AQ94" s="874"/>
      <c r="AR94" s="837"/>
      <c r="AS94" s="837"/>
      <c r="AT94" s="837"/>
      <c r="AU94" s="836"/>
      <c r="AV94" s="836"/>
      <c r="AW94" s="869"/>
      <c r="AX94" s="836"/>
      <c r="AY94" s="837"/>
      <c r="AZ94" s="713"/>
    </row>
    <row r="95" spans="3:52" s="526" customFormat="1" ht="12.75" customHeight="1" x14ac:dyDescent="0.2">
      <c r="C95" s="1037"/>
      <c r="D95" s="1219" t="str">
        <f t="shared" si="100"/>
        <v/>
      </c>
      <c r="E95" s="1219" t="str">
        <f t="shared" si="100"/>
        <v/>
      </c>
      <c r="F95" s="1219" t="str">
        <f t="shared" si="100"/>
        <v/>
      </c>
      <c r="G95" s="1221" t="str">
        <f t="shared" si="69"/>
        <v/>
      </c>
      <c r="H95" s="1222" t="str">
        <f t="shared" si="70"/>
        <v/>
      </c>
      <c r="I95" s="1221" t="str">
        <f t="shared" si="71"/>
        <v/>
      </c>
      <c r="J95" s="1221" t="str">
        <f t="shared" si="72"/>
        <v/>
      </c>
      <c r="K95" s="1223" t="str">
        <f t="shared" si="101"/>
        <v/>
      </c>
      <c r="L95" s="1216"/>
      <c r="M95" s="1224" t="str">
        <f t="shared" ref="M95:N95" si="104">IF(M63="","",M63)</f>
        <v/>
      </c>
      <c r="N95" s="1225" t="str">
        <f t="shared" si="104"/>
        <v/>
      </c>
      <c r="O95" s="1226" t="str">
        <f t="shared" si="77"/>
        <v/>
      </c>
      <c r="P95" s="1226" t="str">
        <f t="shared" si="78"/>
        <v/>
      </c>
      <c r="Q95" s="1227" t="str">
        <f t="shared" si="79"/>
        <v/>
      </c>
      <c r="R95" s="1216"/>
      <c r="S95" s="1228" t="str">
        <f t="shared" si="80"/>
        <v/>
      </c>
      <c r="T95" s="1228" t="str">
        <f t="shared" si="81"/>
        <v/>
      </c>
      <c r="U95" s="1229" t="str">
        <f t="shared" si="74"/>
        <v/>
      </c>
      <c r="V95" s="1212"/>
      <c r="W95" s="723"/>
      <c r="X95" s="604"/>
      <c r="Y95" s="604"/>
      <c r="Z95" s="890" t="str">
        <f t="shared" si="75"/>
        <v/>
      </c>
      <c r="AA95" s="865">
        <f t="shared" si="82"/>
        <v>0.62</v>
      </c>
      <c r="AB95" s="891" t="e">
        <f t="shared" si="83"/>
        <v>#VALUE!</v>
      </c>
      <c r="AC95" s="891" t="e">
        <f t="shared" si="84"/>
        <v>#VALUE!</v>
      </c>
      <c r="AD95" s="891" t="e">
        <f t="shared" si="85"/>
        <v>#VALUE!</v>
      </c>
      <c r="AE95" s="892" t="e">
        <f t="shared" si="86"/>
        <v>#VALUE!</v>
      </c>
      <c r="AF95" s="893" t="e">
        <f t="shared" si="87"/>
        <v>#VALUE!</v>
      </c>
      <c r="AG95" s="865">
        <f>IF(H95&gt;8,tab!C$132,tab!C$134)</f>
        <v>0.5</v>
      </c>
      <c r="AH95" s="866">
        <f t="shared" si="88"/>
        <v>0</v>
      </c>
      <c r="AI95" s="864">
        <f t="shared" si="89"/>
        <v>0</v>
      </c>
      <c r="AJ95" s="894"/>
      <c r="AK95" s="837"/>
      <c r="AL95" s="837"/>
      <c r="AM95" s="837"/>
      <c r="AN95" s="895"/>
      <c r="AO95" s="837"/>
      <c r="AP95" s="837"/>
      <c r="AQ95" s="874"/>
      <c r="AR95" s="837"/>
      <c r="AS95" s="837"/>
      <c r="AT95" s="837"/>
      <c r="AU95" s="836"/>
      <c r="AV95" s="836"/>
      <c r="AW95" s="869"/>
      <c r="AX95" s="836"/>
      <c r="AY95" s="837"/>
      <c r="AZ95" s="713"/>
    </row>
    <row r="96" spans="3:52" s="526" customFormat="1" ht="12.75" customHeight="1" x14ac:dyDescent="0.2">
      <c r="C96" s="1037"/>
      <c r="D96" s="1219" t="str">
        <f t="shared" ref="D96:F100" si="105">IF(D64=0,"",D64)</f>
        <v/>
      </c>
      <c r="E96" s="1219" t="str">
        <f t="shared" si="105"/>
        <v/>
      </c>
      <c r="F96" s="1219" t="str">
        <f t="shared" si="105"/>
        <v/>
      </c>
      <c r="G96" s="1221" t="str">
        <f t="shared" si="69"/>
        <v/>
      </c>
      <c r="H96" s="1222" t="str">
        <f t="shared" si="70"/>
        <v/>
      </c>
      <c r="I96" s="1221" t="str">
        <f t="shared" si="71"/>
        <v/>
      </c>
      <c r="J96" s="1221" t="str">
        <f t="shared" si="72"/>
        <v/>
      </c>
      <c r="K96" s="1223" t="str">
        <f t="shared" ref="K96:K100" si="106">IF(K64="","",K64)</f>
        <v/>
      </c>
      <c r="L96" s="1216"/>
      <c r="M96" s="1224" t="str">
        <f t="shared" ref="M96:N96" si="107">IF(M64="","",M64)</f>
        <v/>
      </c>
      <c r="N96" s="1225" t="str">
        <f t="shared" si="107"/>
        <v/>
      </c>
      <c r="O96" s="1226" t="str">
        <f t="shared" si="77"/>
        <v/>
      </c>
      <c r="P96" s="1226" t="str">
        <f t="shared" si="78"/>
        <v/>
      </c>
      <c r="Q96" s="1227" t="str">
        <f t="shared" si="79"/>
        <v/>
      </c>
      <c r="R96" s="1216"/>
      <c r="S96" s="1228" t="str">
        <f t="shared" si="80"/>
        <v/>
      </c>
      <c r="T96" s="1228" t="str">
        <f t="shared" si="81"/>
        <v/>
      </c>
      <c r="U96" s="1229" t="str">
        <f t="shared" si="74"/>
        <v/>
      </c>
      <c r="V96" s="1212"/>
      <c r="W96" s="723"/>
      <c r="X96" s="604"/>
      <c r="Y96" s="604"/>
      <c r="Z96" s="890" t="str">
        <f t="shared" si="75"/>
        <v/>
      </c>
      <c r="AA96" s="865">
        <f t="shared" si="82"/>
        <v>0.62</v>
      </c>
      <c r="AB96" s="891" t="e">
        <f t="shared" si="83"/>
        <v>#VALUE!</v>
      </c>
      <c r="AC96" s="891" t="e">
        <f t="shared" si="84"/>
        <v>#VALUE!</v>
      </c>
      <c r="AD96" s="891" t="e">
        <f t="shared" si="85"/>
        <v>#VALUE!</v>
      </c>
      <c r="AE96" s="892" t="e">
        <f t="shared" si="86"/>
        <v>#VALUE!</v>
      </c>
      <c r="AF96" s="893" t="e">
        <f t="shared" si="87"/>
        <v>#VALUE!</v>
      </c>
      <c r="AG96" s="865">
        <f>IF(H96&gt;8,tab!C$132,tab!C$134)</f>
        <v>0.5</v>
      </c>
      <c r="AH96" s="866">
        <f t="shared" si="88"/>
        <v>0</v>
      </c>
      <c r="AI96" s="864">
        <f t="shared" si="89"/>
        <v>0</v>
      </c>
      <c r="AJ96" s="894"/>
      <c r="AK96" s="837"/>
      <c r="AL96" s="837"/>
      <c r="AM96" s="837"/>
      <c r="AN96" s="895"/>
      <c r="AO96" s="837"/>
      <c r="AP96" s="837"/>
      <c r="AQ96" s="874"/>
      <c r="AR96" s="837"/>
      <c r="AS96" s="837"/>
      <c r="AT96" s="837"/>
      <c r="AU96" s="836"/>
      <c r="AV96" s="836"/>
      <c r="AW96" s="869"/>
      <c r="AX96" s="836"/>
      <c r="AY96" s="837"/>
      <c r="AZ96" s="713"/>
    </row>
    <row r="97" spans="3:59" s="526" customFormat="1" ht="12.75" customHeight="1" x14ac:dyDescent="0.2">
      <c r="C97" s="1037"/>
      <c r="D97" s="1219" t="str">
        <f t="shared" si="105"/>
        <v/>
      </c>
      <c r="E97" s="1219" t="str">
        <f t="shared" si="105"/>
        <v/>
      </c>
      <c r="F97" s="1219" t="str">
        <f t="shared" si="105"/>
        <v/>
      </c>
      <c r="G97" s="1221" t="str">
        <f t="shared" si="69"/>
        <v/>
      </c>
      <c r="H97" s="1222" t="str">
        <f t="shared" si="70"/>
        <v/>
      </c>
      <c r="I97" s="1221" t="str">
        <f t="shared" si="71"/>
        <v/>
      </c>
      <c r="J97" s="1221" t="str">
        <f t="shared" si="72"/>
        <v/>
      </c>
      <c r="K97" s="1223" t="str">
        <f t="shared" si="106"/>
        <v/>
      </c>
      <c r="L97" s="1216"/>
      <c r="M97" s="1224" t="str">
        <f t="shared" ref="M97:N97" si="108">IF(M65="","",M65)</f>
        <v/>
      </c>
      <c r="N97" s="1225" t="str">
        <f t="shared" si="108"/>
        <v/>
      </c>
      <c r="O97" s="1226" t="str">
        <f t="shared" si="77"/>
        <v/>
      </c>
      <c r="P97" s="1226" t="str">
        <f t="shared" si="78"/>
        <v/>
      </c>
      <c r="Q97" s="1227" t="str">
        <f t="shared" si="79"/>
        <v/>
      </c>
      <c r="R97" s="1216"/>
      <c r="S97" s="1228" t="str">
        <f t="shared" si="80"/>
        <v/>
      </c>
      <c r="T97" s="1228" t="str">
        <f t="shared" si="81"/>
        <v/>
      </c>
      <c r="U97" s="1229" t="str">
        <f t="shared" si="74"/>
        <v/>
      </c>
      <c r="V97" s="1212"/>
      <c r="W97" s="723"/>
      <c r="X97" s="604"/>
      <c r="Y97" s="604"/>
      <c r="Z97" s="890" t="str">
        <f t="shared" si="75"/>
        <v/>
      </c>
      <c r="AA97" s="865">
        <f t="shared" si="82"/>
        <v>0.62</v>
      </c>
      <c r="AB97" s="891" t="e">
        <f t="shared" si="83"/>
        <v>#VALUE!</v>
      </c>
      <c r="AC97" s="891" t="e">
        <f t="shared" si="84"/>
        <v>#VALUE!</v>
      </c>
      <c r="AD97" s="891" t="e">
        <f t="shared" si="85"/>
        <v>#VALUE!</v>
      </c>
      <c r="AE97" s="892" t="e">
        <f t="shared" si="86"/>
        <v>#VALUE!</v>
      </c>
      <c r="AF97" s="893" t="e">
        <f t="shared" si="87"/>
        <v>#VALUE!</v>
      </c>
      <c r="AG97" s="865">
        <f>IF(H97&gt;8,tab!C$132,tab!C$134)</f>
        <v>0.5</v>
      </c>
      <c r="AH97" s="866">
        <f t="shared" si="88"/>
        <v>0</v>
      </c>
      <c r="AI97" s="864">
        <f t="shared" si="89"/>
        <v>0</v>
      </c>
      <c r="AJ97" s="894"/>
      <c r="AK97" s="837"/>
      <c r="AL97" s="837"/>
      <c r="AM97" s="837"/>
      <c r="AN97" s="895"/>
      <c r="AO97" s="837"/>
      <c r="AP97" s="837"/>
      <c r="AQ97" s="874"/>
      <c r="AR97" s="837"/>
      <c r="AS97" s="837"/>
      <c r="AT97" s="837"/>
      <c r="AU97" s="836"/>
      <c r="AV97" s="836"/>
      <c r="AW97" s="869"/>
      <c r="AX97" s="836"/>
      <c r="AY97" s="837"/>
      <c r="AZ97" s="713"/>
    </row>
    <row r="98" spans="3:59" s="526" customFormat="1" ht="12.75" customHeight="1" x14ac:dyDescent="0.2">
      <c r="C98" s="1037"/>
      <c r="D98" s="1219" t="str">
        <f t="shared" si="105"/>
        <v/>
      </c>
      <c r="E98" s="1219" t="str">
        <f t="shared" si="105"/>
        <v/>
      </c>
      <c r="F98" s="1219" t="str">
        <f t="shared" si="105"/>
        <v/>
      </c>
      <c r="G98" s="1221" t="str">
        <f t="shared" si="69"/>
        <v/>
      </c>
      <c r="H98" s="1222" t="str">
        <f t="shared" si="70"/>
        <v/>
      </c>
      <c r="I98" s="1221" t="str">
        <f t="shared" si="71"/>
        <v/>
      </c>
      <c r="J98" s="1221" t="str">
        <f t="shared" si="72"/>
        <v/>
      </c>
      <c r="K98" s="1223" t="str">
        <f t="shared" si="106"/>
        <v/>
      </c>
      <c r="L98" s="1216"/>
      <c r="M98" s="1224" t="str">
        <f t="shared" ref="M98:N98" si="109">IF(M66="","",M66)</f>
        <v/>
      </c>
      <c r="N98" s="1225" t="str">
        <f t="shared" si="109"/>
        <v/>
      </c>
      <c r="O98" s="1226" t="str">
        <f t="shared" si="77"/>
        <v/>
      </c>
      <c r="P98" s="1226" t="str">
        <f t="shared" si="78"/>
        <v/>
      </c>
      <c r="Q98" s="1227" t="str">
        <f t="shared" si="79"/>
        <v/>
      </c>
      <c r="R98" s="1216"/>
      <c r="S98" s="1228" t="str">
        <f t="shared" si="80"/>
        <v/>
      </c>
      <c r="T98" s="1228" t="str">
        <f t="shared" si="81"/>
        <v/>
      </c>
      <c r="U98" s="1229" t="str">
        <f t="shared" si="74"/>
        <v/>
      </c>
      <c r="V98" s="1212"/>
      <c r="W98" s="723"/>
      <c r="X98" s="604"/>
      <c r="Y98" s="604"/>
      <c r="Z98" s="890" t="str">
        <f t="shared" si="75"/>
        <v/>
      </c>
      <c r="AA98" s="865">
        <f t="shared" si="82"/>
        <v>0.62</v>
      </c>
      <c r="AB98" s="891" t="e">
        <f t="shared" si="83"/>
        <v>#VALUE!</v>
      </c>
      <c r="AC98" s="891" t="e">
        <f t="shared" si="84"/>
        <v>#VALUE!</v>
      </c>
      <c r="AD98" s="891" t="e">
        <f t="shared" si="85"/>
        <v>#VALUE!</v>
      </c>
      <c r="AE98" s="892" t="e">
        <f t="shared" si="86"/>
        <v>#VALUE!</v>
      </c>
      <c r="AF98" s="893" t="e">
        <f t="shared" si="87"/>
        <v>#VALUE!</v>
      </c>
      <c r="AG98" s="865">
        <f>IF(H98&gt;8,tab!C$132,tab!C$134)</f>
        <v>0.5</v>
      </c>
      <c r="AH98" s="866">
        <f t="shared" si="88"/>
        <v>0</v>
      </c>
      <c r="AI98" s="864">
        <f t="shared" si="89"/>
        <v>0</v>
      </c>
      <c r="AJ98" s="894"/>
      <c r="AK98" s="837"/>
      <c r="AL98" s="837"/>
      <c r="AM98" s="837"/>
      <c r="AN98" s="895"/>
      <c r="AO98" s="837"/>
      <c r="AP98" s="837"/>
      <c r="AQ98" s="874"/>
      <c r="AR98" s="837"/>
      <c r="AS98" s="837"/>
      <c r="AT98" s="837"/>
      <c r="AU98" s="836"/>
      <c r="AV98" s="836"/>
      <c r="AW98" s="869"/>
      <c r="AX98" s="836"/>
      <c r="AY98" s="837"/>
      <c r="AZ98" s="713"/>
    </row>
    <row r="99" spans="3:59" s="526" customFormat="1" ht="12.75" customHeight="1" x14ac:dyDescent="0.2">
      <c r="C99" s="1037"/>
      <c r="D99" s="1219" t="str">
        <f t="shared" si="105"/>
        <v/>
      </c>
      <c r="E99" s="1219" t="str">
        <f t="shared" si="105"/>
        <v/>
      </c>
      <c r="F99" s="1219" t="str">
        <f t="shared" si="105"/>
        <v/>
      </c>
      <c r="G99" s="1221" t="str">
        <f t="shared" si="69"/>
        <v/>
      </c>
      <c r="H99" s="1222" t="str">
        <f t="shared" si="70"/>
        <v/>
      </c>
      <c r="I99" s="1221" t="str">
        <f t="shared" si="71"/>
        <v/>
      </c>
      <c r="J99" s="1221" t="str">
        <f t="shared" si="72"/>
        <v/>
      </c>
      <c r="K99" s="1223" t="str">
        <f t="shared" si="106"/>
        <v/>
      </c>
      <c r="L99" s="1216"/>
      <c r="M99" s="1224" t="str">
        <f t="shared" ref="M99:N99" si="110">IF(M67="","",M67)</f>
        <v/>
      </c>
      <c r="N99" s="1225" t="str">
        <f t="shared" si="110"/>
        <v/>
      </c>
      <c r="O99" s="1226" t="str">
        <f t="shared" si="77"/>
        <v/>
      </c>
      <c r="P99" s="1226" t="str">
        <f t="shared" si="78"/>
        <v/>
      </c>
      <c r="Q99" s="1227" t="str">
        <f t="shared" si="79"/>
        <v/>
      </c>
      <c r="R99" s="1216"/>
      <c r="S99" s="1228" t="str">
        <f t="shared" si="80"/>
        <v/>
      </c>
      <c r="T99" s="1228" t="str">
        <f t="shared" si="81"/>
        <v/>
      </c>
      <c r="U99" s="1229" t="str">
        <f t="shared" si="74"/>
        <v/>
      </c>
      <c r="V99" s="1212"/>
      <c r="W99" s="723"/>
      <c r="X99" s="604"/>
      <c r="Y99" s="604"/>
      <c r="Z99" s="890" t="str">
        <f t="shared" si="75"/>
        <v/>
      </c>
      <c r="AA99" s="865">
        <f t="shared" si="82"/>
        <v>0.62</v>
      </c>
      <c r="AB99" s="891" t="e">
        <f t="shared" si="83"/>
        <v>#VALUE!</v>
      </c>
      <c r="AC99" s="891" t="e">
        <f t="shared" si="84"/>
        <v>#VALUE!</v>
      </c>
      <c r="AD99" s="891" t="e">
        <f t="shared" si="85"/>
        <v>#VALUE!</v>
      </c>
      <c r="AE99" s="892" t="e">
        <f t="shared" si="86"/>
        <v>#VALUE!</v>
      </c>
      <c r="AF99" s="893" t="e">
        <f t="shared" si="87"/>
        <v>#VALUE!</v>
      </c>
      <c r="AG99" s="865">
        <f>IF(H99&gt;8,tab!C$132,tab!C$134)</f>
        <v>0.5</v>
      </c>
      <c r="AH99" s="866">
        <f t="shared" si="88"/>
        <v>0</v>
      </c>
      <c r="AI99" s="864">
        <f t="shared" si="89"/>
        <v>0</v>
      </c>
      <c r="AJ99" s="894"/>
      <c r="AK99" s="837"/>
      <c r="AL99" s="837"/>
      <c r="AM99" s="837"/>
      <c r="AN99" s="895"/>
      <c r="AO99" s="837"/>
      <c r="AP99" s="837"/>
      <c r="AQ99" s="874"/>
      <c r="AR99" s="837"/>
      <c r="AS99" s="837"/>
      <c r="AT99" s="837"/>
      <c r="AU99" s="836"/>
      <c r="AV99" s="836"/>
      <c r="AW99" s="869"/>
      <c r="AX99" s="836"/>
      <c r="AY99" s="837"/>
      <c r="AZ99" s="713"/>
    </row>
    <row r="100" spans="3:59" s="526" customFormat="1" ht="12.75" customHeight="1" x14ac:dyDescent="0.2">
      <c r="C100" s="1037"/>
      <c r="D100" s="1219" t="str">
        <f t="shared" si="105"/>
        <v/>
      </c>
      <c r="E100" s="1219" t="str">
        <f t="shared" si="105"/>
        <v/>
      </c>
      <c r="F100" s="1219" t="str">
        <f t="shared" si="105"/>
        <v/>
      </c>
      <c r="G100" s="1221" t="str">
        <f t="shared" si="69"/>
        <v/>
      </c>
      <c r="H100" s="1222" t="str">
        <f t="shared" si="70"/>
        <v/>
      </c>
      <c r="I100" s="1221" t="str">
        <f t="shared" si="71"/>
        <v/>
      </c>
      <c r="J100" s="1221" t="str">
        <f t="shared" si="72"/>
        <v/>
      </c>
      <c r="K100" s="1223" t="str">
        <f t="shared" si="106"/>
        <v/>
      </c>
      <c r="L100" s="1216"/>
      <c r="M100" s="1224" t="str">
        <f t="shared" ref="M100:N100" si="111">IF(M68="","",M68)</f>
        <v/>
      </c>
      <c r="N100" s="1225" t="str">
        <f t="shared" si="111"/>
        <v/>
      </c>
      <c r="O100" s="1226" t="str">
        <f t="shared" si="77"/>
        <v/>
      </c>
      <c r="P100" s="1226" t="str">
        <f t="shared" si="78"/>
        <v/>
      </c>
      <c r="Q100" s="1227" t="str">
        <f t="shared" si="79"/>
        <v/>
      </c>
      <c r="R100" s="1216"/>
      <c r="S100" s="1228" t="str">
        <f t="shared" si="80"/>
        <v/>
      </c>
      <c r="T100" s="1228" t="str">
        <f t="shared" si="81"/>
        <v/>
      </c>
      <c r="U100" s="1229" t="str">
        <f t="shared" si="74"/>
        <v/>
      </c>
      <c r="V100" s="1212"/>
      <c r="W100" s="723"/>
      <c r="X100" s="604"/>
      <c r="Y100" s="604"/>
      <c r="Z100" s="890" t="str">
        <f t="shared" si="75"/>
        <v/>
      </c>
      <c r="AA100" s="865">
        <f t="shared" si="82"/>
        <v>0.62</v>
      </c>
      <c r="AB100" s="891" t="e">
        <f t="shared" si="83"/>
        <v>#VALUE!</v>
      </c>
      <c r="AC100" s="891" t="e">
        <f t="shared" si="84"/>
        <v>#VALUE!</v>
      </c>
      <c r="AD100" s="891" t="e">
        <f t="shared" si="85"/>
        <v>#VALUE!</v>
      </c>
      <c r="AE100" s="892" t="e">
        <f t="shared" si="86"/>
        <v>#VALUE!</v>
      </c>
      <c r="AF100" s="893" t="e">
        <f t="shared" si="87"/>
        <v>#VALUE!</v>
      </c>
      <c r="AG100" s="865">
        <f>IF(H100&gt;8,tab!C$132,tab!C$134)</f>
        <v>0.5</v>
      </c>
      <c r="AH100" s="866">
        <f t="shared" si="88"/>
        <v>0</v>
      </c>
      <c r="AI100" s="864">
        <f t="shared" si="89"/>
        <v>0</v>
      </c>
      <c r="AJ100" s="894"/>
      <c r="AK100" s="837"/>
      <c r="AL100" s="837"/>
      <c r="AM100" s="837"/>
      <c r="AN100" s="895"/>
      <c r="AO100" s="837"/>
      <c r="AP100" s="837"/>
      <c r="AQ100" s="874"/>
      <c r="AR100" s="837"/>
      <c r="AS100" s="837"/>
      <c r="AT100" s="837"/>
      <c r="AU100" s="836"/>
      <c r="AV100" s="836"/>
      <c r="AW100" s="869"/>
      <c r="AX100" s="836"/>
      <c r="AY100" s="837"/>
      <c r="AZ100" s="713"/>
    </row>
    <row r="101" spans="3:59" s="526" customFormat="1" x14ac:dyDescent="0.2">
      <c r="C101" s="1037"/>
      <c r="D101" s="1474"/>
      <c r="E101" s="1474"/>
      <c r="F101" s="1474"/>
      <c r="G101" s="1475"/>
      <c r="H101" s="1476"/>
      <c r="I101" s="1475"/>
      <c r="J101" s="1477"/>
      <c r="K101" s="1478">
        <f>SUM(K81:K100)</f>
        <v>1</v>
      </c>
      <c r="L101" s="1218"/>
      <c r="M101" s="1479">
        <f>SUM(M81:M100)</f>
        <v>0</v>
      </c>
      <c r="N101" s="1479">
        <f>SUM(N81:N100)</f>
        <v>0</v>
      </c>
      <c r="O101" s="1232">
        <f t="shared" ref="O101" si="112">SUM(O81:O100)</f>
        <v>40</v>
      </c>
      <c r="P101" s="1232">
        <f t="shared" ref="P101" si="113">SUM(P81:P100)</f>
        <v>0</v>
      </c>
      <c r="Q101" s="1232">
        <f t="shared" ref="Q101" si="114">SUM(Q81:Q100)</f>
        <v>40</v>
      </c>
      <c r="R101" s="1218"/>
      <c r="S101" s="1233">
        <f>SUM(S81:S100)</f>
        <v>82373.314719710688</v>
      </c>
      <c r="T101" s="1233">
        <f t="shared" ref="T101:U101" si="115">SUM(T81:T100)</f>
        <v>2035.1652802893313</v>
      </c>
      <c r="U101" s="1233">
        <f t="shared" si="115"/>
        <v>84408.480000000025</v>
      </c>
      <c r="V101" s="1213"/>
      <c r="W101" s="728"/>
      <c r="X101" s="604"/>
      <c r="Y101" s="604"/>
      <c r="Z101" s="873"/>
      <c r="AA101" s="873"/>
      <c r="AB101" s="873"/>
      <c r="AC101" s="873"/>
      <c r="AD101" s="873"/>
      <c r="AE101" s="873"/>
      <c r="AF101" s="873"/>
      <c r="AG101" s="873"/>
      <c r="AH101" s="867">
        <f t="shared" ref="AH101:AI101" si="116">SUM(AH81:AH100)</f>
        <v>0</v>
      </c>
      <c r="AI101" s="870">
        <f t="shared" si="116"/>
        <v>0</v>
      </c>
      <c r="AJ101" s="846"/>
      <c r="AK101" s="837"/>
      <c r="AL101" s="837"/>
      <c r="AM101" s="837"/>
      <c r="AN101" s="837"/>
      <c r="AO101" s="837"/>
      <c r="AP101" s="837"/>
      <c r="AQ101" s="874"/>
      <c r="AR101" s="837"/>
      <c r="AS101" s="837"/>
      <c r="AT101" s="837"/>
      <c r="AU101" s="836"/>
      <c r="AV101" s="836"/>
      <c r="AW101" s="836"/>
      <c r="AX101" s="836"/>
      <c r="AY101" s="837"/>
      <c r="AZ101" s="713"/>
    </row>
    <row r="102" spans="3:59" s="526" customFormat="1" x14ac:dyDescent="0.2">
      <c r="C102" s="1037"/>
      <c r="D102" s="1040"/>
      <c r="E102" s="1040"/>
      <c r="F102" s="1040"/>
      <c r="G102" s="1039"/>
      <c r="H102" s="1189"/>
      <c r="I102" s="1039"/>
      <c r="J102" s="1190"/>
      <c r="K102" s="1191"/>
      <c r="L102" s="1191"/>
      <c r="M102" s="1190"/>
      <c r="N102" s="1191"/>
      <c r="O102" s="1190"/>
      <c r="P102" s="1214"/>
      <c r="Q102" s="1214"/>
      <c r="R102" s="1191"/>
      <c r="S102" s="1215"/>
      <c r="T102" s="1215"/>
      <c r="U102" s="1192"/>
      <c r="V102" s="1192"/>
      <c r="W102" s="712"/>
      <c r="X102" s="604"/>
      <c r="Y102" s="604"/>
      <c r="Z102" s="873"/>
      <c r="AA102" s="873"/>
      <c r="AB102" s="873"/>
      <c r="AC102" s="873"/>
      <c r="AD102" s="873"/>
      <c r="AE102" s="873"/>
      <c r="AF102" s="873"/>
      <c r="AG102" s="873"/>
      <c r="AH102" s="867"/>
      <c r="AI102" s="870"/>
      <c r="AJ102" s="846"/>
      <c r="AK102" s="837"/>
      <c r="AL102" s="837"/>
      <c r="AM102" s="837"/>
      <c r="AN102" s="837"/>
      <c r="AO102" s="837"/>
      <c r="AP102" s="837"/>
      <c r="AQ102" s="874"/>
      <c r="AR102" s="837"/>
      <c r="AS102" s="837"/>
      <c r="AT102" s="837"/>
      <c r="AU102" s="836"/>
      <c r="AV102" s="836"/>
      <c r="AW102" s="836"/>
      <c r="AX102" s="836"/>
      <c r="AY102" s="837"/>
      <c r="AZ102" s="713"/>
    </row>
    <row r="103" spans="3:59" s="526" customFormat="1" x14ac:dyDescent="0.2">
      <c r="D103" s="708"/>
      <c r="E103" s="708"/>
      <c r="F103" s="708"/>
      <c r="G103" s="527"/>
      <c r="H103" s="709"/>
      <c r="I103" s="710"/>
      <c r="J103" s="710"/>
      <c r="K103" s="711"/>
      <c r="L103" s="711"/>
      <c r="M103" s="710"/>
      <c r="N103" s="711"/>
      <c r="O103" s="710"/>
      <c r="P103" s="527"/>
      <c r="Q103" s="527"/>
      <c r="R103" s="711"/>
      <c r="U103" s="712"/>
      <c r="V103" s="712"/>
      <c r="W103" s="712"/>
      <c r="X103" s="604"/>
      <c r="Y103" s="604"/>
      <c r="Z103" s="873"/>
      <c r="AA103" s="873"/>
      <c r="AB103" s="873"/>
      <c r="AC103" s="873"/>
      <c r="AD103" s="873"/>
      <c r="AE103" s="873"/>
      <c r="AF103" s="873"/>
      <c r="AG103" s="873"/>
      <c r="AH103" s="866"/>
      <c r="AI103" s="864"/>
      <c r="AJ103" s="837"/>
      <c r="AK103" s="837"/>
      <c r="AL103" s="837"/>
      <c r="AM103" s="837"/>
      <c r="AN103" s="837"/>
      <c r="AO103" s="837"/>
      <c r="AP103" s="837"/>
      <c r="AQ103" s="874"/>
      <c r="AR103" s="837"/>
      <c r="AS103" s="837"/>
      <c r="AT103" s="837"/>
      <c r="AU103" s="836"/>
      <c r="AV103" s="836"/>
      <c r="AW103" s="836"/>
      <c r="AX103" s="836"/>
      <c r="AY103" s="837"/>
      <c r="AZ103" s="713"/>
    </row>
    <row r="104" spans="3:59" s="707" customFormat="1" x14ac:dyDescent="0.2">
      <c r="D104" s="729"/>
      <c r="E104" s="729"/>
      <c r="F104" s="729"/>
      <c r="G104" s="720"/>
      <c r="H104" s="730"/>
      <c r="I104" s="731"/>
      <c r="J104" s="731"/>
      <c r="K104" s="733"/>
      <c r="L104" s="733"/>
      <c r="M104" s="731"/>
      <c r="N104" s="733"/>
      <c r="O104" s="731"/>
      <c r="P104" s="720"/>
      <c r="Q104" s="720"/>
      <c r="R104" s="733"/>
      <c r="U104" s="712"/>
      <c r="V104" s="712"/>
      <c r="W104" s="712"/>
      <c r="X104" s="604"/>
      <c r="Y104" s="604"/>
      <c r="Z104" s="873"/>
      <c r="AA104" s="873"/>
      <c r="AB104" s="873"/>
      <c r="AC104" s="873"/>
      <c r="AD104" s="873"/>
      <c r="AE104" s="873"/>
      <c r="AF104" s="873"/>
      <c r="AG104" s="873"/>
      <c r="AH104" s="867"/>
      <c r="AI104" s="870"/>
      <c r="AJ104" s="872"/>
      <c r="AK104" s="872"/>
      <c r="AL104" s="872"/>
      <c r="AM104" s="872"/>
      <c r="AN104" s="872"/>
      <c r="AO104" s="872"/>
      <c r="AP104" s="872"/>
      <c r="AQ104" s="896"/>
      <c r="AR104" s="872"/>
      <c r="AS104" s="872"/>
      <c r="AT104" s="872"/>
      <c r="AU104" s="871"/>
      <c r="AV104" s="871"/>
      <c r="AW104" s="871"/>
      <c r="AX104" s="871"/>
      <c r="AY104" s="872"/>
      <c r="AZ104" s="721"/>
      <c r="BG104" s="526"/>
    </row>
    <row r="105" spans="3:59" s="526" customFormat="1" x14ac:dyDescent="0.2">
      <c r="C105" s="526" t="s">
        <v>255</v>
      </c>
      <c r="D105" s="708"/>
      <c r="E105" s="724" t="str">
        <f>tab!F2</f>
        <v>2018/19</v>
      </c>
      <c r="F105" s="708"/>
      <c r="G105" s="527"/>
      <c r="H105" s="709"/>
      <c r="I105" s="710"/>
      <c r="J105" s="710"/>
      <c r="K105" s="711"/>
      <c r="L105" s="711"/>
      <c r="M105" s="710"/>
      <c r="N105" s="711"/>
      <c r="O105" s="710"/>
      <c r="P105" s="527"/>
      <c r="Q105" s="527"/>
      <c r="R105" s="711"/>
      <c r="U105" s="712"/>
      <c r="V105" s="712"/>
      <c r="W105" s="712"/>
      <c r="X105" s="604"/>
      <c r="Y105" s="604"/>
      <c r="Z105" s="873"/>
      <c r="AA105" s="873"/>
      <c r="AB105" s="873"/>
      <c r="AC105" s="873"/>
      <c r="AD105" s="873"/>
      <c r="AE105" s="873"/>
      <c r="AF105" s="873"/>
      <c r="AG105" s="873"/>
      <c r="AH105" s="866"/>
      <c r="AI105" s="864"/>
      <c r="AJ105" s="837"/>
      <c r="AK105" s="837"/>
      <c r="AL105" s="837"/>
      <c r="AM105" s="837"/>
      <c r="AN105" s="837"/>
      <c r="AO105" s="837"/>
      <c r="AP105" s="837"/>
      <c r="AQ105" s="874"/>
      <c r="AR105" s="837"/>
      <c r="AS105" s="837"/>
      <c r="AT105" s="837"/>
      <c r="AU105" s="836"/>
      <c r="AV105" s="836"/>
      <c r="AW105" s="836"/>
      <c r="AX105" s="836"/>
      <c r="AY105" s="837"/>
      <c r="AZ105" s="713"/>
    </row>
    <row r="106" spans="3:59" s="526" customFormat="1" x14ac:dyDescent="0.2">
      <c r="C106" s="526" t="s">
        <v>256</v>
      </c>
      <c r="D106" s="708"/>
      <c r="E106" s="724">
        <f>+tab!G3</f>
        <v>43374</v>
      </c>
      <c r="F106" s="708"/>
      <c r="G106" s="527"/>
      <c r="H106" s="709"/>
      <c r="I106" s="710"/>
      <c r="J106" s="710"/>
      <c r="K106" s="711"/>
      <c r="L106" s="711"/>
      <c r="M106" s="710"/>
      <c r="N106" s="711"/>
      <c r="O106" s="710"/>
      <c r="P106" s="527"/>
      <c r="Q106" s="527"/>
      <c r="R106" s="711"/>
      <c r="U106" s="712"/>
      <c r="V106" s="712"/>
      <c r="W106" s="712"/>
      <c r="X106" s="604"/>
      <c r="Y106" s="604"/>
      <c r="Z106" s="873"/>
      <c r="AA106" s="873"/>
      <c r="AB106" s="873"/>
      <c r="AC106" s="873"/>
      <c r="AD106" s="873"/>
      <c r="AE106" s="873"/>
      <c r="AF106" s="873"/>
      <c r="AG106" s="873"/>
      <c r="AH106" s="866"/>
      <c r="AI106" s="864"/>
      <c r="AJ106" s="837"/>
      <c r="AK106" s="837"/>
      <c r="AL106" s="837"/>
      <c r="AM106" s="837"/>
      <c r="AN106" s="837"/>
      <c r="AO106" s="837"/>
      <c r="AP106" s="837"/>
      <c r="AQ106" s="874"/>
      <c r="AR106" s="837"/>
      <c r="AS106" s="837"/>
      <c r="AT106" s="837"/>
      <c r="AU106" s="836"/>
      <c r="AV106" s="836"/>
      <c r="AW106" s="836"/>
      <c r="AX106" s="836"/>
      <c r="AY106" s="837"/>
      <c r="AZ106" s="713"/>
    </row>
    <row r="107" spans="3:59" s="707" customFormat="1" x14ac:dyDescent="0.2">
      <c r="D107" s="729"/>
      <c r="E107" s="729"/>
      <c r="F107" s="729"/>
      <c r="G107" s="720"/>
      <c r="H107" s="730"/>
      <c r="I107" s="731"/>
      <c r="J107" s="731"/>
      <c r="K107" s="733"/>
      <c r="L107" s="733"/>
      <c r="M107" s="731"/>
      <c r="N107" s="733"/>
      <c r="O107" s="731"/>
      <c r="P107" s="720"/>
      <c r="Q107" s="720"/>
      <c r="R107" s="733"/>
      <c r="U107" s="712"/>
      <c r="V107" s="712"/>
      <c r="W107" s="712"/>
      <c r="X107" s="604"/>
      <c r="Y107" s="604"/>
      <c r="Z107" s="873"/>
      <c r="AA107" s="873"/>
      <c r="AB107" s="873"/>
      <c r="AC107" s="873"/>
      <c r="AD107" s="873"/>
      <c r="AE107" s="873"/>
      <c r="AF107" s="873"/>
      <c r="AG107" s="873"/>
      <c r="AH107" s="867"/>
      <c r="AI107" s="870"/>
      <c r="AJ107" s="872"/>
      <c r="AK107" s="872"/>
      <c r="AL107" s="872"/>
      <c r="AM107" s="872"/>
      <c r="AN107" s="872"/>
      <c r="AO107" s="872"/>
      <c r="AP107" s="872"/>
      <c r="AQ107" s="896"/>
      <c r="AR107" s="872"/>
      <c r="AS107" s="872"/>
      <c r="AT107" s="872"/>
      <c r="AU107" s="871"/>
      <c r="AV107" s="871"/>
      <c r="AW107" s="871"/>
      <c r="AX107" s="871"/>
      <c r="AY107" s="872"/>
      <c r="AZ107" s="721"/>
      <c r="BG107" s="526"/>
    </row>
    <row r="108" spans="3:59" s="526" customFormat="1" ht="12.75" customHeight="1" x14ac:dyDescent="0.2">
      <c r="C108" s="1037"/>
      <c r="D108" s="1040"/>
      <c r="E108" s="1092"/>
      <c r="F108" s="1040"/>
      <c r="G108" s="1039"/>
      <c r="H108" s="1189"/>
      <c r="I108" s="1190"/>
      <c r="J108" s="1190"/>
      <c r="K108" s="1191"/>
      <c r="L108" s="1191"/>
      <c r="M108" s="1190"/>
      <c r="N108" s="1191"/>
      <c r="O108" s="1190"/>
      <c r="P108" s="1039"/>
      <c r="Q108" s="1039"/>
      <c r="R108" s="1191"/>
      <c r="S108" s="1037"/>
      <c r="T108" s="1037"/>
      <c r="U108" s="1192"/>
      <c r="V108" s="1192"/>
      <c r="W108" s="712"/>
      <c r="X108" s="604"/>
      <c r="Y108" s="604"/>
      <c r="Z108" s="873"/>
      <c r="AA108" s="873"/>
      <c r="AB108" s="873"/>
      <c r="AC108" s="873"/>
      <c r="AD108" s="873"/>
      <c r="AE108" s="873"/>
      <c r="AF108" s="873"/>
      <c r="AG108" s="873"/>
      <c r="AH108" s="866"/>
      <c r="AI108" s="864"/>
      <c r="AJ108" s="837"/>
      <c r="AK108" s="837"/>
      <c r="AL108" s="837"/>
      <c r="AM108" s="837"/>
      <c r="AN108" s="837"/>
      <c r="AO108" s="837"/>
      <c r="AP108" s="851"/>
      <c r="AQ108" s="889"/>
      <c r="AR108" s="851"/>
      <c r="AS108" s="851"/>
      <c r="AT108" s="851"/>
      <c r="AU108" s="844"/>
      <c r="AV108" s="850"/>
      <c r="AW108" s="851"/>
      <c r="AX108" s="852"/>
      <c r="AY108" s="853"/>
      <c r="AZ108" s="715"/>
      <c r="BG108" s="707"/>
    </row>
    <row r="109" spans="3:59" s="690" customFormat="1" ht="12.75" customHeight="1" x14ac:dyDescent="0.2">
      <c r="C109" s="1193"/>
      <c r="D109" s="1194" t="s">
        <v>257</v>
      </c>
      <c r="E109" s="1195"/>
      <c r="F109" s="1195"/>
      <c r="G109" s="1195"/>
      <c r="H109" s="1195"/>
      <c r="I109" s="1195"/>
      <c r="J109" s="1195"/>
      <c r="K109" s="1195"/>
      <c r="L109" s="1195"/>
      <c r="M109" s="1194" t="s">
        <v>865</v>
      </c>
      <c r="N109" s="1196"/>
      <c r="O109" s="1196"/>
      <c r="P109" s="1196"/>
      <c r="Q109" s="1196"/>
      <c r="R109" s="1195"/>
      <c r="S109" s="1539" t="s">
        <v>866</v>
      </c>
      <c r="T109" s="1539"/>
      <c r="U109" s="1540"/>
      <c r="V109" s="1197"/>
      <c r="W109" s="725"/>
      <c r="X109" s="604"/>
      <c r="Y109" s="604"/>
      <c r="Z109" s="873"/>
      <c r="AA109" s="873"/>
      <c r="AB109" s="873"/>
      <c r="AC109" s="873"/>
      <c r="AD109" s="873"/>
      <c r="AE109" s="873"/>
      <c r="AF109" s="873"/>
      <c r="AG109" s="873"/>
      <c r="AH109" s="867"/>
      <c r="AI109" s="857"/>
      <c r="AJ109" s="846"/>
      <c r="AK109" s="860"/>
      <c r="AL109" s="860"/>
      <c r="AM109" s="845"/>
      <c r="AN109" s="868"/>
      <c r="AO109" s="845"/>
      <c r="AP109" s="837"/>
      <c r="AQ109" s="837"/>
      <c r="AR109" s="837"/>
      <c r="AS109" s="837"/>
      <c r="AT109" s="837"/>
      <c r="AU109" s="859"/>
      <c r="AV109" s="859"/>
      <c r="AW109" s="859"/>
      <c r="AX109" s="859"/>
      <c r="AY109" s="859"/>
      <c r="BA109" s="719"/>
      <c r="BB109" s="719"/>
    </row>
    <row r="110" spans="3:59" s="526" customFormat="1" ht="12.75" customHeight="1" x14ac:dyDescent="0.2">
      <c r="C110" s="1198"/>
      <c r="D110" s="1145" t="s">
        <v>258</v>
      </c>
      <c r="E110" s="1145" t="s">
        <v>259</v>
      </c>
      <c r="F110" s="1145" t="s">
        <v>260</v>
      </c>
      <c r="G110" s="1199" t="s">
        <v>261</v>
      </c>
      <c r="H110" s="1200" t="s">
        <v>262</v>
      </c>
      <c r="I110" s="1199" t="s">
        <v>217</v>
      </c>
      <c r="J110" s="1199" t="s">
        <v>263</v>
      </c>
      <c r="K110" s="1201" t="s">
        <v>264</v>
      </c>
      <c r="L110" s="1201"/>
      <c r="M110" s="1078" t="s">
        <v>867</v>
      </c>
      <c r="N110" s="1078" t="s">
        <v>868</v>
      </c>
      <c r="O110" s="1078" t="s">
        <v>869</v>
      </c>
      <c r="P110" s="1078" t="s">
        <v>870</v>
      </c>
      <c r="Q110" s="1202" t="s">
        <v>871</v>
      </c>
      <c r="R110" s="1201"/>
      <c r="S110" s="1203" t="s">
        <v>872</v>
      </c>
      <c r="T110" s="1203" t="s">
        <v>873</v>
      </c>
      <c r="U110" s="1203" t="s">
        <v>265</v>
      </c>
      <c r="V110" s="1204"/>
      <c r="W110" s="726"/>
      <c r="X110" s="604"/>
      <c r="Y110" s="604"/>
      <c r="Z110" s="854" t="s">
        <v>469</v>
      </c>
      <c r="AA110" s="855" t="s">
        <v>880</v>
      </c>
      <c r="AB110" s="856" t="s">
        <v>881</v>
      </c>
      <c r="AC110" s="856" t="s">
        <v>881</v>
      </c>
      <c r="AD110" s="856" t="s">
        <v>882</v>
      </c>
      <c r="AE110" s="856" t="s">
        <v>883</v>
      </c>
      <c r="AF110" s="856" t="s">
        <v>884</v>
      </c>
      <c r="AG110" s="856" t="s">
        <v>885</v>
      </c>
      <c r="AH110" s="856" t="s">
        <v>267</v>
      </c>
      <c r="AI110" s="857" t="s">
        <v>482</v>
      </c>
      <c r="AJ110" s="861"/>
      <c r="AK110" s="862"/>
      <c r="AL110" s="862"/>
      <c r="AM110" s="855"/>
      <c r="AN110" s="854"/>
      <c r="AO110" s="855"/>
      <c r="AP110" s="837"/>
      <c r="AQ110" s="837"/>
      <c r="AR110" s="837"/>
      <c r="AS110" s="837"/>
      <c r="AT110" s="837"/>
      <c r="AU110" s="836"/>
      <c r="AV110" s="836"/>
      <c r="AW110" s="836"/>
      <c r="AX110" s="836"/>
      <c r="AY110" s="836"/>
      <c r="BA110" s="719"/>
      <c r="BB110" s="717"/>
    </row>
    <row r="111" spans="3:59" s="526" customFormat="1" ht="12.75" customHeight="1" x14ac:dyDescent="0.2">
      <c r="C111" s="1198"/>
      <c r="D111" s="1205"/>
      <c r="E111" s="1145"/>
      <c r="F111" s="1206"/>
      <c r="G111" s="1199" t="s">
        <v>269</v>
      </c>
      <c r="H111" s="1200" t="s">
        <v>270</v>
      </c>
      <c r="I111" s="1199"/>
      <c r="J111" s="1199"/>
      <c r="K111" s="1201"/>
      <c r="L111" s="1201"/>
      <c r="M111" s="1078" t="s">
        <v>874</v>
      </c>
      <c r="N111" s="1078" t="s">
        <v>875</v>
      </c>
      <c r="O111" s="1078" t="s">
        <v>876</v>
      </c>
      <c r="P111" s="1078" t="s">
        <v>877</v>
      </c>
      <c r="Q111" s="1202" t="s">
        <v>173</v>
      </c>
      <c r="R111" s="1201"/>
      <c r="S111" s="1203" t="s">
        <v>878</v>
      </c>
      <c r="T111" s="1203" t="s">
        <v>879</v>
      </c>
      <c r="U111" s="1203" t="s">
        <v>173</v>
      </c>
      <c r="V111" s="1204"/>
      <c r="W111" s="726"/>
      <c r="X111" s="604"/>
      <c r="Y111" s="604"/>
      <c r="Z111" s="856" t="s">
        <v>886</v>
      </c>
      <c r="AA111" s="858">
        <f>AA$14</f>
        <v>0.62</v>
      </c>
      <c r="AB111" s="856" t="s">
        <v>887</v>
      </c>
      <c r="AC111" s="856" t="s">
        <v>888</v>
      </c>
      <c r="AD111" s="856" t="s">
        <v>889</v>
      </c>
      <c r="AE111" s="856" t="s">
        <v>890</v>
      </c>
      <c r="AF111" s="856" t="s">
        <v>890</v>
      </c>
      <c r="AG111" s="856" t="s">
        <v>891</v>
      </c>
      <c r="AH111" s="856"/>
      <c r="AI111" s="856" t="s">
        <v>266</v>
      </c>
      <c r="AJ111" s="837"/>
      <c r="AK111" s="837"/>
      <c r="AL111" s="837"/>
      <c r="AM111" s="837"/>
      <c r="AN111" s="837"/>
      <c r="AO111" s="837"/>
      <c r="AP111" s="837"/>
      <c r="AQ111" s="837"/>
      <c r="AR111" s="837"/>
      <c r="AS111" s="837"/>
      <c r="AT111" s="837"/>
      <c r="AU111" s="836"/>
      <c r="AV111" s="836"/>
      <c r="AW111" s="836"/>
      <c r="AX111" s="836"/>
      <c r="AY111" s="836"/>
      <c r="BB111" s="718"/>
    </row>
    <row r="112" spans="3:59" s="526" customFormat="1" ht="12.75" customHeight="1" x14ac:dyDescent="0.2">
      <c r="C112" s="1037"/>
      <c r="D112" s="1097"/>
      <c r="E112" s="1097"/>
      <c r="F112" s="1097"/>
      <c r="G112" s="1044"/>
      <c r="H112" s="1470"/>
      <c r="I112" s="1471"/>
      <c r="J112" s="1471"/>
      <c r="K112" s="1472"/>
      <c r="L112" s="1208"/>
      <c r="M112" s="1473"/>
      <c r="N112" s="1472"/>
      <c r="O112" s="1209"/>
      <c r="P112" s="1210"/>
      <c r="Q112" s="1210"/>
      <c r="R112" s="1208"/>
      <c r="S112" s="1210"/>
      <c r="T112" s="1210"/>
      <c r="U112" s="1211"/>
      <c r="V112" s="1211"/>
      <c r="W112" s="727"/>
      <c r="X112" s="604"/>
      <c r="Y112" s="604"/>
      <c r="Z112" s="873"/>
      <c r="AA112" s="873"/>
      <c r="AB112" s="873"/>
      <c r="AC112" s="873"/>
      <c r="AD112" s="873"/>
      <c r="AE112" s="873"/>
      <c r="AF112" s="873"/>
      <c r="AG112" s="873"/>
      <c r="AH112" s="863"/>
      <c r="AI112" s="864"/>
      <c r="AJ112" s="862"/>
      <c r="AK112" s="837"/>
      <c r="AL112" s="837"/>
      <c r="AM112" s="837"/>
      <c r="AN112" s="837"/>
      <c r="AO112" s="837"/>
      <c r="AP112" s="837"/>
      <c r="AQ112" s="837"/>
      <c r="AR112" s="837"/>
      <c r="AS112" s="837"/>
      <c r="AT112" s="837"/>
      <c r="AU112" s="836"/>
      <c r="AV112" s="836"/>
      <c r="AW112" s="836"/>
      <c r="AX112" s="836"/>
      <c r="AY112" s="836"/>
      <c r="BB112" s="718"/>
    </row>
    <row r="113" spans="3:52" s="526" customFormat="1" ht="12.75" customHeight="1" x14ac:dyDescent="0.2">
      <c r="C113" s="1037"/>
      <c r="D113" s="1219" t="str">
        <f t="shared" ref="D113:F124" si="117">IF(D81=0,"",D81)</f>
        <v/>
      </c>
      <c r="E113" s="1220" t="str">
        <f t="shared" si="117"/>
        <v>piet</v>
      </c>
      <c r="F113" s="1220" t="str">
        <f t="shared" si="117"/>
        <v/>
      </c>
      <c r="G113" s="1221">
        <f t="shared" ref="G113:G132" si="118">IF(G81="","",G81+1)</f>
        <v>25</v>
      </c>
      <c r="H113" s="1222">
        <f t="shared" ref="H113:H132" si="119">IF(H81=0,"",H81)</f>
        <v>29221</v>
      </c>
      <c r="I113" s="1221" t="str">
        <f t="shared" ref="I113:I132" si="120">IF(I81=0,"",I81)</f>
        <v>LC</v>
      </c>
      <c r="J113" s="1221">
        <f t="shared" ref="J113:J132" si="121">IF(E113="","",(IF((J81+1)&gt;VLOOKUP(I113,tabelsalaris16,23,FALSE),J81,J81+1)))</f>
        <v>15</v>
      </c>
      <c r="K113" s="1223">
        <f t="shared" ref="K113:K124" si="122">IF(K81="","",K81)</f>
        <v>1</v>
      </c>
      <c r="L113" s="1216"/>
      <c r="M113" s="1224">
        <f>IF(M81="","",M81)</f>
        <v>0</v>
      </c>
      <c r="N113" s="1225">
        <f>IF(N81="","",N81)</f>
        <v>0</v>
      </c>
      <c r="O113" s="1226">
        <f>IF(K113="","",IF(K113*40&gt;40,40,K113*40))</f>
        <v>40</v>
      </c>
      <c r="P113" s="1226">
        <f>IF(I113="","",IF(OR(I113="LA",OR(I113="LB",OR(I113="LC",OR(I113="LD",OR(I113="LE"))))),1,0)*IF(J113&lt;4,IF(K113*40&gt;40,40,K113*40),0))</f>
        <v>0</v>
      </c>
      <c r="Q113" s="1227">
        <f>IF(K113="","",SUM(M113:P113))</f>
        <v>40</v>
      </c>
      <c r="R113" s="1216"/>
      <c r="S113" s="1228">
        <f>IF(J113="","",((1659*K113-Q113)*AC113))</f>
        <v>84687.811356238701</v>
      </c>
      <c r="T113" s="1228">
        <f>IF(K113="","",Q113*AD113+AB113*(AE113+AF113*(1-AG113)))</f>
        <v>2092.3486437613019</v>
      </c>
      <c r="U113" s="1229">
        <f t="shared" ref="U113:U132" si="123">IF(K113="","",(S113+T113))</f>
        <v>86780.160000000003</v>
      </c>
      <c r="V113" s="1212"/>
      <c r="W113" s="723"/>
      <c r="X113" s="604"/>
      <c r="Y113" s="604"/>
      <c r="Z113" s="890">
        <f t="shared" ref="Z113:Z132" si="124">IF(I113="","",VLOOKUP(I113,tabelsalaris16,J113+2,FALSE))</f>
        <v>4464</v>
      </c>
      <c r="AA113" s="865">
        <f>AA$14</f>
        <v>0.62</v>
      </c>
      <c r="AB113" s="891">
        <f>Z113*12/1659</f>
        <v>32.289330922242314</v>
      </c>
      <c r="AC113" s="891">
        <f>Z113*12*(1+AA113)/1659</f>
        <v>52.308716094032555</v>
      </c>
      <c r="AD113" s="891">
        <f>AC113-AB113</f>
        <v>20.01938517179024</v>
      </c>
      <c r="AE113" s="892">
        <f>O113+P113</f>
        <v>40</v>
      </c>
      <c r="AF113" s="893">
        <f>M113+N113</f>
        <v>0</v>
      </c>
      <c r="AG113" s="865">
        <f>IF(H113&gt;8,tab!C$132,tab!C$134)</f>
        <v>0.5</v>
      </c>
      <c r="AH113" s="866">
        <f>IF(G113&lt;25,0,IF(G113=25,25,IF(G113&lt;40,0,IF(G113=40,40,IF(G113&gt;=40,0)))))</f>
        <v>25</v>
      </c>
      <c r="AI113" s="864">
        <f>IF(E113="",0,IF(AH113=25,Z113*1.08*K113/2,IF(AH113=40,Z113*1.08*K113,IF(AH113=0,0))))</f>
        <v>2410.56</v>
      </c>
      <c r="AJ113" s="894"/>
      <c r="AK113" s="837"/>
      <c r="AL113" s="837"/>
      <c r="AM113" s="837"/>
      <c r="AN113" s="895"/>
      <c r="AO113" s="837"/>
      <c r="AP113" s="837"/>
      <c r="AQ113" s="874"/>
      <c r="AR113" s="837"/>
      <c r="AS113" s="837"/>
      <c r="AT113" s="837"/>
      <c r="AU113" s="836"/>
      <c r="AV113" s="836"/>
      <c r="AW113" s="869"/>
      <c r="AX113" s="836"/>
      <c r="AY113" s="837"/>
      <c r="AZ113" s="713"/>
    </row>
    <row r="114" spans="3:52" s="526" customFormat="1" ht="12.75" customHeight="1" x14ac:dyDescent="0.2">
      <c r="C114" s="1037"/>
      <c r="D114" s="1219" t="str">
        <f t="shared" si="117"/>
        <v/>
      </c>
      <c r="E114" s="1219" t="str">
        <f t="shared" si="117"/>
        <v/>
      </c>
      <c r="F114" s="1219" t="str">
        <f t="shared" si="117"/>
        <v/>
      </c>
      <c r="G114" s="1221" t="str">
        <f t="shared" si="118"/>
        <v/>
      </c>
      <c r="H114" s="1222" t="str">
        <f t="shared" si="119"/>
        <v/>
      </c>
      <c r="I114" s="1221" t="str">
        <f t="shared" si="120"/>
        <v/>
      </c>
      <c r="J114" s="1221" t="str">
        <f t="shared" si="121"/>
        <v/>
      </c>
      <c r="K114" s="1223" t="str">
        <f t="shared" si="122"/>
        <v/>
      </c>
      <c r="L114" s="1216"/>
      <c r="M114" s="1224" t="str">
        <f t="shared" ref="M114:N114" si="125">IF(M82="","",M82)</f>
        <v/>
      </c>
      <c r="N114" s="1225" t="str">
        <f t="shared" si="125"/>
        <v/>
      </c>
      <c r="O114" s="1226" t="str">
        <f t="shared" ref="O114:O132" si="126">IF(K114="","",IF(K114*40&gt;40,40,K114*40))</f>
        <v/>
      </c>
      <c r="P114" s="1226" t="str">
        <f t="shared" ref="P114:P132" si="127">IF(I114="","",IF(OR(I114="LA",OR(I114="LB",OR(I114="LC",OR(I114="LD",OR(I114="LE"))))),1,0)*IF(J114&lt;4,IF(K114*40&gt;40,40,K114*40),0))</f>
        <v/>
      </c>
      <c r="Q114" s="1227" t="str">
        <f t="shared" ref="Q114:Q132" si="128">IF(K114="","",SUM(M114:P114))</f>
        <v/>
      </c>
      <c r="R114" s="1216"/>
      <c r="S114" s="1228" t="str">
        <f t="shared" ref="S114:S132" si="129">IF(J114="","",((1659*K114-Q114)*AC114))</f>
        <v/>
      </c>
      <c r="T114" s="1228" t="str">
        <f t="shared" ref="T114:T132" si="130">IF(K114="","",Q114*AD114+AB114*(AE114+AF114*(1-AG114)))</f>
        <v/>
      </c>
      <c r="U114" s="1229" t="str">
        <f t="shared" si="123"/>
        <v/>
      </c>
      <c r="V114" s="1212"/>
      <c r="W114" s="723"/>
      <c r="X114" s="604"/>
      <c r="Y114" s="604"/>
      <c r="Z114" s="890" t="str">
        <f t="shared" si="124"/>
        <v/>
      </c>
      <c r="AA114" s="865">
        <f t="shared" ref="AA114:AA132" si="131">AA$14</f>
        <v>0.62</v>
      </c>
      <c r="AB114" s="891" t="e">
        <f t="shared" ref="AB114:AB132" si="132">Z114*12/1659</f>
        <v>#VALUE!</v>
      </c>
      <c r="AC114" s="891" t="e">
        <f t="shared" ref="AC114:AC132" si="133">Z114*12*(1+AA114)/1659</f>
        <v>#VALUE!</v>
      </c>
      <c r="AD114" s="891" t="e">
        <f t="shared" ref="AD114:AD132" si="134">AC114-AB114</f>
        <v>#VALUE!</v>
      </c>
      <c r="AE114" s="892" t="e">
        <f t="shared" ref="AE114:AE132" si="135">O114+P114</f>
        <v>#VALUE!</v>
      </c>
      <c r="AF114" s="893" t="e">
        <f t="shared" ref="AF114:AF132" si="136">M114+N114</f>
        <v>#VALUE!</v>
      </c>
      <c r="AG114" s="865">
        <f>IF(H114&gt;8,tab!C$132,tab!C$134)</f>
        <v>0.5</v>
      </c>
      <c r="AH114" s="866">
        <f t="shared" ref="AH114:AH132" si="137">IF(G114&lt;25,0,IF(G114=25,25,IF(G114&lt;40,0,IF(G114=40,40,IF(G114&gt;=40,0)))))</f>
        <v>0</v>
      </c>
      <c r="AI114" s="864">
        <f t="shared" ref="AI114:AI132" si="138">IF(E114="",0,IF(AH114=25,Z114*1.08*K114/2,IF(AH114=40,Z114*1.08*K114,IF(AH114=0,0))))</f>
        <v>0</v>
      </c>
      <c r="AJ114" s="894"/>
      <c r="AK114" s="837"/>
      <c r="AL114" s="837"/>
      <c r="AM114" s="837"/>
      <c r="AN114" s="895"/>
      <c r="AO114" s="837"/>
      <c r="AP114" s="837"/>
      <c r="AQ114" s="874"/>
      <c r="AR114" s="837"/>
      <c r="AS114" s="837"/>
      <c r="AT114" s="837"/>
      <c r="AU114" s="836"/>
      <c r="AV114" s="836"/>
      <c r="AW114" s="869"/>
      <c r="AX114" s="836"/>
      <c r="AY114" s="837"/>
      <c r="AZ114" s="713"/>
    </row>
    <row r="115" spans="3:52" s="526" customFormat="1" ht="12.75" customHeight="1" x14ac:dyDescent="0.2">
      <c r="C115" s="1037"/>
      <c r="D115" s="1219" t="str">
        <f t="shared" si="117"/>
        <v/>
      </c>
      <c r="E115" s="1220" t="str">
        <f t="shared" si="117"/>
        <v/>
      </c>
      <c r="F115" s="1220" t="str">
        <f t="shared" si="117"/>
        <v/>
      </c>
      <c r="G115" s="1124" t="str">
        <f t="shared" si="118"/>
        <v/>
      </c>
      <c r="H115" s="1230" t="str">
        <f t="shared" si="119"/>
        <v/>
      </c>
      <c r="I115" s="1221" t="str">
        <f t="shared" si="120"/>
        <v/>
      </c>
      <c r="J115" s="1124" t="str">
        <f t="shared" si="121"/>
        <v/>
      </c>
      <c r="K115" s="1231" t="str">
        <f t="shared" si="122"/>
        <v/>
      </c>
      <c r="L115" s="1217"/>
      <c r="M115" s="1224" t="str">
        <f t="shared" ref="M115:N115" si="139">IF(M83="","",M83)</f>
        <v/>
      </c>
      <c r="N115" s="1225" t="str">
        <f t="shared" si="139"/>
        <v/>
      </c>
      <c r="O115" s="1226" t="str">
        <f t="shared" si="126"/>
        <v/>
      </c>
      <c r="P115" s="1226" t="str">
        <f t="shared" si="127"/>
        <v/>
      </c>
      <c r="Q115" s="1227" t="str">
        <f t="shared" si="128"/>
        <v/>
      </c>
      <c r="R115" s="1217"/>
      <c r="S115" s="1228" t="str">
        <f t="shared" si="129"/>
        <v/>
      </c>
      <c r="T115" s="1228" t="str">
        <f t="shared" si="130"/>
        <v/>
      </c>
      <c r="U115" s="1229" t="str">
        <f t="shared" si="123"/>
        <v/>
      </c>
      <c r="V115" s="1212"/>
      <c r="W115" s="723"/>
      <c r="X115" s="604"/>
      <c r="Y115" s="604"/>
      <c r="Z115" s="890" t="str">
        <f t="shared" si="124"/>
        <v/>
      </c>
      <c r="AA115" s="865">
        <f t="shared" si="131"/>
        <v>0.62</v>
      </c>
      <c r="AB115" s="891" t="e">
        <f t="shared" si="132"/>
        <v>#VALUE!</v>
      </c>
      <c r="AC115" s="891" t="e">
        <f t="shared" si="133"/>
        <v>#VALUE!</v>
      </c>
      <c r="AD115" s="891" t="e">
        <f t="shared" si="134"/>
        <v>#VALUE!</v>
      </c>
      <c r="AE115" s="892" t="e">
        <f t="shared" si="135"/>
        <v>#VALUE!</v>
      </c>
      <c r="AF115" s="893" t="e">
        <f t="shared" si="136"/>
        <v>#VALUE!</v>
      </c>
      <c r="AG115" s="865">
        <f>IF(H115&gt;8,tab!C$132,tab!C$134)</f>
        <v>0.5</v>
      </c>
      <c r="AH115" s="866">
        <f t="shared" si="137"/>
        <v>0</v>
      </c>
      <c r="AI115" s="864">
        <f t="shared" si="138"/>
        <v>0</v>
      </c>
      <c r="AJ115" s="894"/>
      <c r="AK115" s="837"/>
      <c r="AL115" s="837"/>
      <c r="AM115" s="837"/>
      <c r="AN115" s="895"/>
      <c r="AO115" s="837"/>
      <c r="AP115" s="837"/>
      <c r="AQ115" s="874"/>
      <c r="AR115" s="837"/>
      <c r="AS115" s="837"/>
      <c r="AT115" s="837"/>
      <c r="AU115" s="836"/>
      <c r="AV115" s="836"/>
      <c r="AW115" s="869"/>
      <c r="AX115" s="836"/>
      <c r="AY115" s="837"/>
      <c r="AZ115" s="713"/>
    </row>
    <row r="116" spans="3:52" s="526" customFormat="1" ht="12.75" customHeight="1" x14ac:dyDescent="0.2">
      <c r="C116" s="1037"/>
      <c r="D116" s="1219" t="str">
        <f t="shared" si="117"/>
        <v/>
      </c>
      <c r="E116" s="1219" t="str">
        <f t="shared" si="117"/>
        <v/>
      </c>
      <c r="F116" s="1219" t="str">
        <f t="shared" si="117"/>
        <v/>
      </c>
      <c r="G116" s="1221" t="str">
        <f t="shared" si="118"/>
        <v/>
      </c>
      <c r="H116" s="1222" t="str">
        <f t="shared" si="119"/>
        <v/>
      </c>
      <c r="I116" s="1221" t="str">
        <f t="shared" si="120"/>
        <v/>
      </c>
      <c r="J116" s="1221" t="str">
        <f t="shared" si="121"/>
        <v/>
      </c>
      <c r="K116" s="1223" t="str">
        <f t="shared" si="122"/>
        <v/>
      </c>
      <c r="L116" s="1216"/>
      <c r="M116" s="1224" t="str">
        <f t="shared" ref="M116:N116" si="140">IF(M84="","",M84)</f>
        <v/>
      </c>
      <c r="N116" s="1225" t="str">
        <f t="shared" si="140"/>
        <v/>
      </c>
      <c r="O116" s="1226" t="str">
        <f t="shared" si="126"/>
        <v/>
      </c>
      <c r="P116" s="1226" t="str">
        <f t="shared" si="127"/>
        <v/>
      </c>
      <c r="Q116" s="1227" t="str">
        <f t="shared" si="128"/>
        <v/>
      </c>
      <c r="R116" s="1216"/>
      <c r="S116" s="1228" t="str">
        <f t="shared" si="129"/>
        <v/>
      </c>
      <c r="T116" s="1228" t="str">
        <f t="shared" si="130"/>
        <v/>
      </c>
      <c r="U116" s="1229" t="str">
        <f t="shared" si="123"/>
        <v/>
      </c>
      <c r="V116" s="1212"/>
      <c r="W116" s="723"/>
      <c r="X116" s="604"/>
      <c r="Y116" s="604"/>
      <c r="Z116" s="890" t="str">
        <f t="shared" si="124"/>
        <v/>
      </c>
      <c r="AA116" s="865">
        <f t="shared" si="131"/>
        <v>0.62</v>
      </c>
      <c r="AB116" s="891" t="e">
        <f t="shared" si="132"/>
        <v>#VALUE!</v>
      </c>
      <c r="AC116" s="891" t="e">
        <f t="shared" si="133"/>
        <v>#VALUE!</v>
      </c>
      <c r="AD116" s="891" t="e">
        <f t="shared" si="134"/>
        <v>#VALUE!</v>
      </c>
      <c r="AE116" s="892" t="e">
        <f t="shared" si="135"/>
        <v>#VALUE!</v>
      </c>
      <c r="AF116" s="893" t="e">
        <f t="shared" si="136"/>
        <v>#VALUE!</v>
      </c>
      <c r="AG116" s="865">
        <f>IF(H116&gt;8,tab!C$132,tab!C$134)</f>
        <v>0.5</v>
      </c>
      <c r="AH116" s="866">
        <f t="shared" si="137"/>
        <v>0</v>
      </c>
      <c r="AI116" s="864">
        <f t="shared" si="138"/>
        <v>0</v>
      </c>
      <c r="AJ116" s="894"/>
      <c r="AK116" s="837"/>
      <c r="AL116" s="837"/>
      <c r="AM116" s="837"/>
      <c r="AN116" s="895"/>
      <c r="AO116" s="837"/>
      <c r="AP116" s="837"/>
      <c r="AQ116" s="874"/>
      <c r="AR116" s="837"/>
      <c r="AS116" s="837"/>
      <c r="AT116" s="837"/>
      <c r="AU116" s="836"/>
      <c r="AV116" s="836"/>
      <c r="AW116" s="869"/>
      <c r="AX116" s="836"/>
      <c r="AY116" s="837"/>
      <c r="AZ116" s="713"/>
    </row>
    <row r="117" spans="3:52" s="526" customFormat="1" ht="12.75" customHeight="1" x14ac:dyDescent="0.2">
      <c r="C117" s="1037"/>
      <c r="D117" s="1219" t="str">
        <f t="shared" si="117"/>
        <v/>
      </c>
      <c r="E117" s="1219" t="str">
        <f t="shared" si="117"/>
        <v/>
      </c>
      <c r="F117" s="1219" t="str">
        <f t="shared" si="117"/>
        <v/>
      </c>
      <c r="G117" s="1221" t="str">
        <f t="shared" si="118"/>
        <v/>
      </c>
      <c r="H117" s="1222" t="str">
        <f t="shared" si="119"/>
        <v/>
      </c>
      <c r="I117" s="1221" t="str">
        <f t="shared" si="120"/>
        <v/>
      </c>
      <c r="J117" s="1221" t="str">
        <f t="shared" si="121"/>
        <v/>
      </c>
      <c r="K117" s="1223" t="str">
        <f t="shared" si="122"/>
        <v/>
      </c>
      <c r="L117" s="1216"/>
      <c r="M117" s="1224" t="str">
        <f t="shared" ref="M117:N117" si="141">IF(M85="","",M85)</f>
        <v/>
      </c>
      <c r="N117" s="1225" t="str">
        <f t="shared" si="141"/>
        <v/>
      </c>
      <c r="O117" s="1226" t="str">
        <f t="shared" si="126"/>
        <v/>
      </c>
      <c r="P117" s="1226" t="str">
        <f t="shared" si="127"/>
        <v/>
      </c>
      <c r="Q117" s="1227" t="str">
        <f t="shared" si="128"/>
        <v/>
      </c>
      <c r="R117" s="1216"/>
      <c r="S117" s="1228" t="str">
        <f t="shared" si="129"/>
        <v/>
      </c>
      <c r="T117" s="1228" t="str">
        <f t="shared" si="130"/>
        <v/>
      </c>
      <c r="U117" s="1229" t="str">
        <f t="shared" si="123"/>
        <v/>
      </c>
      <c r="V117" s="1212"/>
      <c r="W117" s="723"/>
      <c r="X117" s="604"/>
      <c r="Y117" s="604"/>
      <c r="Z117" s="890" t="str">
        <f t="shared" si="124"/>
        <v/>
      </c>
      <c r="AA117" s="865">
        <f t="shared" si="131"/>
        <v>0.62</v>
      </c>
      <c r="AB117" s="891" t="e">
        <f t="shared" si="132"/>
        <v>#VALUE!</v>
      </c>
      <c r="AC117" s="891" t="e">
        <f t="shared" si="133"/>
        <v>#VALUE!</v>
      </c>
      <c r="AD117" s="891" t="e">
        <f t="shared" si="134"/>
        <v>#VALUE!</v>
      </c>
      <c r="AE117" s="892" t="e">
        <f t="shared" si="135"/>
        <v>#VALUE!</v>
      </c>
      <c r="AF117" s="893" t="e">
        <f t="shared" si="136"/>
        <v>#VALUE!</v>
      </c>
      <c r="AG117" s="865">
        <f>IF(H117&gt;8,tab!C$132,tab!C$134)</f>
        <v>0.5</v>
      </c>
      <c r="AH117" s="866">
        <f t="shared" si="137"/>
        <v>0</v>
      </c>
      <c r="AI117" s="864">
        <f t="shared" si="138"/>
        <v>0</v>
      </c>
      <c r="AJ117" s="894"/>
      <c r="AK117" s="837"/>
      <c r="AL117" s="837"/>
      <c r="AM117" s="837"/>
      <c r="AN117" s="895"/>
      <c r="AO117" s="837"/>
      <c r="AP117" s="837"/>
      <c r="AQ117" s="874"/>
      <c r="AR117" s="837"/>
      <c r="AS117" s="837"/>
      <c r="AT117" s="837"/>
      <c r="AU117" s="836"/>
      <c r="AV117" s="836"/>
      <c r="AW117" s="869"/>
      <c r="AX117" s="836"/>
      <c r="AY117" s="837"/>
      <c r="AZ117" s="713"/>
    </row>
    <row r="118" spans="3:52" s="526" customFormat="1" ht="12.75" customHeight="1" x14ac:dyDescent="0.2">
      <c r="C118" s="1037"/>
      <c r="D118" s="1219" t="str">
        <f t="shared" si="117"/>
        <v/>
      </c>
      <c r="E118" s="1219" t="str">
        <f t="shared" si="117"/>
        <v/>
      </c>
      <c r="F118" s="1219" t="str">
        <f t="shared" si="117"/>
        <v/>
      </c>
      <c r="G118" s="1221" t="str">
        <f t="shared" si="118"/>
        <v/>
      </c>
      <c r="H118" s="1222" t="str">
        <f t="shared" si="119"/>
        <v/>
      </c>
      <c r="I118" s="1221" t="str">
        <f t="shared" si="120"/>
        <v/>
      </c>
      <c r="J118" s="1221" t="str">
        <f t="shared" si="121"/>
        <v/>
      </c>
      <c r="K118" s="1223" t="str">
        <f t="shared" si="122"/>
        <v/>
      </c>
      <c r="L118" s="1216"/>
      <c r="M118" s="1224" t="str">
        <f t="shared" ref="M118:N118" si="142">IF(M86="","",M86)</f>
        <v/>
      </c>
      <c r="N118" s="1225" t="str">
        <f t="shared" si="142"/>
        <v/>
      </c>
      <c r="O118" s="1226" t="str">
        <f t="shared" si="126"/>
        <v/>
      </c>
      <c r="P118" s="1226" t="str">
        <f t="shared" si="127"/>
        <v/>
      </c>
      <c r="Q118" s="1227" t="str">
        <f t="shared" si="128"/>
        <v/>
      </c>
      <c r="R118" s="1216"/>
      <c r="S118" s="1228" t="str">
        <f t="shared" si="129"/>
        <v/>
      </c>
      <c r="T118" s="1228" t="str">
        <f t="shared" si="130"/>
        <v/>
      </c>
      <c r="U118" s="1229" t="str">
        <f t="shared" si="123"/>
        <v/>
      </c>
      <c r="V118" s="1212"/>
      <c r="W118" s="723"/>
      <c r="X118" s="604"/>
      <c r="Y118" s="604"/>
      <c r="Z118" s="890" t="str">
        <f t="shared" si="124"/>
        <v/>
      </c>
      <c r="AA118" s="865">
        <f t="shared" si="131"/>
        <v>0.62</v>
      </c>
      <c r="AB118" s="891" t="e">
        <f t="shared" si="132"/>
        <v>#VALUE!</v>
      </c>
      <c r="AC118" s="891" t="e">
        <f t="shared" si="133"/>
        <v>#VALUE!</v>
      </c>
      <c r="AD118" s="891" t="e">
        <f t="shared" si="134"/>
        <v>#VALUE!</v>
      </c>
      <c r="AE118" s="892" t="e">
        <f t="shared" si="135"/>
        <v>#VALUE!</v>
      </c>
      <c r="AF118" s="893" t="e">
        <f t="shared" si="136"/>
        <v>#VALUE!</v>
      </c>
      <c r="AG118" s="865">
        <f>IF(H118&gt;8,tab!C$132,tab!C$134)</f>
        <v>0.5</v>
      </c>
      <c r="AH118" s="866">
        <f t="shared" si="137"/>
        <v>0</v>
      </c>
      <c r="AI118" s="864">
        <f t="shared" si="138"/>
        <v>0</v>
      </c>
      <c r="AJ118" s="894"/>
      <c r="AK118" s="837"/>
      <c r="AL118" s="837"/>
      <c r="AM118" s="837"/>
      <c r="AN118" s="895"/>
      <c r="AO118" s="837"/>
      <c r="AP118" s="837"/>
      <c r="AQ118" s="874"/>
      <c r="AR118" s="837"/>
      <c r="AS118" s="837"/>
      <c r="AT118" s="837"/>
      <c r="AU118" s="836"/>
      <c r="AV118" s="836"/>
      <c r="AW118" s="869"/>
      <c r="AX118" s="836"/>
      <c r="AY118" s="837"/>
      <c r="AZ118" s="713"/>
    </row>
    <row r="119" spans="3:52" s="526" customFormat="1" ht="12.75" customHeight="1" x14ac:dyDescent="0.2">
      <c r="C119" s="1037"/>
      <c r="D119" s="1219" t="str">
        <f t="shared" si="117"/>
        <v/>
      </c>
      <c r="E119" s="1219" t="str">
        <f t="shared" si="117"/>
        <v/>
      </c>
      <c r="F119" s="1219" t="str">
        <f t="shared" si="117"/>
        <v/>
      </c>
      <c r="G119" s="1221" t="str">
        <f t="shared" si="118"/>
        <v/>
      </c>
      <c r="H119" s="1222" t="str">
        <f t="shared" si="119"/>
        <v/>
      </c>
      <c r="I119" s="1221" t="str">
        <f t="shared" si="120"/>
        <v/>
      </c>
      <c r="J119" s="1221" t="str">
        <f t="shared" si="121"/>
        <v/>
      </c>
      <c r="K119" s="1223" t="str">
        <f t="shared" si="122"/>
        <v/>
      </c>
      <c r="L119" s="1216"/>
      <c r="M119" s="1224" t="str">
        <f t="shared" ref="M119:N119" si="143">IF(M87="","",M87)</f>
        <v/>
      </c>
      <c r="N119" s="1225" t="str">
        <f t="shared" si="143"/>
        <v/>
      </c>
      <c r="O119" s="1226" t="str">
        <f t="shared" si="126"/>
        <v/>
      </c>
      <c r="P119" s="1226" t="str">
        <f t="shared" si="127"/>
        <v/>
      </c>
      <c r="Q119" s="1227" t="str">
        <f t="shared" si="128"/>
        <v/>
      </c>
      <c r="R119" s="1216"/>
      <c r="S119" s="1228" t="str">
        <f t="shared" si="129"/>
        <v/>
      </c>
      <c r="T119" s="1228" t="str">
        <f t="shared" si="130"/>
        <v/>
      </c>
      <c r="U119" s="1229" t="str">
        <f t="shared" si="123"/>
        <v/>
      </c>
      <c r="V119" s="1212"/>
      <c r="W119" s="723"/>
      <c r="X119" s="604"/>
      <c r="Y119" s="604"/>
      <c r="Z119" s="890" t="str">
        <f t="shared" si="124"/>
        <v/>
      </c>
      <c r="AA119" s="865">
        <f t="shared" si="131"/>
        <v>0.62</v>
      </c>
      <c r="AB119" s="891" t="e">
        <f t="shared" si="132"/>
        <v>#VALUE!</v>
      </c>
      <c r="AC119" s="891" t="e">
        <f t="shared" si="133"/>
        <v>#VALUE!</v>
      </c>
      <c r="AD119" s="891" t="e">
        <f t="shared" si="134"/>
        <v>#VALUE!</v>
      </c>
      <c r="AE119" s="892" t="e">
        <f t="shared" si="135"/>
        <v>#VALUE!</v>
      </c>
      <c r="AF119" s="893" t="e">
        <f t="shared" si="136"/>
        <v>#VALUE!</v>
      </c>
      <c r="AG119" s="865">
        <f>IF(H119&gt;8,tab!C$132,tab!C$134)</f>
        <v>0.5</v>
      </c>
      <c r="AH119" s="866">
        <f t="shared" si="137"/>
        <v>0</v>
      </c>
      <c r="AI119" s="864">
        <f t="shared" si="138"/>
        <v>0</v>
      </c>
      <c r="AJ119" s="894"/>
      <c r="AK119" s="837"/>
      <c r="AL119" s="837"/>
      <c r="AM119" s="837"/>
      <c r="AN119" s="895"/>
      <c r="AO119" s="837"/>
      <c r="AP119" s="837"/>
      <c r="AQ119" s="874"/>
      <c r="AR119" s="837"/>
      <c r="AS119" s="837"/>
      <c r="AT119" s="837"/>
      <c r="AU119" s="836"/>
      <c r="AV119" s="836"/>
      <c r="AW119" s="869"/>
      <c r="AX119" s="836"/>
      <c r="AY119" s="837"/>
      <c r="AZ119" s="713"/>
    </row>
    <row r="120" spans="3:52" s="526" customFormat="1" ht="12.75" customHeight="1" x14ac:dyDescent="0.2">
      <c r="C120" s="1037"/>
      <c r="D120" s="1219" t="str">
        <f t="shared" si="117"/>
        <v/>
      </c>
      <c r="E120" s="1219" t="str">
        <f t="shared" si="117"/>
        <v/>
      </c>
      <c r="F120" s="1219" t="str">
        <f t="shared" si="117"/>
        <v/>
      </c>
      <c r="G120" s="1221" t="str">
        <f t="shared" si="118"/>
        <v/>
      </c>
      <c r="H120" s="1222" t="str">
        <f t="shared" si="119"/>
        <v/>
      </c>
      <c r="I120" s="1221" t="str">
        <f t="shared" si="120"/>
        <v/>
      </c>
      <c r="J120" s="1221" t="str">
        <f t="shared" si="121"/>
        <v/>
      </c>
      <c r="K120" s="1223" t="str">
        <f t="shared" si="122"/>
        <v/>
      </c>
      <c r="L120" s="1216"/>
      <c r="M120" s="1224" t="str">
        <f t="shared" ref="M120:N120" si="144">IF(M88="","",M88)</f>
        <v/>
      </c>
      <c r="N120" s="1225" t="str">
        <f t="shared" si="144"/>
        <v/>
      </c>
      <c r="O120" s="1226" t="str">
        <f t="shared" si="126"/>
        <v/>
      </c>
      <c r="P120" s="1226" t="str">
        <f t="shared" si="127"/>
        <v/>
      </c>
      <c r="Q120" s="1227" t="str">
        <f t="shared" si="128"/>
        <v/>
      </c>
      <c r="R120" s="1216"/>
      <c r="S120" s="1228" t="str">
        <f t="shared" si="129"/>
        <v/>
      </c>
      <c r="T120" s="1228" t="str">
        <f t="shared" si="130"/>
        <v/>
      </c>
      <c r="U120" s="1229" t="str">
        <f t="shared" si="123"/>
        <v/>
      </c>
      <c r="V120" s="1212"/>
      <c r="W120" s="723"/>
      <c r="X120" s="604"/>
      <c r="Y120" s="604"/>
      <c r="Z120" s="890" t="str">
        <f t="shared" si="124"/>
        <v/>
      </c>
      <c r="AA120" s="865">
        <f t="shared" si="131"/>
        <v>0.62</v>
      </c>
      <c r="AB120" s="891" t="e">
        <f t="shared" si="132"/>
        <v>#VALUE!</v>
      </c>
      <c r="AC120" s="891" t="e">
        <f t="shared" si="133"/>
        <v>#VALUE!</v>
      </c>
      <c r="AD120" s="891" t="e">
        <f t="shared" si="134"/>
        <v>#VALUE!</v>
      </c>
      <c r="AE120" s="892" t="e">
        <f t="shared" si="135"/>
        <v>#VALUE!</v>
      </c>
      <c r="AF120" s="893" t="e">
        <f t="shared" si="136"/>
        <v>#VALUE!</v>
      </c>
      <c r="AG120" s="865">
        <f>IF(H120&gt;8,tab!C$132,tab!C$134)</f>
        <v>0.5</v>
      </c>
      <c r="AH120" s="866">
        <f t="shared" si="137"/>
        <v>0</v>
      </c>
      <c r="AI120" s="864">
        <f t="shared" si="138"/>
        <v>0</v>
      </c>
      <c r="AJ120" s="894"/>
      <c r="AK120" s="837"/>
      <c r="AL120" s="837"/>
      <c r="AM120" s="837"/>
      <c r="AN120" s="895"/>
      <c r="AO120" s="837"/>
      <c r="AP120" s="837"/>
      <c r="AQ120" s="874"/>
      <c r="AR120" s="837"/>
      <c r="AS120" s="837"/>
      <c r="AT120" s="837"/>
      <c r="AU120" s="836"/>
      <c r="AV120" s="836"/>
      <c r="AW120" s="869"/>
      <c r="AX120" s="836"/>
      <c r="AY120" s="837"/>
      <c r="AZ120" s="713"/>
    </row>
    <row r="121" spans="3:52" s="526" customFormat="1" ht="12.75" customHeight="1" x14ac:dyDescent="0.2">
      <c r="C121" s="1037"/>
      <c r="D121" s="1219" t="str">
        <f t="shared" si="117"/>
        <v/>
      </c>
      <c r="E121" s="1219" t="str">
        <f t="shared" si="117"/>
        <v/>
      </c>
      <c r="F121" s="1219" t="str">
        <f t="shared" si="117"/>
        <v/>
      </c>
      <c r="G121" s="1221" t="str">
        <f t="shared" si="118"/>
        <v/>
      </c>
      <c r="H121" s="1222" t="str">
        <f t="shared" si="119"/>
        <v/>
      </c>
      <c r="I121" s="1221" t="str">
        <f t="shared" si="120"/>
        <v/>
      </c>
      <c r="J121" s="1221" t="str">
        <f t="shared" si="121"/>
        <v/>
      </c>
      <c r="K121" s="1223" t="str">
        <f t="shared" si="122"/>
        <v/>
      </c>
      <c r="L121" s="1216"/>
      <c r="M121" s="1224" t="str">
        <f t="shared" ref="M121:N121" si="145">IF(M89="","",M89)</f>
        <v/>
      </c>
      <c r="N121" s="1225" t="str">
        <f t="shared" si="145"/>
        <v/>
      </c>
      <c r="O121" s="1226" t="str">
        <f t="shared" si="126"/>
        <v/>
      </c>
      <c r="P121" s="1226" t="str">
        <f t="shared" si="127"/>
        <v/>
      </c>
      <c r="Q121" s="1227" t="str">
        <f t="shared" si="128"/>
        <v/>
      </c>
      <c r="R121" s="1216"/>
      <c r="S121" s="1228" t="str">
        <f t="shared" si="129"/>
        <v/>
      </c>
      <c r="T121" s="1228" t="str">
        <f t="shared" si="130"/>
        <v/>
      </c>
      <c r="U121" s="1229" t="str">
        <f t="shared" si="123"/>
        <v/>
      </c>
      <c r="V121" s="1212"/>
      <c r="W121" s="723"/>
      <c r="X121" s="604"/>
      <c r="Y121" s="604"/>
      <c r="Z121" s="890" t="str">
        <f t="shared" si="124"/>
        <v/>
      </c>
      <c r="AA121" s="865">
        <f t="shared" si="131"/>
        <v>0.62</v>
      </c>
      <c r="AB121" s="891" t="e">
        <f t="shared" si="132"/>
        <v>#VALUE!</v>
      </c>
      <c r="AC121" s="891" t="e">
        <f t="shared" si="133"/>
        <v>#VALUE!</v>
      </c>
      <c r="AD121" s="891" t="e">
        <f t="shared" si="134"/>
        <v>#VALUE!</v>
      </c>
      <c r="AE121" s="892" t="e">
        <f t="shared" si="135"/>
        <v>#VALUE!</v>
      </c>
      <c r="AF121" s="893" t="e">
        <f t="shared" si="136"/>
        <v>#VALUE!</v>
      </c>
      <c r="AG121" s="865">
        <f>IF(H121&gt;8,tab!C$132,tab!C$134)</f>
        <v>0.5</v>
      </c>
      <c r="AH121" s="866">
        <f t="shared" si="137"/>
        <v>0</v>
      </c>
      <c r="AI121" s="864">
        <f t="shared" si="138"/>
        <v>0</v>
      </c>
      <c r="AJ121" s="894"/>
      <c r="AK121" s="837"/>
      <c r="AL121" s="837"/>
      <c r="AM121" s="837"/>
      <c r="AN121" s="895"/>
      <c r="AO121" s="837"/>
      <c r="AP121" s="837"/>
      <c r="AQ121" s="874"/>
      <c r="AR121" s="837"/>
      <c r="AS121" s="837"/>
      <c r="AT121" s="837"/>
      <c r="AU121" s="836"/>
      <c r="AV121" s="836"/>
      <c r="AW121" s="869"/>
      <c r="AX121" s="836"/>
      <c r="AY121" s="837"/>
      <c r="AZ121" s="713"/>
    </row>
    <row r="122" spans="3:52" s="526" customFormat="1" ht="12.75" customHeight="1" x14ac:dyDescent="0.2">
      <c r="C122" s="1037"/>
      <c r="D122" s="1219" t="str">
        <f t="shared" si="117"/>
        <v/>
      </c>
      <c r="E122" s="1219" t="str">
        <f t="shared" si="117"/>
        <v/>
      </c>
      <c r="F122" s="1219" t="str">
        <f t="shared" si="117"/>
        <v/>
      </c>
      <c r="G122" s="1221" t="str">
        <f t="shared" si="118"/>
        <v/>
      </c>
      <c r="H122" s="1222" t="str">
        <f t="shared" si="119"/>
        <v/>
      </c>
      <c r="I122" s="1221" t="str">
        <f t="shared" si="120"/>
        <v/>
      </c>
      <c r="J122" s="1221" t="str">
        <f t="shared" si="121"/>
        <v/>
      </c>
      <c r="K122" s="1223" t="str">
        <f t="shared" si="122"/>
        <v/>
      </c>
      <c r="L122" s="1216"/>
      <c r="M122" s="1224" t="str">
        <f t="shared" ref="M122:N122" si="146">IF(M90="","",M90)</f>
        <v/>
      </c>
      <c r="N122" s="1225" t="str">
        <f t="shared" si="146"/>
        <v/>
      </c>
      <c r="O122" s="1226" t="str">
        <f t="shared" si="126"/>
        <v/>
      </c>
      <c r="P122" s="1226" t="str">
        <f t="shared" si="127"/>
        <v/>
      </c>
      <c r="Q122" s="1227" t="str">
        <f t="shared" si="128"/>
        <v/>
      </c>
      <c r="R122" s="1216"/>
      <c r="S122" s="1228" t="str">
        <f t="shared" si="129"/>
        <v/>
      </c>
      <c r="T122" s="1228" t="str">
        <f t="shared" si="130"/>
        <v/>
      </c>
      <c r="U122" s="1229" t="str">
        <f t="shared" si="123"/>
        <v/>
      </c>
      <c r="V122" s="1212"/>
      <c r="W122" s="723"/>
      <c r="X122" s="604"/>
      <c r="Y122" s="604"/>
      <c r="Z122" s="890" t="str">
        <f t="shared" si="124"/>
        <v/>
      </c>
      <c r="AA122" s="865">
        <f t="shared" si="131"/>
        <v>0.62</v>
      </c>
      <c r="AB122" s="891" t="e">
        <f t="shared" si="132"/>
        <v>#VALUE!</v>
      </c>
      <c r="AC122" s="891" t="e">
        <f t="shared" si="133"/>
        <v>#VALUE!</v>
      </c>
      <c r="AD122" s="891" t="e">
        <f t="shared" si="134"/>
        <v>#VALUE!</v>
      </c>
      <c r="AE122" s="892" t="e">
        <f t="shared" si="135"/>
        <v>#VALUE!</v>
      </c>
      <c r="AF122" s="893" t="e">
        <f t="shared" si="136"/>
        <v>#VALUE!</v>
      </c>
      <c r="AG122" s="865">
        <f>IF(H122&gt;8,tab!C$132,tab!C$134)</f>
        <v>0.5</v>
      </c>
      <c r="AH122" s="866">
        <f t="shared" si="137"/>
        <v>0</v>
      </c>
      <c r="AI122" s="864">
        <f t="shared" si="138"/>
        <v>0</v>
      </c>
      <c r="AJ122" s="894"/>
      <c r="AK122" s="837"/>
      <c r="AL122" s="837"/>
      <c r="AM122" s="837"/>
      <c r="AN122" s="895"/>
      <c r="AO122" s="837"/>
      <c r="AP122" s="837"/>
      <c r="AQ122" s="874"/>
      <c r="AR122" s="837"/>
      <c r="AS122" s="837"/>
      <c r="AT122" s="837"/>
      <c r="AU122" s="836"/>
      <c r="AV122" s="836"/>
      <c r="AW122" s="869"/>
      <c r="AX122" s="836"/>
      <c r="AY122" s="837"/>
      <c r="AZ122" s="713"/>
    </row>
    <row r="123" spans="3:52" s="526" customFormat="1" ht="12.75" customHeight="1" x14ac:dyDescent="0.2">
      <c r="C123" s="1037"/>
      <c r="D123" s="1219" t="str">
        <f t="shared" si="117"/>
        <v/>
      </c>
      <c r="E123" s="1219" t="str">
        <f t="shared" si="117"/>
        <v/>
      </c>
      <c r="F123" s="1219" t="str">
        <f t="shared" si="117"/>
        <v/>
      </c>
      <c r="G123" s="1221" t="str">
        <f t="shared" si="118"/>
        <v/>
      </c>
      <c r="H123" s="1222" t="str">
        <f t="shared" si="119"/>
        <v/>
      </c>
      <c r="I123" s="1221" t="str">
        <f t="shared" si="120"/>
        <v/>
      </c>
      <c r="J123" s="1221" t="str">
        <f t="shared" si="121"/>
        <v/>
      </c>
      <c r="K123" s="1223" t="str">
        <f t="shared" si="122"/>
        <v/>
      </c>
      <c r="L123" s="1216"/>
      <c r="M123" s="1224" t="str">
        <f t="shared" ref="M123:N123" si="147">IF(M91="","",M91)</f>
        <v/>
      </c>
      <c r="N123" s="1225" t="str">
        <f t="shared" si="147"/>
        <v/>
      </c>
      <c r="O123" s="1226" t="str">
        <f t="shared" si="126"/>
        <v/>
      </c>
      <c r="P123" s="1226" t="str">
        <f t="shared" si="127"/>
        <v/>
      </c>
      <c r="Q123" s="1227" t="str">
        <f t="shared" si="128"/>
        <v/>
      </c>
      <c r="R123" s="1216"/>
      <c r="S123" s="1228" t="str">
        <f t="shared" si="129"/>
        <v/>
      </c>
      <c r="T123" s="1228" t="str">
        <f t="shared" si="130"/>
        <v/>
      </c>
      <c r="U123" s="1229" t="str">
        <f t="shared" si="123"/>
        <v/>
      </c>
      <c r="V123" s="1212"/>
      <c r="W123" s="723"/>
      <c r="X123" s="604"/>
      <c r="Y123" s="604"/>
      <c r="Z123" s="890" t="str">
        <f t="shared" si="124"/>
        <v/>
      </c>
      <c r="AA123" s="865">
        <f t="shared" si="131"/>
        <v>0.62</v>
      </c>
      <c r="AB123" s="891" t="e">
        <f t="shared" si="132"/>
        <v>#VALUE!</v>
      </c>
      <c r="AC123" s="891" t="e">
        <f t="shared" si="133"/>
        <v>#VALUE!</v>
      </c>
      <c r="AD123" s="891" t="e">
        <f t="shared" si="134"/>
        <v>#VALUE!</v>
      </c>
      <c r="AE123" s="892" t="e">
        <f t="shared" si="135"/>
        <v>#VALUE!</v>
      </c>
      <c r="AF123" s="893" t="e">
        <f t="shared" si="136"/>
        <v>#VALUE!</v>
      </c>
      <c r="AG123" s="865">
        <f>IF(H123&gt;8,tab!C$132,tab!C$134)</f>
        <v>0.5</v>
      </c>
      <c r="AH123" s="866">
        <f t="shared" si="137"/>
        <v>0</v>
      </c>
      <c r="AI123" s="864">
        <f t="shared" si="138"/>
        <v>0</v>
      </c>
      <c r="AJ123" s="894"/>
      <c r="AK123" s="837"/>
      <c r="AL123" s="837"/>
      <c r="AM123" s="837"/>
      <c r="AN123" s="895"/>
      <c r="AO123" s="837"/>
      <c r="AP123" s="837"/>
      <c r="AQ123" s="874"/>
      <c r="AR123" s="837"/>
      <c r="AS123" s="837"/>
      <c r="AT123" s="837"/>
      <c r="AU123" s="836"/>
      <c r="AV123" s="836"/>
      <c r="AW123" s="869"/>
      <c r="AX123" s="836"/>
      <c r="AY123" s="837"/>
      <c r="AZ123" s="713"/>
    </row>
    <row r="124" spans="3:52" s="526" customFormat="1" ht="12.75" customHeight="1" x14ac:dyDescent="0.2">
      <c r="C124" s="1037"/>
      <c r="D124" s="1219" t="str">
        <f t="shared" si="117"/>
        <v/>
      </c>
      <c r="E124" s="1219" t="str">
        <f t="shared" si="117"/>
        <v/>
      </c>
      <c r="F124" s="1219" t="str">
        <f t="shared" si="117"/>
        <v/>
      </c>
      <c r="G124" s="1221" t="str">
        <f t="shared" si="118"/>
        <v/>
      </c>
      <c r="H124" s="1222" t="str">
        <f t="shared" si="119"/>
        <v/>
      </c>
      <c r="I124" s="1221" t="str">
        <f t="shared" si="120"/>
        <v/>
      </c>
      <c r="J124" s="1221" t="str">
        <f t="shared" si="121"/>
        <v/>
      </c>
      <c r="K124" s="1223" t="str">
        <f t="shared" si="122"/>
        <v/>
      </c>
      <c r="L124" s="1216"/>
      <c r="M124" s="1224" t="str">
        <f t="shared" ref="M124:N124" si="148">IF(M92="","",M92)</f>
        <v/>
      </c>
      <c r="N124" s="1225" t="str">
        <f t="shared" si="148"/>
        <v/>
      </c>
      <c r="O124" s="1226" t="str">
        <f t="shared" si="126"/>
        <v/>
      </c>
      <c r="P124" s="1226" t="str">
        <f t="shared" si="127"/>
        <v/>
      </c>
      <c r="Q124" s="1227" t="str">
        <f t="shared" si="128"/>
        <v/>
      </c>
      <c r="R124" s="1216"/>
      <c r="S124" s="1228" t="str">
        <f t="shared" si="129"/>
        <v/>
      </c>
      <c r="T124" s="1228" t="str">
        <f t="shared" si="130"/>
        <v/>
      </c>
      <c r="U124" s="1229" t="str">
        <f t="shared" si="123"/>
        <v/>
      </c>
      <c r="V124" s="1212"/>
      <c r="W124" s="723"/>
      <c r="X124" s="604"/>
      <c r="Y124" s="604"/>
      <c r="Z124" s="890" t="str">
        <f t="shared" si="124"/>
        <v/>
      </c>
      <c r="AA124" s="865">
        <f t="shared" si="131"/>
        <v>0.62</v>
      </c>
      <c r="AB124" s="891" t="e">
        <f t="shared" si="132"/>
        <v>#VALUE!</v>
      </c>
      <c r="AC124" s="891" t="e">
        <f t="shared" si="133"/>
        <v>#VALUE!</v>
      </c>
      <c r="AD124" s="891" t="e">
        <f t="shared" si="134"/>
        <v>#VALUE!</v>
      </c>
      <c r="AE124" s="892" t="e">
        <f t="shared" si="135"/>
        <v>#VALUE!</v>
      </c>
      <c r="AF124" s="893" t="e">
        <f t="shared" si="136"/>
        <v>#VALUE!</v>
      </c>
      <c r="AG124" s="865">
        <f>IF(H124&gt;8,tab!C$132,tab!C$134)</f>
        <v>0.5</v>
      </c>
      <c r="AH124" s="866">
        <f t="shared" si="137"/>
        <v>0</v>
      </c>
      <c r="AI124" s="864">
        <f t="shared" si="138"/>
        <v>0</v>
      </c>
      <c r="AJ124" s="894"/>
      <c r="AK124" s="837"/>
      <c r="AL124" s="837"/>
      <c r="AM124" s="837"/>
      <c r="AN124" s="895"/>
      <c r="AO124" s="837"/>
      <c r="AP124" s="837"/>
      <c r="AQ124" s="874"/>
      <c r="AR124" s="837"/>
      <c r="AS124" s="837"/>
      <c r="AT124" s="837"/>
      <c r="AU124" s="836"/>
      <c r="AV124" s="836"/>
      <c r="AW124" s="869"/>
      <c r="AX124" s="836"/>
      <c r="AY124" s="837"/>
      <c r="AZ124" s="713"/>
    </row>
    <row r="125" spans="3:52" s="526" customFormat="1" ht="12.75" customHeight="1" x14ac:dyDescent="0.2">
      <c r="C125" s="1037"/>
      <c r="D125" s="1219" t="str">
        <f t="shared" ref="D125:F127" si="149">IF(D93=0,"",D93)</f>
        <v/>
      </c>
      <c r="E125" s="1219" t="str">
        <f t="shared" si="149"/>
        <v/>
      </c>
      <c r="F125" s="1219" t="str">
        <f t="shared" si="149"/>
        <v/>
      </c>
      <c r="G125" s="1221" t="str">
        <f t="shared" si="118"/>
        <v/>
      </c>
      <c r="H125" s="1222" t="str">
        <f t="shared" si="119"/>
        <v/>
      </c>
      <c r="I125" s="1221" t="str">
        <f t="shared" si="120"/>
        <v/>
      </c>
      <c r="J125" s="1221" t="str">
        <f t="shared" si="121"/>
        <v/>
      </c>
      <c r="K125" s="1223" t="str">
        <f t="shared" ref="K125:K127" si="150">IF(K93="","",K93)</f>
        <v/>
      </c>
      <c r="L125" s="1216"/>
      <c r="M125" s="1224" t="str">
        <f t="shared" ref="M125:N125" si="151">IF(M93="","",M93)</f>
        <v/>
      </c>
      <c r="N125" s="1225" t="str">
        <f t="shared" si="151"/>
        <v/>
      </c>
      <c r="O125" s="1226" t="str">
        <f t="shared" si="126"/>
        <v/>
      </c>
      <c r="P125" s="1226" t="str">
        <f t="shared" si="127"/>
        <v/>
      </c>
      <c r="Q125" s="1227" t="str">
        <f t="shared" si="128"/>
        <v/>
      </c>
      <c r="R125" s="1216"/>
      <c r="S125" s="1228" t="str">
        <f t="shared" si="129"/>
        <v/>
      </c>
      <c r="T125" s="1228" t="str">
        <f t="shared" si="130"/>
        <v/>
      </c>
      <c r="U125" s="1229" t="str">
        <f t="shared" si="123"/>
        <v/>
      </c>
      <c r="V125" s="1212"/>
      <c r="W125" s="723"/>
      <c r="X125" s="604"/>
      <c r="Y125" s="604"/>
      <c r="Z125" s="890" t="str">
        <f t="shared" si="124"/>
        <v/>
      </c>
      <c r="AA125" s="865">
        <f t="shared" si="131"/>
        <v>0.62</v>
      </c>
      <c r="AB125" s="891" t="e">
        <f t="shared" si="132"/>
        <v>#VALUE!</v>
      </c>
      <c r="AC125" s="891" t="e">
        <f t="shared" si="133"/>
        <v>#VALUE!</v>
      </c>
      <c r="AD125" s="891" t="e">
        <f t="shared" si="134"/>
        <v>#VALUE!</v>
      </c>
      <c r="AE125" s="892" t="e">
        <f t="shared" si="135"/>
        <v>#VALUE!</v>
      </c>
      <c r="AF125" s="893" t="e">
        <f t="shared" si="136"/>
        <v>#VALUE!</v>
      </c>
      <c r="AG125" s="865">
        <f>IF(H125&gt;8,tab!C$132,tab!C$134)</f>
        <v>0.5</v>
      </c>
      <c r="AH125" s="866">
        <f t="shared" si="137"/>
        <v>0</v>
      </c>
      <c r="AI125" s="864">
        <f t="shared" si="138"/>
        <v>0</v>
      </c>
      <c r="AJ125" s="894"/>
      <c r="AK125" s="837"/>
      <c r="AL125" s="837"/>
      <c r="AM125" s="837"/>
      <c r="AN125" s="895"/>
      <c r="AO125" s="837"/>
      <c r="AP125" s="837"/>
      <c r="AQ125" s="874"/>
      <c r="AR125" s="837"/>
      <c r="AS125" s="837"/>
      <c r="AT125" s="837"/>
      <c r="AU125" s="836"/>
      <c r="AV125" s="836"/>
      <c r="AW125" s="869"/>
      <c r="AX125" s="836"/>
      <c r="AY125" s="837"/>
      <c r="AZ125" s="713"/>
    </row>
    <row r="126" spans="3:52" s="526" customFormat="1" ht="12.75" customHeight="1" x14ac:dyDescent="0.2">
      <c r="C126" s="1037"/>
      <c r="D126" s="1219" t="str">
        <f t="shared" si="149"/>
        <v/>
      </c>
      <c r="E126" s="1219" t="str">
        <f t="shared" si="149"/>
        <v/>
      </c>
      <c r="F126" s="1219" t="str">
        <f t="shared" si="149"/>
        <v/>
      </c>
      <c r="G126" s="1221" t="str">
        <f t="shared" si="118"/>
        <v/>
      </c>
      <c r="H126" s="1222" t="str">
        <f t="shared" si="119"/>
        <v/>
      </c>
      <c r="I126" s="1221" t="str">
        <f t="shared" si="120"/>
        <v/>
      </c>
      <c r="J126" s="1221" t="str">
        <f t="shared" si="121"/>
        <v/>
      </c>
      <c r="K126" s="1223" t="str">
        <f t="shared" si="150"/>
        <v/>
      </c>
      <c r="L126" s="1216"/>
      <c r="M126" s="1224" t="str">
        <f t="shared" ref="M126:N126" si="152">IF(M94="","",M94)</f>
        <v/>
      </c>
      <c r="N126" s="1225" t="str">
        <f t="shared" si="152"/>
        <v/>
      </c>
      <c r="O126" s="1226" t="str">
        <f t="shared" si="126"/>
        <v/>
      </c>
      <c r="P126" s="1226" t="str">
        <f t="shared" si="127"/>
        <v/>
      </c>
      <c r="Q126" s="1227" t="str">
        <f t="shared" si="128"/>
        <v/>
      </c>
      <c r="R126" s="1216"/>
      <c r="S126" s="1228" t="str">
        <f t="shared" si="129"/>
        <v/>
      </c>
      <c r="T126" s="1228" t="str">
        <f t="shared" si="130"/>
        <v/>
      </c>
      <c r="U126" s="1229" t="str">
        <f t="shared" si="123"/>
        <v/>
      </c>
      <c r="V126" s="1212"/>
      <c r="W126" s="723"/>
      <c r="X126" s="604"/>
      <c r="Y126" s="604"/>
      <c r="Z126" s="890" t="str">
        <f t="shared" si="124"/>
        <v/>
      </c>
      <c r="AA126" s="865">
        <f t="shared" si="131"/>
        <v>0.62</v>
      </c>
      <c r="AB126" s="891" t="e">
        <f t="shared" si="132"/>
        <v>#VALUE!</v>
      </c>
      <c r="AC126" s="891" t="e">
        <f t="shared" si="133"/>
        <v>#VALUE!</v>
      </c>
      <c r="AD126" s="891" t="e">
        <f t="shared" si="134"/>
        <v>#VALUE!</v>
      </c>
      <c r="AE126" s="892" t="e">
        <f t="shared" si="135"/>
        <v>#VALUE!</v>
      </c>
      <c r="AF126" s="893" t="e">
        <f t="shared" si="136"/>
        <v>#VALUE!</v>
      </c>
      <c r="AG126" s="865">
        <f>IF(H126&gt;8,tab!C$132,tab!C$134)</f>
        <v>0.5</v>
      </c>
      <c r="AH126" s="866">
        <f t="shared" si="137"/>
        <v>0</v>
      </c>
      <c r="AI126" s="864">
        <f t="shared" si="138"/>
        <v>0</v>
      </c>
      <c r="AJ126" s="894"/>
      <c r="AK126" s="837"/>
      <c r="AL126" s="837"/>
      <c r="AM126" s="837"/>
      <c r="AN126" s="895"/>
      <c r="AO126" s="837"/>
      <c r="AP126" s="837"/>
      <c r="AQ126" s="874"/>
      <c r="AR126" s="837"/>
      <c r="AS126" s="837"/>
      <c r="AT126" s="837"/>
      <c r="AU126" s="836"/>
      <c r="AV126" s="836"/>
      <c r="AW126" s="869"/>
      <c r="AX126" s="836"/>
      <c r="AY126" s="837"/>
      <c r="AZ126" s="713"/>
    </row>
    <row r="127" spans="3:52" s="526" customFormat="1" ht="12.75" customHeight="1" x14ac:dyDescent="0.2">
      <c r="C127" s="1037"/>
      <c r="D127" s="1219" t="str">
        <f t="shared" si="149"/>
        <v/>
      </c>
      <c r="E127" s="1219" t="str">
        <f t="shared" si="149"/>
        <v/>
      </c>
      <c r="F127" s="1219" t="str">
        <f t="shared" si="149"/>
        <v/>
      </c>
      <c r="G127" s="1221" t="str">
        <f t="shared" si="118"/>
        <v/>
      </c>
      <c r="H127" s="1222" t="str">
        <f t="shared" si="119"/>
        <v/>
      </c>
      <c r="I127" s="1221" t="str">
        <f t="shared" si="120"/>
        <v/>
      </c>
      <c r="J127" s="1221" t="str">
        <f t="shared" si="121"/>
        <v/>
      </c>
      <c r="K127" s="1223" t="str">
        <f t="shared" si="150"/>
        <v/>
      </c>
      <c r="L127" s="1216"/>
      <c r="M127" s="1224" t="str">
        <f t="shared" ref="M127:N127" si="153">IF(M95="","",M95)</f>
        <v/>
      </c>
      <c r="N127" s="1225" t="str">
        <f t="shared" si="153"/>
        <v/>
      </c>
      <c r="O127" s="1226" t="str">
        <f t="shared" si="126"/>
        <v/>
      </c>
      <c r="P127" s="1226" t="str">
        <f t="shared" si="127"/>
        <v/>
      </c>
      <c r="Q127" s="1227" t="str">
        <f t="shared" si="128"/>
        <v/>
      </c>
      <c r="R127" s="1216"/>
      <c r="S127" s="1228" t="str">
        <f t="shared" si="129"/>
        <v/>
      </c>
      <c r="T127" s="1228" t="str">
        <f t="shared" si="130"/>
        <v/>
      </c>
      <c r="U127" s="1229" t="str">
        <f t="shared" si="123"/>
        <v/>
      </c>
      <c r="V127" s="1212"/>
      <c r="W127" s="723"/>
      <c r="X127" s="604"/>
      <c r="Y127" s="604"/>
      <c r="Z127" s="890" t="str">
        <f t="shared" si="124"/>
        <v/>
      </c>
      <c r="AA127" s="865">
        <f t="shared" si="131"/>
        <v>0.62</v>
      </c>
      <c r="AB127" s="891" t="e">
        <f t="shared" si="132"/>
        <v>#VALUE!</v>
      </c>
      <c r="AC127" s="891" t="e">
        <f t="shared" si="133"/>
        <v>#VALUE!</v>
      </c>
      <c r="AD127" s="891" t="e">
        <f t="shared" si="134"/>
        <v>#VALUE!</v>
      </c>
      <c r="AE127" s="892" t="e">
        <f t="shared" si="135"/>
        <v>#VALUE!</v>
      </c>
      <c r="AF127" s="893" t="e">
        <f t="shared" si="136"/>
        <v>#VALUE!</v>
      </c>
      <c r="AG127" s="865">
        <f>IF(H127&gt;8,tab!C$132,tab!C$134)</f>
        <v>0.5</v>
      </c>
      <c r="AH127" s="866">
        <f t="shared" si="137"/>
        <v>0</v>
      </c>
      <c r="AI127" s="864">
        <f t="shared" si="138"/>
        <v>0</v>
      </c>
      <c r="AJ127" s="894"/>
      <c r="AK127" s="837"/>
      <c r="AL127" s="837"/>
      <c r="AM127" s="837"/>
      <c r="AN127" s="895"/>
      <c r="AO127" s="837"/>
      <c r="AP127" s="837"/>
      <c r="AQ127" s="874"/>
      <c r="AR127" s="837"/>
      <c r="AS127" s="837"/>
      <c r="AT127" s="837"/>
      <c r="AU127" s="836"/>
      <c r="AV127" s="836"/>
      <c r="AW127" s="869"/>
      <c r="AX127" s="836"/>
      <c r="AY127" s="837"/>
      <c r="AZ127" s="713"/>
    </row>
    <row r="128" spans="3:52" s="526" customFormat="1" ht="12.75" customHeight="1" x14ac:dyDescent="0.2">
      <c r="C128" s="1037"/>
      <c r="D128" s="1219" t="str">
        <f t="shared" ref="D128:F132" si="154">IF(D96=0,"",D96)</f>
        <v/>
      </c>
      <c r="E128" s="1219" t="str">
        <f t="shared" si="154"/>
        <v/>
      </c>
      <c r="F128" s="1219" t="str">
        <f t="shared" si="154"/>
        <v/>
      </c>
      <c r="G128" s="1221" t="str">
        <f t="shared" si="118"/>
        <v/>
      </c>
      <c r="H128" s="1222" t="str">
        <f t="shared" si="119"/>
        <v/>
      </c>
      <c r="I128" s="1221" t="str">
        <f t="shared" si="120"/>
        <v/>
      </c>
      <c r="J128" s="1221" t="str">
        <f t="shared" si="121"/>
        <v/>
      </c>
      <c r="K128" s="1223" t="str">
        <f t="shared" ref="K128:K132" si="155">IF(K96="","",K96)</f>
        <v/>
      </c>
      <c r="L128" s="1216"/>
      <c r="M128" s="1224" t="str">
        <f t="shared" ref="M128:N128" si="156">IF(M96="","",M96)</f>
        <v/>
      </c>
      <c r="N128" s="1225" t="str">
        <f t="shared" si="156"/>
        <v/>
      </c>
      <c r="O128" s="1226" t="str">
        <f t="shared" si="126"/>
        <v/>
      </c>
      <c r="P128" s="1226" t="str">
        <f t="shared" si="127"/>
        <v/>
      </c>
      <c r="Q128" s="1227" t="str">
        <f t="shared" si="128"/>
        <v/>
      </c>
      <c r="R128" s="1216"/>
      <c r="S128" s="1228" t="str">
        <f t="shared" si="129"/>
        <v/>
      </c>
      <c r="T128" s="1228" t="str">
        <f t="shared" si="130"/>
        <v/>
      </c>
      <c r="U128" s="1229" t="str">
        <f t="shared" si="123"/>
        <v/>
      </c>
      <c r="V128" s="1212"/>
      <c r="W128" s="723"/>
      <c r="X128" s="604"/>
      <c r="Y128" s="604"/>
      <c r="Z128" s="890" t="str">
        <f t="shared" si="124"/>
        <v/>
      </c>
      <c r="AA128" s="865">
        <f t="shared" si="131"/>
        <v>0.62</v>
      </c>
      <c r="AB128" s="891" t="e">
        <f t="shared" si="132"/>
        <v>#VALUE!</v>
      </c>
      <c r="AC128" s="891" t="e">
        <f t="shared" si="133"/>
        <v>#VALUE!</v>
      </c>
      <c r="AD128" s="891" t="e">
        <f t="shared" si="134"/>
        <v>#VALUE!</v>
      </c>
      <c r="AE128" s="892" t="e">
        <f t="shared" si="135"/>
        <v>#VALUE!</v>
      </c>
      <c r="AF128" s="893" t="e">
        <f t="shared" si="136"/>
        <v>#VALUE!</v>
      </c>
      <c r="AG128" s="865">
        <f>IF(H128&gt;8,tab!C$132,tab!C$134)</f>
        <v>0.5</v>
      </c>
      <c r="AH128" s="866">
        <f t="shared" si="137"/>
        <v>0</v>
      </c>
      <c r="AI128" s="864">
        <f t="shared" si="138"/>
        <v>0</v>
      </c>
      <c r="AJ128" s="894"/>
      <c r="AK128" s="837"/>
      <c r="AL128" s="837"/>
      <c r="AM128" s="837"/>
      <c r="AN128" s="895"/>
      <c r="AO128" s="837"/>
      <c r="AP128" s="837"/>
      <c r="AQ128" s="874"/>
      <c r="AR128" s="837"/>
      <c r="AS128" s="837"/>
      <c r="AT128" s="837"/>
      <c r="AU128" s="836"/>
      <c r="AV128" s="836"/>
      <c r="AW128" s="869"/>
      <c r="AX128" s="836"/>
      <c r="AY128" s="837"/>
      <c r="AZ128" s="713"/>
    </row>
    <row r="129" spans="3:59" s="526" customFormat="1" ht="12.75" customHeight="1" x14ac:dyDescent="0.2">
      <c r="C129" s="1037"/>
      <c r="D129" s="1219" t="str">
        <f t="shared" si="154"/>
        <v/>
      </c>
      <c r="E129" s="1219" t="str">
        <f t="shared" si="154"/>
        <v/>
      </c>
      <c r="F129" s="1219" t="str">
        <f t="shared" si="154"/>
        <v/>
      </c>
      <c r="G129" s="1221" t="str">
        <f t="shared" si="118"/>
        <v/>
      </c>
      <c r="H129" s="1222" t="str">
        <f t="shared" si="119"/>
        <v/>
      </c>
      <c r="I129" s="1221" t="str">
        <f t="shared" si="120"/>
        <v/>
      </c>
      <c r="J129" s="1221" t="str">
        <f t="shared" si="121"/>
        <v/>
      </c>
      <c r="K129" s="1223" t="str">
        <f t="shared" si="155"/>
        <v/>
      </c>
      <c r="L129" s="1216"/>
      <c r="M129" s="1224" t="str">
        <f t="shared" ref="M129:N129" si="157">IF(M97="","",M97)</f>
        <v/>
      </c>
      <c r="N129" s="1225" t="str">
        <f t="shared" si="157"/>
        <v/>
      </c>
      <c r="O129" s="1226" t="str">
        <f t="shared" si="126"/>
        <v/>
      </c>
      <c r="P129" s="1226" t="str">
        <f t="shared" si="127"/>
        <v/>
      </c>
      <c r="Q129" s="1227" t="str">
        <f t="shared" si="128"/>
        <v/>
      </c>
      <c r="R129" s="1216"/>
      <c r="S129" s="1228" t="str">
        <f t="shared" si="129"/>
        <v/>
      </c>
      <c r="T129" s="1228" t="str">
        <f t="shared" si="130"/>
        <v/>
      </c>
      <c r="U129" s="1229" t="str">
        <f t="shared" si="123"/>
        <v/>
      </c>
      <c r="V129" s="1212"/>
      <c r="W129" s="723"/>
      <c r="X129" s="604"/>
      <c r="Y129" s="604"/>
      <c r="Z129" s="890" t="str">
        <f t="shared" si="124"/>
        <v/>
      </c>
      <c r="AA129" s="865">
        <f t="shared" si="131"/>
        <v>0.62</v>
      </c>
      <c r="AB129" s="891" t="e">
        <f t="shared" si="132"/>
        <v>#VALUE!</v>
      </c>
      <c r="AC129" s="891" t="e">
        <f t="shared" si="133"/>
        <v>#VALUE!</v>
      </c>
      <c r="AD129" s="891" t="e">
        <f t="shared" si="134"/>
        <v>#VALUE!</v>
      </c>
      <c r="AE129" s="892" t="e">
        <f t="shared" si="135"/>
        <v>#VALUE!</v>
      </c>
      <c r="AF129" s="893" t="e">
        <f t="shared" si="136"/>
        <v>#VALUE!</v>
      </c>
      <c r="AG129" s="865">
        <f>IF(H129&gt;8,tab!C$132,tab!C$134)</f>
        <v>0.5</v>
      </c>
      <c r="AH129" s="866">
        <f t="shared" si="137"/>
        <v>0</v>
      </c>
      <c r="AI129" s="864">
        <f t="shared" si="138"/>
        <v>0</v>
      </c>
      <c r="AJ129" s="894"/>
      <c r="AK129" s="837"/>
      <c r="AL129" s="837"/>
      <c r="AM129" s="837"/>
      <c r="AN129" s="895"/>
      <c r="AO129" s="837"/>
      <c r="AP129" s="837"/>
      <c r="AQ129" s="874"/>
      <c r="AR129" s="837"/>
      <c r="AS129" s="837"/>
      <c r="AT129" s="837"/>
      <c r="AU129" s="836"/>
      <c r="AV129" s="836"/>
      <c r="AW129" s="869"/>
      <c r="AX129" s="836"/>
      <c r="AY129" s="837"/>
      <c r="AZ129" s="713"/>
    </row>
    <row r="130" spans="3:59" s="526" customFormat="1" ht="12.75" customHeight="1" x14ac:dyDescent="0.2">
      <c r="C130" s="1037"/>
      <c r="D130" s="1219" t="str">
        <f t="shared" si="154"/>
        <v/>
      </c>
      <c r="E130" s="1219" t="str">
        <f t="shared" si="154"/>
        <v/>
      </c>
      <c r="F130" s="1219" t="str">
        <f t="shared" si="154"/>
        <v/>
      </c>
      <c r="G130" s="1221" t="str">
        <f t="shared" si="118"/>
        <v/>
      </c>
      <c r="H130" s="1222" t="str">
        <f t="shared" si="119"/>
        <v/>
      </c>
      <c r="I130" s="1221" t="str">
        <f t="shared" si="120"/>
        <v/>
      </c>
      <c r="J130" s="1221" t="str">
        <f t="shared" si="121"/>
        <v/>
      </c>
      <c r="K130" s="1223" t="str">
        <f t="shared" si="155"/>
        <v/>
      </c>
      <c r="L130" s="1216"/>
      <c r="M130" s="1224" t="str">
        <f t="shared" ref="M130:N130" si="158">IF(M98="","",M98)</f>
        <v/>
      </c>
      <c r="N130" s="1225" t="str">
        <f t="shared" si="158"/>
        <v/>
      </c>
      <c r="O130" s="1226" t="str">
        <f t="shared" si="126"/>
        <v/>
      </c>
      <c r="P130" s="1226" t="str">
        <f t="shared" si="127"/>
        <v/>
      </c>
      <c r="Q130" s="1227" t="str">
        <f t="shared" si="128"/>
        <v/>
      </c>
      <c r="R130" s="1216"/>
      <c r="S130" s="1228" t="str">
        <f t="shared" si="129"/>
        <v/>
      </c>
      <c r="T130" s="1228" t="str">
        <f t="shared" si="130"/>
        <v/>
      </c>
      <c r="U130" s="1229" t="str">
        <f t="shared" si="123"/>
        <v/>
      </c>
      <c r="V130" s="1212"/>
      <c r="W130" s="723"/>
      <c r="X130" s="604"/>
      <c r="Y130" s="604"/>
      <c r="Z130" s="890" t="str">
        <f t="shared" si="124"/>
        <v/>
      </c>
      <c r="AA130" s="865">
        <f t="shared" si="131"/>
        <v>0.62</v>
      </c>
      <c r="AB130" s="891" t="e">
        <f t="shared" si="132"/>
        <v>#VALUE!</v>
      </c>
      <c r="AC130" s="891" t="e">
        <f t="shared" si="133"/>
        <v>#VALUE!</v>
      </c>
      <c r="AD130" s="891" t="e">
        <f t="shared" si="134"/>
        <v>#VALUE!</v>
      </c>
      <c r="AE130" s="892" t="e">
        <f t="shared" si="135"/>
        <v>#VALUE!</v>
      </c>
      <c r="AF130" s="893" t="e">
        <f t="shared" si="136"/>
        <v>#VALUE!</v>
      </c>
      <c r="AG130" s="865">
        <f>IF(H130&gt;8,tab!C$132,tab!C$134)</f>
        <v>0.5</v>
      </c>
      <c r="AH130" s="866">
        <f t="shared" si="137"/>
        <v>0</v>
      </c>
      <c r="AI130" s="864">
        <f t="shared" si="138"/>
        <v>0</v>
      </c>
      <c r="AJ130" s="894"/>
      <c r="AK130" s="837"/>
      <c r="AL130" s="837"/>
      <c r="AM130" s="837"/>
      <c r="AN130" s="895"/>
      <c r="AO130" s="837"/>
      <c r="AP130" s="837"/>
      <c r="AQ130" s="874"/>
      <c r="AR130" s="837"/>
      <c r="AS130" s="837"/>
      <c r="AT130" s="837"/>
      <c r="AU130" s="836"/>
      <c r="AV130" s="836"/>
      <c r="AW130" s="869"/>
      <c r="AX130" s="836"/>
      <c r="AY130" s="837"/>
      <c r="AZ130" s="713"/>
    </row>
    <row r="131" spans="3:59" s="526" customFormat="1" ht="12.75" customHeight="1" x14ac:dyDescent="0.2">
      <c r="C131" s="1037"/>
      <c r="D131" s="1219" t="str">
        <f t="shared" si="154"/>
        <v/>
      </c>
      <c r="E131" s="1219" t="str">
        <f t="shared" si="154"/>
        <v/>
      </c>
      <c r="F131" s="1219" t="str">
        <f t="shared" si="154"/>
        <v/>
      </c>
      <c r="G131" s="1221" t="str">
        <f t="shared" si="118"/>
        <v/>
      </c>
      <c r="H131" s="1222" t="str">
        <f t="shared" si="119"/>
        <v/>
      </c>
      <c r="I131" s="1221" t="str">
        <f t="shared" si="120"/>
        <v/>
      </c>
      <c r="J131" s="1221" t="str">
        <f t="shared" si="121"/>
        <v/>
      </c>
      <c r="K131" s="1223" t="str">
        <f t="shared" si="155"/>
        <v/>
      </c>
      <c r="L131" s="1216"/>
      <c r="M131" s="1224" t="str">
        <f t="shared" ref="M131:N131" si="159">IF(M99="","",M99)</f>
        <v/>
      </c>
      <c r="N131" s="1225" t="str">
        <f t="shared" si="159"/>
        <v/>
      </c>
      <c r="O131" s="1226" t="str">
        <f t="shared" si="126"/>
        <v/>
      </c>
      <c r="P131" s="1226" t="str">
        <f t="shared" si="127"/>
        <v/>
      </c>
      <c r="Q131" s="1227" t="str">
        <f t="shared" si="128"/>
        <v/>
      </c>
      <c r="R131" s="1216"/>
      <c r="S131" s="1228" t="str">
        <f t="shared" si="129"/>
        <v/>
      </c>
      <c r="T131" s="1228" t="str">
        <f t="shared" si="130"/>
        <v/>
      </c>
      <c r="U131" s="1229" t="str">
        <f t="shared" si="123"/>
        <v/>
      </c>
      <c r="V131" s="1212"/>
      <c r="W131" s="723"/>
      <c r="X131" s="604"/>
      <c r="Y131" s="604"/>
      <c r="Z131" s="890" t="str">
        <f t="shared" si="124"/>
        <v/>
      </c>
      <c r="AA131" s="865">
        <f t="shared" si="131"/>
        <v>0.62</v>
      </c>
      <c r="AB131" s="891" t="e">
        <f t="shared" si="132"/>
        <v>#VALUE!</v>
      </c>
      <c r="AC131" s="891" t="e">
        <f t="shared" si="133"/>
        <v>#VALUE!</v>
      </c>
      <c r="AD131" s="891" t="e">
        <f t="shared" si="134"/>
        <v>#VALUE!</v>
      </c>
      <c r="AE131" s="892" t="e">
        <f t="shared" si="135"/>
        <v>#VALUE!</v>
      </c>
      <c r="AF131" s="893" t="e">
        <f t="shared" si="136"/>
        <v>#VALUE!</v>
      </c>
      <c r="AG131" s="865">
        <f>IF(H131&gt;8,tab!C$132,tab!C$134)</f>
        <v>0.5</v>
      </c>
      <c r="AH131" s="866">
        <f t="shared" si="137"/>
        <v>0</v>
      </c>
      <c r="AI131" s="864">
        <f t="shared" si="138"/>
        <v>0</v>
      </c>
      <c r="AJ131" s="894"/>
      <c r="AK131" s="837"/>
      <c r="AL131" s="837"/>
      <c r="AM131" s="837"/>
      <c r="AN131" s="895"/>
      <c r="AO131" s="837"/>
      <c r="AP131" s="837"/>
      <c r="AQ131" s="874"/>
      <c r="AR131" s="837"/>
      <c r="AS131" s="837"/>
      <c r="AT131" s="837"/>
      <c r="AU131" s="836"/>
      <c r="AV131" s="836"/>
      <c r="AW131" s="869"/>
      <c r="AX131" s="836"/>
      <c r="AY131" s="837"/>
      <c r="AZ131" s="713"/>
    </row>
    <row r="132" spans="3:59" s="526" customFormat="1" ht="12.75" customHeight="1" x14ac:dyDescent="0.2">
      <c r="C132" s="1037"/>
      <c r="D132" s="1219" t="str">
        <f t="shared" si="154"/>
        <v/>
      </c>
      <c r="E132" s="1219" t="str">
        <f t="shared" si="154"/>
        <v/>
      </c>
      <c r="F132" s="1219" t="str">
        <f t="shared" si="154"/>
        <v/>
      </c>
      <c r="G132" s="1221" t="str">
        <f t="shared" si="118"/>
        <v/>
      </c>
      <c r="H132" s="1222" t="str">
        <f t="shared" si="119"/>
        <v/>
      </c>
      <c r="I132" s="1221" t="str">
        <f t="shared" si="120"/>
        <v/>
      </c>
      <c r="J132" s="1221" t="str">
        <f t="shared" si="121"/>
        <v/>
      </c>
      <c r="K132" s="1223" t="str">
        <f t="shared" si="155"/>
        <v/>
      </c>
      <c r="L132" s="1216"/>
      <c r="M132" s="1224" t="str">
        <f t="shared" ref="M132:N132" si="160">IF(M100="","",M100)</f>
        <v/>
      </c>
      <c r="N132" s="1225" t="str">
        <f t="shared" si="160"/>
        <v/>
      </c>
      <c r="O132" s="1226" t="str">
        <f t="shared" si="126"/>
        <v/>
      </c>
      <c r="P132" s="1226" t="str">
        <f t="shared" si="127"/>
        <v/>
      </c>
      <c r="Q132" s="1227" t="str">
        <f t="shared" si="128"/>
        <v/>
      </c>
      <c r="R132" s="1216"/>
      <c r="S132" s="1228" t="str">
        <f t="shared" si="129"/>
        <v/>
      </c>
      <c r="T132" s="1228" t="str">
        <f t="shared" si="130"/>
        <v/>
      </c>
      <c r="U132" s="1229" t="str">
        <f t="shared" si="123"/>
        <v/>
      </c>
      <c r="V132" s="1212"/>
      <c r="W132" s="723"/>
      <c r="X132" s="604"/>
      <c r="Y132" s="604"/>
      <c r="Z132" s="890" t="str">
        <f t="shared" si="124"/>
        <v/>
      </c>
      <c r="AA132" s="865">
        <f t="shared" si="131"/>
        <v>0.62</v>
      </c>
      <c r="AB132" s="891" t="e">
        <f t="shared" si="132"/>
        <v>#VALUE!</v>
      </c>
      <c r="AC132" s="891" t="e">
        <f t="shared" si="133"/>
        <v>#VALUE!</v>
      </c>
      <c r="AD132" s="891" t="e">
        <f t="shared" si="134"/>
        <v>#VALUE!</v>
      </c>
      <c r="AE132" s="892" t="e">
        <f t="shared" si="135"/>
        <v>#VALUE!</v>
      </c>
      <c r="AF132" s="893" t="e">
        <f t="shared" si="136"/>
        <v>#VALUE!</v>
      </c>
      <c r="AG132" s="865">
        <f>IF(H132&gt;8,tab!C$132,tab!C$134)</f>
        <v>0.5</v>
      </c>
      <c r="AH132" s="866">
        <f t="shared" si="137"/>
        <v>0</v>
      </c>
      <c r="AI132" s="864">
        <f t="shared" si="138"/>
        <v>0</v>
      </c>
      <c r="AJ132" s="894"/>
      <c r="AK132" s="837"/>
      <c r="AL132" s="837"/>
      <c r="AM132" s="837"/>
      <c r="AN132" s="895"/>
      <c r="AO132" s="837"/>
      <c r="AP132" s="837"/>
      <c r="AQ132" s="874"/>
      <c r="AR132" s="837"/>
      <c r="AS132" s="837"/>
      <c r="AT132" s="837"/>
      <c r="AU132" s="836"/>
      <c r="AV132" s="836"/>
      <c r="AW132" s="869"/>
      <c r="AX132" s="836"/>
      <c r="AY132" s="837"/>
      <c r="AZ132" s="713"/>
    </row>
    <row r="133" spans="3:59" s="526" customFormat="1" x14ac:dyDescent="0.2">
      <c r="C133" s="1037"/>
      <c r="D133" s="1474"/>
      <c r="E133" s="1474"/>
      <c r="F133" s="1474"/>
      <c r="G133" s="1475"/>
      <c r="H133" s="1476"/>
      <c r="I133" s="1475"/>
      <c r="J133" s="1477"/>
      <c r="K133" s="1478">
        <f>SUM(K113:K132)</f>
        <v>1</v>
      </c>
      <c r="L133" s="1218"/>
      <c r="M133" s="1479">
        <f>SUM(M113:M132)</f>
        <v>0</v>
      </c>
      <c r="N133" s="1479">
        <f>SUM(N113:N132)</f>
        <v>0</v>
      </c>
      <c r="O133" s="1232">
        <f t="shared" ref="O133" si="161">SUM(O113:O132)</f>
        <v>40</v>
      </c>
      <c r="P133" s="1232">
        <f t="shared" ref="P133" si="162">SUM(P113:P132)</f>
        <v>0</v>
      </c>
      <c r="Q133" s="1232">
        <f t="shared" ref="Q133" si="163">SUM(Q113:Q132)</f>
        <v>40</v>
      </c>
      <c r="R133" s="1218"/>
      <c r="S133" s="1233">
        <f>SUM(S113:S132)</f>
        <v>84687.811356238701</v>
      </c>
      <c r="T133" s="1233">
        <f t="shared" ref="T133:U133" si="164">SUM(T113:T132)</f>
        <v>2092.3486437613019</v>
      </c>
      <c r="U133" s="1233">
        <f t="shared" si="164"/>
        <v>86780.160000000003</v>
      </c>
      <c r="V133" s="1213"/>
      <c r="W133" s="728"/>
      <c r="X133" s="604"/>
      <c r="Y133" s="604"/>
      <c r="Z133" s="873"/>
      <c r="AA133" s="873"/>
      <c r="AB133" s="873"/>
      <c r="AC133" s="873"/>
      <c r="AD133" s="873"/>
      <c r="AE133" s="873"/>
      <c r="AF133" s="873"/>
      <c r="AG133" s="873"/>
      <c r="AH133" s="867">
        <f t="shared" ref="AH133:AI133" si="165">SUM(AH113:AH132)</f>
        <v>25</v>
      </c>
      <c r="AI133" s="870">
        <f t="shared" si="165"/>
        <v>2410.56</v>
      </c>
      <c r="AJ133" s="846"/>
      <c r="AK133" s="837"/>
      <c r="AL133" s="837"/>
      <c r="AM133" s="837"/>
      <c r="AN133" s="837"/>
      <c r="AO133" s="837"/>
      <c r="AP133" s="837"/>
      <c r="AQ133" s="874"/>
      <c r="AR133" s="837"/>
      <c r="AS133" s="837"/>
      <c r="AT133" s="837"/>
      <c r="AU133" s="836"/>
      <c r="AV133" s="836"/>
      <c r="AW133" s="836"/>
      <c r="AX133" s="836"/>
      <c r="AY133" s="837"/>
      <c r="AZ133" s="713"/>
    </row>
    <row r="134" spans="3:59" s="526" customFormat="1" x14ac:dyDescent="0.2">
      <c r="C134" s="1037"/>
      <c r="D134" s="1040"/>
      <c r="E134" s="1040"/>
      <c r="F134" s="1040"/>
      <c r="G134" s="1039"/>
      <c r="H134" s="1189"/>
      <c r="I134" s="1039"/>
      <c r="J134" s="1190"/>
      <c r="K134" s="1191"/>
      <c r="L134" s="1191"/>
      <c r="M134" s="1190"/>
      <c r="N134" s="1191"/>
      <c r="O134" s="1190"/>
      <c r="P134" s="1214"/>
      <c r="Q134" s="1214"/>
      <c r="R134" s="1191"/>
      <c r="S134" s="1215"/>
      <c r="T134" s="1215"/>
      <c r="U134" s="1192"/>
      <c r="V134" s="1192"/>
      <c r="W134" s="712"/>
      <c r="X134" s="604"/>
      <c r="Y134" s="604"/>
      <c r="Z134" s="873"/>
      <c r="AA134" s="873"/>
      <c r="AB134" s="873"/>
      <c r="AC134" s="873"/>
      <c r="AD134" s="873"/>
      <c r="AE134" s="873"/>
      <c r="AF134" s="873"/>
      <c r="AG134" s="873"/>
      <c r="AH134" s="867"/>
      <c r="AI134" s="870"/>
      <c r="AJ134" s="846"/>
      <c r="AK134" s="837"/>
      <c r="AL134" s="837"/>
      <c r="AM134" s="837"/>
      <c r="AN134" s="837"/>
      <c r="AO134" s="837"/>
      <c r="AP134" s="837"/>
      <c r="AQ134" s="874"/>
      <c r="AR134" s="837"/>
      <c r="AS134" s="837"/>
      <c r="AT134" s="837"/>
      <c r="AU134" s="836"/>
      <c r="AV134" s="836"/>
      <c r="AW134" s="836"/>
      <c r="AX134" s="836"/>
      <c r="AY134" s="837"/>
      <c r="AZ134" s="713"/>
    </row>
    <row r="135" spans="3:59" s="526" customFormat="1" x14ac:dyDescent="0.2">
      <c r="D135" s="708"/>
      <c r="E135" s="708"/>
      <c r="F135" s="708"/>
      <c r="G135" s="527"/>
      <c r="H135" s="709"/>
      <c r="I135" s="710"/>
      <c r="J135" s="710"/>
      <c r="K135" s="711"/>
      <c r="L135" s="711"/>
      <c r="M135" s="710"/>
      <c r="N135" s="711"/>
      <c r="O135" s="710"/>
      <c r="P135" s="527"/>
      <c r="Q135" s="527"/>
      <c r="R135" s="711"/>
      <c r="U135" s="712"/>
      <c r="V135" s="712"/>
      <c r="W135" s="712"/>
      <c r="X135" s="604"/>
      <c r="Y135" s="604"/>
      <c r="Z135" s="873"/>
      <c r="AA135" s="873"/>
      <c r="AB135" s="873"/>
      <c r="AC135" s="873"/>
      <c r="AD135" s="873"/>
      <c r="AE135" s="873"/>
      <c r="AF135" s="873"/>
      <c r="AG135" s="873"/>
      <c r="AH135" s="866"/>
      <c r="AI135" s="864"/>
      <c r="AJ135" s="837"/>
      <c r="AK135" s="837"/>
      <c r="AL135" s="837"/>
      <c r="AM135" s="837"/>
      <c r="AN135" s="837"/>
      <c r="AO135" s="837"/>
      <c r="AP135" s="837"/>
      <c r="AQ135" s="874"/>
      <c r="AR135" s="837"/>
      <c r="AS135" s="837"/>
      <c r="AT135" s="837"/>
      <c r="AU135" s="836"/>
      <c r="AV135" s="836"/>
      <c r="AW135" s="836"/>
      <c r="AX135" s="836"/>
      <c r="AY135" s="837"/>
      <c r="AZ135" s="713"/>
    </row>
    <row r="136" spans="3:59" s="707" customFormat="1" x14ac:dyDescent="0.2">
      <c r="D136" s="729"/>
      <c r="E136" s="729"/>
      <c r="F136" s="729"/>
      <c r="G136" s="720"/>
      <c r="H136" s="730"/>
      <c r="I136" s="731"/>
      <c r="J136" s="731"/>
      <c r="K136" s="733"/>
      <c r="L136" s="733"/>
      <c r="M136" s="731"/>
      <c r="N136" s="733"/>
      <c r="O136" s="731"/>
      <c r="P136" s="720"/>
      <c r="Q136" s="720"/>
      <c r="R136" s="733"/>
      <c r="U136" s="712"/>
      <c r="V136" s="712"/>
      <c r="W136" s="712"/>
      <c r="X136" s="604"/>
      <c r="Y136" s="604"/>
      <c r="Z136" s="873"/>
      <c r="AA136" s="873"/>
      <c r="AB136" s="873"/>
      <c r="AC136" s="873"/>
      <c r="AD136" s="873"/>
      <c r="AE136" s="873"/>
      <c r="AF136" s="873"/>
      <c r="AG136" s="873"/>
      <c r="AH136" s="867"/>
      <c r="AI136" s="870"/>
      <c r="AJ136" s="872"/>
      <c r="AK136" s="872"/>
      <c r="AL136" s="872"/>
      <c r="AM136" s="872"/>
      <c r="AN136" s="872"/>
      <c r="AO136" s="872"/>
      <c r="AP136" s="872"/>
      <c r="AQ136" s="896"/>
      <c r="AR136" s="872"/>
      <c r="AS136" s="872"/>
      <c r="AT136" s="872"/>
      <c r="AU136" s="871"/>
      <c r="AV136" s="871"/>
      <c r="AW136" s="871"/>
      <c r="AX136" s="871"/>
      <c r="AY136" s="872"/>
      <c r="AZ136" s="721"/>
      <c r="BG136" s="526"/>
    </row>
    <row r="137" spans="3:59" s="526" customFormat="1" x14ac:dyDescent="0.2">
      <c r="C137" s="526" t="s">
        <v>255</v>
      </c>
      <c r="D137" s="708"/>
      <c r="E137" s="724" t="str">
        <f>tab!G2</f>
        <v>2019/20</v>
      </c>
      <c r="F137" s="708"/>
      <c r="G137" s="527"/>
      <c r="H137" s="709"/>
      <c r="I137" s="710"/>
      <c r="J137" s="710"/>
      <c r="K137" s="711"/>
      <c r="L137" s="711"/>
      <c r="M137" s="710"/>
      <c r="N137" s="711"/>
      <c r="O137" s="710"/>
      <c r="P137" s="527"/>
      <c r="Q137" s="527"/>
      <c r="R137" s="711"/>
      <c r="U137" s="712"/>
      <c r="V137" s="712"/>
      <c r="W137" s="712"/>
      <c r="X137" s="604"/>
      <c r="Y137" s="604"/>
      <c r="Z137" s="873"/>
      <c r="AA137" s="873"/>
      <c r="AB137" s="873"/>
      <c r="AC137" s="873"/>
      <c r="AD137" s="873"/>
      <c r="AE137" s="873"/>
      <c r="AF137" s="873"/>
      <c r="AG137" s="873"/>
      <c r="AH137" s="866"/>
      <c r="AI137" s="864"/>
      <c r="AJ137" s="837"/>
      <c r="AK137" s="837"/>
      <c r="AL137" s="837"/>
      <c r="AM137" s="837"/>
      <c r="AN137" s="837"/>
      <c r="AO137" s="837"/>
      <c r="AP137" s="837"/>
      <c r="AQ137" s="874"/>
      <c r="AR137" s="837"/>
      <c r="AS137" s="837"/>
      <c r="AT137" s="837"/>
      <c r="AU137" s="836"/>
      <c r="AV137" s="836"/>
      <c r="AW137" s="836"/>
      <c r="AX137" s="836"/>
      <c r="AY137" s="837"/>
      <c r="AZ137" s="713"/>
    </row>
    <row r="138" spans="3:59" s="526" customFormat="1" x14ac:dyDescent="0.2">
      <c r="C138" s="526" t="s">
        <v>256</v>
      </c>
      <c r="D138" s="708"/>
      <c r="E138" s="724">
        <f>+tab!H3</f>
        <v>43739</v>
      </c>
      <c r="F138" s="708"/>
      <c r="G138" s="527"/>
      <c r="H138" s="709"/>
      <c r="I138" s="710"/>
      <c r="J138" s="710"/>
      <c r="K138" s="711"/>
      <c r="L138" s="711"/>
      <c r="M138" s="710"/>
      <c r="N138" s="711"/>
      <c r="O138" s="710"/>
      <c r="P138" s="527"/>
      <c r="Q138" s="527"/>
      <c r="R138" s="711"/>
      <c r="U138" s="712"/>
      <c r="V138" s="712"/>
      <c r="W138" s="712"/>
      <c r="X138" s="604"/>
      <c r="Y138" s="604"/>
      <c r="Z138" s="873"/>
      <c r="AA138" s="873"/>
      <c r="AB138" s="873"/>
      <c r="AC138" s="873"/>
      <c r="AD138" s="873"/>
      <c r="AE138" s="873"/>
      <c r="AF138" s="873"/>
      <c r="AG138" s="873"/>
      <c r="AH138" s="866"/>
      <c r="AI138" s="864"/>
      <c r="AJ138" s="837"/>
      <c r="AK138" s="837"/>
      <c r="AL138" s="837"/>
      <c r="AM138" s="837"/>
      <c r="AN138" s="837"/>
      <c r="AO138" s="837"/>
      <c r="AP138" s="837"/>
      <c r="AQ138" s="874"/>
      <c r="AR138" s="837"/>
      <c r="AS138" s="837"/>
      <c r="AT138" s="837"/>
      <c r="AU138" s="836"/>
      <c r="AV138" s="836"/>
      <c r="AW138" s="836"/>
      <c r="AX138" s="836"/>
      <c r="AY138" s="837"/>
      <c r="AZ138" s="713"/>
    </row>
    <row r="139" spans="3:59" s="707" customFormat="1" x14ac:dyDescent="0.2">
      <c r="D139" s="729"/>
      <c r="E139" s="729"/>
      <c r="F139" s="729"/>
      <c r="G139" s="720"/>
      <c r="H139" s="730"/>
      <c r="I139" s="731"/>
      <c r="J139" s="731"/>
      <c r="K139" s="733"/>
      <c r="L139" s="733"/>
      <c r="M139" s="731"/>
      <c r="N139" s="733"/>
      <c r="O139" s="731"/>
      <c r="P139" s="720"/>
      <c r="Q139" s="720"/>
      <c r="R139" s="733"/>
      <c r="U139" s="712"/>
      <c r="V139" s="712"/>
      <c r="W139" s="712"/>
      <c r="X139" s="604"/>
      <c r="Y139" s="604"/>
      <c r="Z139" s="873"/>
      <c r="AA139" s="873"/>
      <c r="AB139" s="873"/>
      <c r="AC139" s="873"/>
      <c r="AD139" s="873"/>
      <c r="AE139" s="873"/>
      <c r="AF139" s="873"/>
      <c r="AG139" s="873"/>
      <c r="AH139" s="867"/>
      <c r="AI139" s="870"/>
      <c r="AJ139" s="872"/>
      <c r="AK139" s="872"/>
      <c r="AL139" s="872"/>
      <c r="AM139" s="872"/>
      <c r="AN139" s="872"/>
      <c r="AO139" s="872"/>
      <c r="AP139" s="872"/>
      <c r="AQ139" s="896"/>
      <c r="AR139" s="872"/>
      <c r="AS139" s="872"/>
      <c r="AT139" s="872"/>
      <c r="AU139" s="871"/>
      <c r="AV139" s="871"/>
      <c r="AW139" s="871"/>
      <c r="AX139" s="871"/>
      <c r="AY139" s="872"/>
      <c r="AZ139" s="721"/>
      <c r="BG139" s="526"/>
    </row>
    <row r="140" spans="3:59" s="526" customFormat="1" ht="12.75" customHeight="1" x14ac:dyDescent="0.2">
      <c r="C140" s="1037"/>
      <c r="D140" s="1040"/>
      <c r="E140" s="1092"/>
      <c r="F140" s="1040"/>
      <c r="G140" s="1039"/>
      <c r="H140" s="1189"/>
      <c r="I140" s="1190"/>
      <c r="J140" s="1190"/>
      <c r="K140" s="1191"/>
      <c r="L140" s="1191"/>
      <c r="M140" s="1190"/>
      <c r="N140" s="1191"/>
      <c r="O140" s="1190"/>
      <c r="P140" s="1039"/>
      <c r="Q140" s="1039"/>
      <c r="R140" s="1191"/>
      <c r="S140" s="1037"/>
      <c r="T140" s="1037"/>
      <c r="U140" s="1192"/>
      <c r="V140" s="1192"/>
      <c r="W140" s="712"/>
      <c r="X140" s="604"/>
      <c r="Y140" s="604"/>
      <c r="Z140" s="873"/>
      <c r="AA140" s="873"/>
      <c r="AB140" s="873"/>
      <c r="AC140" s="873"/>
      <c r="AD140" s="873"/>
      <c r="AE140" s="873"/>
      <c r="AF140" s="873"/>
      <c r="AG140" s="873"/>
      <c r="AH140" s="866"/>
      <c r="AI140" s="864"/>
      <c r="AJ140" s="837"/>
      <c r="AK140" s="837"/>
      <c r="AL140" s="837"/>
      <c r="AM140" s="837"/>
      <c r="AN140" s="837"/>
      <c r="AO140" s="837"/>
      <c r="AP140" s="851"/>
      <c r="AQ140" s="889"/>
      <c r="AR140" s="851"/>
      <c r="AS140" s="851"/>
      <c r="AT140" s="851"/>
      <c r="AU140" s="844"/>
      <c r="AV140" s="850"/>
      <c r="AW140" s="851"/>
      <c r="AX140" s="852"/>
      <c r="AY140" s="853"/>
      <c r="AZ140" s="715"/>
      <c r="BG140" s="707"/>
    </row>
    <row r="141" spans="3:59" s="690" customFormat="1" ht="12.75" customHeight="1" x14ac:dyDescent="0.2">
      <c r="C141" s="1193"/>
      <c r="D141" s="1194" t="s">
        <v>257</v>
      </c>
      <c r="E141" s="1195"/>
      <c r="F141" s="1195"/>
      <c r="G141" s="1195"/>
      <c r="H141" s="1195"/>
      <c r="I141" s="1195"/>
      <c r="J141" s="1195"/>
      <c r="K141" s="1195"/>
      <c r="L141" s="1195"/>
      <c r="M141" s="1194" t="s">
        <v>865</v>
      </c>
      <c r="N141" s="1196"/>
      <c r="O141" s="1196"/>
      <c r="P141" s="1196"/>
      <c r="Q141" s="1196"/>
      <c r="R141" s="1195"/>
      <c r="S141" s="1539" t="s">
        <v>866</v>
      </c>
      <c r="T141" s="1539"/>
      <c r="U141" s="1540"/>
      <c r="V141" s="1197"/>
      <c r="W141" s="725"/>
      <c r="X141" s="604"/>
      <c r="Y141" s="604"/>
      <c r="Z141" s="873"/>
      <c r="AA141" s="873"/>
      <c r="AB141" s="873"/>
      <c r="AC141" s="873"/>
      <c r="AD141" s="873"/>
      <c r="AE141" s="873"/>
      <c r="AF141" s="873"/>
      <c r="AG141" s="873"/>
      <c r="AH141" s="867"/>
      <c r="AI141" s="857"/>
      <c r="AJ141" s="846"/>
      <c r="AK141" s="860"/>
      <c r="AL141" s="860"/>
      <c r="AM141" s="845"/>
      <c r="AN141" s="868"/>
      <c r="AO141" s="845"/>
      <c r="AP141" s="837"/>
      <c r="AQ141" s="837"/>
      <c r="AR141" s="837"/>
      <c r="AS141" s="837"/>
      <c r="AT141" s="837"/>
      <c r="AU141" s="859"/>
      <c r="AV141" s="859"/>
      <c r="AW141" s="859"/>
      <c r="AX141" s="859"/>
      <c r="AY141" s="859"/>
      <c r="BA141" s="719"/>
      <c r="BB141" s="719"/>
    </row>
    <row r="142" spans="3:59" s="526" customFormat="1" ht="12.75" customHeight="1" x14ac:dyDescent="0.2">
      <c r="C142" s="1198"/>
      <c r="D142" s="1145" t="s">
        <v>258</v>
      </c>
      <c r="E142" s="1145" t="s">
        <v>259</v>
      </c>
      <c r="F142" s="1145" t="s">
        <v>260</v>
      </c>
      <c r="G142" s="1199" t="s">
        <v>261</v>
      </c>
      <c r="H142" s="1200" t="s">
        <v>262</v>
      </c>
      <c r="I142" s="1199" t="s">
        <v>217</v>
      </c>
      <c r="J142" s="1199" t="s">
        <v>263</v>
      </c>
      <c r="K142" s="1201" t="s">
        <v>264</v>
      </c>
      <c r="L142" s="1201"/>
      <c r="M142" s="1078" t="s">
        <v>867</v>
      </c>
      <c r="N142" s="1078" t="s">
        <v>868</v>
      </c>
      <c r="O142" s="1078" t="s">
        <v>869</v>
      </c>
      <c r="P142" s="1078" t="s">
        <v>870</v>
      </c>
      <c r="Q142" s="1202" t="s">
        <v>871</v>
      </c>
      <c r="R142" s="1201"/>
      <c r="S142" s="1203" t="s">
        <v>872</v>
      </c>
      <c r="T142" s="1203" t="s">
        <v>873</v>
      </c>
      <c r="U142" s="1203" t="s">
        <v>265</v>
      </c>
      <c r="V142" s="1204"/>
      <c r="W142" s="726"/>
      <c r="X142" s="604"/>
      <c r="Y142" s="604"/>
      <c r="Z142" s="854" t="s">
        <v>469</v>
      </c>
      <c r="AA142" s="855" t="s">
        <v>880</v>
      </c>
      <c r="AB142" s="856" t="s">
        <v>881</v>
      </c>
      <c r="AC142" s="856" t="s">
        <v>881</v>
      </c>
      <c r="AD142" s="856" t="s">
        <v>882</v>
      </c>
      <c r="AE142" s="856" t="s">
        <v>883</v>
      </c>
      <c r="AF142" s="856" t="s">
        <v>884</v>
      </c>
      <c r="AG142" s="856" t="s">
        <v>885</v>
      </c>
      <c r="AH142" s="856" t="s">
        <v>267</v>
      </c>
      <c r="AI142" s="857" t="s">
        <v>482</v>
      </c>
      <c r="AJ142" s="861"/>
      <c r="AK142" s="862"/>
      <c r="AL142" s="862"/>
      <c r="AM142" s="855"/>
      <c r="AN142" s="854"/>
      <c r="AO142" s="855"/>
      <c r="AP142" s="837"/>
      <c r="AQ142" s="837"/>
      <c r="AR142" s="837"/>
      <c r="AS142" s="837"/>
      <c r="AT142" s="837"/>
      <c r="AU142" s="836"/>
      <c r="AV142" s="836"/>
      <c r="AW142" s="836"/>
      <c r="AX142" s="836"/>
      <c r="AY142" s="836"/>
      <c r="BA142" s="719"/>
      <c r="BB142" s="717"/>
    </row>
    <row r="143" spans="3:59" s="526" customFormat="1" ht="12.75" customHeight="1" x14ac:dyDescent="0.2">
      <c r="C143" s="1198"/>
      <c r="D143" s="1205"/>
      <c r="E143" s="1145"/>
      <c r="F143" s="1206"/>
      <c r="G143" s="1199" t="s">
        <v>269</v>
      </c>
      <c r="H143" s="1200" t="s">
        <v>270</v>
      </c>
      <c r="I143" s="1199"/>
      <c r="J143" s="1199"/>
      <c r="K143" s="1201"/>
      <c r="L143" s="1201"/>
      <c r="M143" s="1078" t="s">
        <v>874</v>
      </c>
      <c r="N143" s="1078" t="s">
        <v>875</v>
      </c>
      <c r="O143" s="1078" t="s">
        <v>876</v>
      </c>
      <c r="P143" s="1078" t="s">
        <v>877</v>
      </c>
      <c r="Q143" s="1202" t="s">
        <v>173</v>
      </c>
      <c r="R143" s="1201"/>
      <c r="S143" s="1203" t="s">
        <v>878</v>
      </c>
      <c r="T143" s="1203" t="s">
        <v>879</v>
      </c>
      <c r="U143" s="1203" t="s">
        <v>173</v>
      </c>
      <c r="V143" s="1204"/>
      <c r="W143" s="726"/>
      <c r="X143" s="604"/>
      <c r="Y143" s="604"/>
      <c r="Z143" s="856" t="s">
        <v>886</v>
      </c>
      <c r="AA143" s="858">
        <f>AA$14</f>
        <v>0.62</v>
      </c>
      <c r="AB143" s="856" t="s">
        <v>887</v>
      </c>
      <c r="AC143" s="856" t="s">
        <v>888</v>
      </c>
      <c r="AD143" s="856" t="s">
        <v>889</v>
      </c>
      <c r="AE143" s="856" t="s">
        <v>890</v>
      </c>
      <c r="AF143" s="856" t="s">
        <v>890</v>
      </c>
      <c r="AG143" s="856" t="s">
        <v>891</v>
      </c>
      <c r="AH143" s="856"/>
      <c r="AI143" s="856" t="s">
        <v>266</v>
      </c>
      <c r="AJ143" s="837"/>
      <c r="AK143" s="837"/>
      <c r="AL143" s="837"/>
      <c r="AM143" s="837"/>
      <c r="AN143" s="837"/>
      <c r="AO143" s="837"/>
      <c r="AP143" s="837"/>
      <c r="AQ143" s="837"/>
      <c r="AR143" s="837"/>
      <c r="AS143" s="837"/>
      <c r="AT143" s="837"/>
      <c r="AU143" s="836"/>
      <c r="AV143" s="836"/>
      <c r="AW143" s="836"/>
      <c r="AX143" s="836"/>
      <c r="AY143" s="836"/>
      <c r="BB143" s="718"/>
    </row>
    <row r="144" spans="3:59" s="526" customFormat="1" ht="12.75" customHeight="1" x14ac:dyDescent="0.2">
      <c r="C144" s="1037"/>
      <c r="D144" s="1097"/>
      <c r="E144" s="1097"/>
      <c r="F144" s="1097"/>
      <c r="G144" s="1044"/>
      <c r="H144" s="1470"/>
      <c r="I144" s="1471"/>
      <c r="J144" s="1471"/>
      <c r="K144" s="1472"/>
      <c r="L144" s="1208"/>
      <c r="M144" s="1473"/>
      <c r="N144" s="1472"/>
      <c r="O144" s="1209"/>
      <c r="P144" s="1210"/>
      <c r="Q144" s="1210"/>
      <c r="R144" s="1208"/>
      <c r="S144" s="1210"/>
      <c r="T144" s="1210"/>
      <c r="U144" s="1211"/>
      <c r="V144" s="1211"/>
      <c r="W144" s="727"/>
      <c r="X144" s="604"/>
      <c r="Y144" s="604"/>
      <c r="Z144" s="873"/>
      <c r="AA144" s="873"/>
      <c r="AB144" s="873"/>
      <c r="AC144" s="873"/>
      <c r="AD144" s="873"/>
      <c r="AE144" s="873"/>
      <c r="AF144" s="873"/>
      <c r="AG144" s="873"/>
      <c r="AH144" s="863"/>
      <c r="AI144" s="864"/>
      <c r="AJ144" s="862"/>
      <c r="AK144" s="837"/>
      <c r="AL144" s="837"/>
      <c r="AM144" s="837"/>
      <c r="AN144" s="837"/>
      <c r="AO144" s="837"/>
      <c r="AP144" s="837"/>
      <c r="AQ144" s="837"/>
      <c r="AR144" s="837"/>
      <c r="AS144" s="837"/>
      <c r="AT144" s="837"/>
      <c r="AU144" s="836"/>
      <c r="AV144" s="836"/>
      <c r="AW144" s="836"/>
      <c r="AX144" s="836"/>
      <c r="AY144" s="836"/>
      <c r="BB144" s="718"/>
    </row>
    <row r="145" spans="3:52" s="526" customFormat="1" ht="12.75" customHeight="1" x14ac:dyDescent="0.2">
      <c r="C145" s="1037"/>
      <c r="D145" s="1219" t="str">
        <f t="shared" ref="D145:F164" si="166">IF(D113=0,"",D113)</f>
        <v/>
      </c>
      <c r="E145" s="1220" t="str">
        <f t="shared" si="166"/>
        <v>piet</v>
      </c>
      <c r="F145" s="1220" t="str">
        <f t="shared" si="166"/>
        <v/>
      </c>
      <c r="G145" s="1221">
        <f t="shared" ref="G145:G164" si="167">IF(G113="","",G113+1)</f>
        <v>26</v>
      </c>
      <c r="H145" s="1222">
        <f t="shared" ref="H145:I160" si="168">IF(H113=0,"",H113)</f>
        <v>29221</v>
      </c>
      <c r="I145" s="1221" t="str">
        <f t="shared" si="168"/>
        <v>LC</v>
      </c>
      <c r="J145" s="1221">
        <f t="shared" ref="J145:J164" si="169">IF(E145="","",(IF((J113+1)&gt;VLOOKUP(I145,tabelsalaris16,23,FALSE),J113,J113+1)))</f>
        <v>15</v>
      </c>
      <c r="K145" s="1223">
        <f t="shared" ref="K145:K164" si="170">IF(K113="","",K113)</f>
        <v>1</v>
      </c>
      <c r="L145" s="1216"/>
      <c r="M145" s="1224">
        <f>IF(M113="","",M113)</f>
        <v>0</v>
      </c>
      <c r="N145" s="1225">
        <f>IF(N113="","",N113)</f>
        <v>0</v>
      </c>
      <c r="O145" s="1226">
        <f>IF(K145="","",IF(K145*40&gt;40,40,K145*40))</f>
        <v>40</v>
      </c>
      <c r="P145" s="1226">
        <f>IF(I145="","",IF(OR(I145="LA",OR(I145="LB",OR(I145="LC",OR(I145="LD",OR(I145="LE"))))),1,0)*IF(J145&lt;4,IF(K145*40&gt;40,40,K145*40),0))</f>
        <v>0</v>
      </c>
      <c r="Q145" s="1227">
        <f>IF(K145="","",SUM(M145:P145))</f>
        <v>40</v>
      </c>
      <c r="R145" s="1216"/>
      <c r="S145" s="1228">
        <f>IF(J145="","",((1659*K145-Q145)*AC145))</f>
        <v>84687.811356238701</v>
      </c>
      <c r="T145" s="1228">
        <f>IF(K145="","",Q145*AD145+AB145*(AE145+AF145*(1-AG145)))</f>
        <v>2092.3486437613019</v>
      </c>
      <c r="U145" s="1229">
        <f t="shared" ref="U145:U164" si="171">IF(K145="","",(S145+T145))</f>
        <v>86780.160000000003</v>
      </c>
      <c r="V145" s="1212"/>
      <c r="W145" s="723"/>
      <c r="X145" s="604"/>
      <c r="Y145" s="604"/>
      <c r="Z145" s="890">
        <f t="shared" ref="Z145:Z164" si="172">IF(I145="","",VLOOKUP(I145,tabelsalaris16,J145+2,FALSE))</f>
        <v>4464</v>
      </c>
      <c r="AA145" s="865">
        <f>AA$14</f>
        <v>0.62</v>
      </c>
      <c r="AB145" s="891">
        <f>Z145*12/1659</f>
        <v>32.289330922242314</v>
      </c>
      <c r="AC145" s="891">
        <f>Z145*12*(1+AA145)/1659</f>
        <v>52.308716094032555</v>
      </c>
      <c r="AD145" s="891">
        <f>AC145-AB145</f>
        <v>20.01938517179024</v>
      </c>
      <c r="AE145" s="892">
        <f>O145+P145</f>
        <v>40</v>
      </c>
      <c r="AF145" s="893">
        <f>M145+N145</f>
        <v>0</v>
      </c>
      <c r="AG145" s="865">
        <f>IF(H145&gt;8,tab!C$132,tab!C$134)</f>
        <v>0.5</v>
      </c>
      <c r="AH145" s="866">
        <f>IF(G145&lt;25,0,IF(G145=25,25,IF(G145&lt;40,0,IF(G145=40,40,IF(G145&gt;=40,0)))))</f>
        <v>0</v>
      </c>
      <c r="AI145" s="864">
        <f>IF(E145="",0,IF(AH145=25,Z145*1.08*K145/2,IF(AH145=40,Z145*1.08*K145,IF(AH145=0,0))))</f>
        <v>0</v>
      </c>
      <c r="AJ145" s="894"/>
      <c r="AK145" s="837"/>
      <c r="AL145" s="837"/>
      <c r="AM145" s="837"/>
      <c r="AN145" s="895"/>
      <c r="AO145" s="837"/>
      <c r="AP145" s="837"/>
      <c r="AQ145" s="874"/>
      <c r="AR145" s="837"/>
      <c r="AS145" s="837"/>
      <c r="AT145" s="837"/>
      <c r="AU145" s="836"/>
      <c r="AV145" s="836"/>
      <c r="AW145" s="869"/>
      <c r="AX145" s="836"/>
      <c r="AY145" s="837"/>
      <c r="AZ145" s="713"/>
    </row>
    <row r="146" spans="3:52" s="526" customFormat="1" ht="12.75" customHeight="1" x14ac:dyDescent="0.2">
      <c r="C146" s="1037"/>
      <c r="D146" s="1219" t="str">
        <f t="shared" si="166"/>
        <v/>
      </c>
      <c r="E146" s="1219" t="str">
        <f t="shared" si="166"/>
        <v/>
      </c>
      <c r="F146" s="1219" t="str">
        <f t="shared" si="166"/>
        <v/>
      </c>
      <c r="G146" s="1221" t="str">
        <f t="shared" si="167"/>
        <v/>
      </c>
      <c r="H146" s="1222" t="str">
        <f t="shared" si="168"/>
        <v/>
      </c>
      <c r="I146" s="1221" t="str">
        <f t="shared" ref="I146" si="173">IF(I114=0,"",I114)</f>
        <v/>
      </c>
      <c r="J146" s="1221" t="str">
        <f t="shared" si="169"/>
        <v/>
      </c>
      <c r="K146" s="1223" t="str">
        <f t="shared" si="170"/>
        <v/>
      </c>
      <c r="L146" s="1216"/>
      <c r="M146" s="1224" t="str">
        <f t="shared" ref="M146:N146" si="174">IF(M114="","",M114)</f>
        <v/>
      </c>
      <c r="N146" s="1225" t="str">
        <f t="shared" si="174"/>
        <v/>
      </c>
      <c r="O146" s="1226" t="str">
        <f t="shared" ref="O146:O164" si="175">IF(K146="","",IF(K146*40&gt;40,40,K146*40))</f>
        <v/>
      </c>
      <c r="P146" s="1226" t="str">
        <f t="shared" ref="P146:P164" si="176">IF(I146="","",IF(OR(I146="LA",OR(I146="LB",OR(I146="LC",OR(I146="LD",OR(I146="LE"))))),1,0)*IF(J146&lt;4,IF(K146*40&gt;40,40,K146*40),0))</f>
        <v/>
      </c>
      <c r="Q146" s="1227" t="str">
        <f t="shared" ref="Q146:Q164" si="177">IF(K146="","",SUM(M146:P146))</f>
        <v/>
      </c>
      <c r="R146" s="1216"/>
      <c r="S146" s="1228" t="str">
        <f t="shared" ref="S146:S164" si="178">IF(J146="","",((1659*K146-Q146)*AC146))</f>
        <v/>
      </c>
      <c r="T146" s="1228" t="str">
        <f t="shared" ref="T146:T164" si="179">IF(K146="","",Q146*AD146+AB146*(AE146+AF146*(1-AG146)))</f>
        <v/>
      </c>
      <c r="U146" s="1229" t="str">
        <f t="shared" si="171"/>
        <v/>
      </c>
      <c r="V146" s="1212"/>
      <c r="W146" s="723"/>
      <c r="X146" s="604"/>
      <c r="Y146" s="604"/>
      <c r="Z146" s="890" t="str">
        <f t="shared" si="172"/>
        <v/>
      </c>
      <c r="AA146" s="865">
        <f t="shared" ref="AA146:AA164" si="180">AA$14</f>
        <v>0.62</v>
      </c>
      <c r="AB146" s="891" t="e">
        <f t="shared" ref="AB146:AB164" si="181">Z146*12/1659</f>
        <v>#VALUE!</v>
      </c>
      <c r="AC146" s="891" t="e">
        <f t="shared" ref="AC146:AC164" si="182">Z146*12*(1+AA146)/1659</f>
        <v>#VALUE!</v>
      </c>
      <c r="AD146" s="891" t="e">
        <f t="shared" ref="AD146:AD164" si="183">AC146-AB146</f>
        <v>#VALUE!</v>
      </c>
      <c r="AE146" s="892" t="e">
        <f t="shared" ref="AE146:AE164" si="184">O146+P146</f>
        <v>#VALUE!</v>
      </c>
      <c r="AF146" s="893" t="e">
        <f t="shared" ref="AF146:AF164" si="185">M146+N146</f>
        <v>#VALUE!</v>
      </c>
      <c r="AG146" s="865">
        <f>IF(H146&gt;8,tab!C$132,tab!C$134)</f>
        <v>0.5</v>
      </c>
      <c r="AH146" s="866">
        <f t="shared" ref="AH146:AH164" si="186">IF(G146&lt;25,0,IF(G146=25,25,IF(G146&lt;40,0,IF(G146=40,40,IF(G146&gt;=40,0)))))</f>
        <v>0</v>
      </c>
      <c r="AI146" s="864">
        <f t="shared" ref="AI146:AI164" si="187">IF(E146="",0,IF(AH146=25,Z146*1.08*K146/2,IF(AH146=40,Z146*1.08*K146,IF(AH146=0,0))))</f>
        <v>0</v>
      </c>
      <c r="AJ146" s="894"/>
      <c r="AK146" s="837"/>
      <c r="AL146" s="837"/>
      <c r="AM146" s="837"/>
      <c r="AN146" s="895"/>
      <c r="AO146" s="837"/>
      <c r="AP146" s="837"/>
      <c r="AQ146" s="874"/>
      <c r="AR146" s="837"/>
      <c r="AS146" s="837"/>
      <c r="AT146" s="837"/>
      <c r="AU146" s="836"/>
      <c r="AV146" s="836"/>
      <c r="AW146" s="869"/>
      <c r="AX146" s="836"/>
      <c r="AY146" s="837"/>
      <c r="AZ146" s="713"/>
    </row>
    <row r="147" spans="3:52" s="526" customFormat="1" ht="12.75" customHeight="1" x14ac:dyDescent="0.2">
      <c r="C147" s="1037"/>
      <c r="D147" s="1219" t="str">
        <f t="shared" si="166"/>
        <v/>
      </c>
      <c r="E147" s="1220" t="str">
        <f t="shared" si="166"/>
        <v/>
      </c>
      <c r="F147" s="1220" t="str">
        <f t="shared" si="166"/>
        <v/>
      </c>
      <c r="G147" s="1124" t="str">
        <f t="shared" si="167"/>
        <v/>
      </c>
      <c r="H147" s="1230" t="str">
        <f t="shared" si="168"/>
        <v/>
      </c>
      <c r="I147" s="1221" t="str">
        <f t="shared" ref="I147" si="188">IF(I115=0,"",I115)</f>
        <v/>
      </c>
      <c r="J147" s="1124" t="str">
        <f t="shared" si="169"/>
        <v/>
      </c>
      <c r="K147" s="1231" t="str">
        <f t="shared" si="170"/>
        <v/>
      </c>
      <c r="L147" s="1217"/>
      <c r="M147" s="1224" t="str">
        <f t="shared" ref="M147:N147" si="189">IF(M115="","",M115)</f>
        <v/>
      </c>
      <c r="N147" s="1225" t="str">
        <f t="shared" si="189"/>
        <v/>
      </c>
      <c r="O147" s="1226" t="str">
        <f t="shared" si="175"/>
        <v/>
      </c>
      <c r="P147" s="1226" t="str">
        <f t="shared" si="176"/>
        <v/>
      </c>
      <c r="Q147" s="1227" t="str">
        <f t="shared" si="177"/>
        <v/>
      </c>
      <c r="R147" s="1217"/>
      <c r="S147" s="1228" t="str">
        <f t="shared" si="178"/>
        <v/>
      </c>
      <c r="T147" s="1228" t="str">
        <f t="shared" si="179"/>
        <v/>
      </c>
      <c r="U147" s="1229" t="str">
        <f t="shared" si="171"/>
        <v/>
      </c>
      <c r="V147" s="1212"/>
      <c r="W147" s="723"/>
      <c r="X147" s="604"/>
      <c r="Y147" s="604"/>
      <c r="Z147" s="890" t="str">
        <f t="shared" si="172"/>
        <v/>
      </c>
      <c r="AA147" s="865">
        <f t="shared" si="180"/>
        <v>0.62</v>
      </c>
      <c r="AB147" s="891" t="e">
        <f t="shared" si="181"/>
        <v>#VALUE!</v>
      </c>
      <c r="AC147" s="891" t="e">
        <f t="shared" si="182"/>
        <v>#VALUE!</v>
      </c>
      <c r="AD147" s="891" t="e">
        <f t="shared" si="183"/>
        <v>#VALUE!</v>
      </c>
      <c r="AE147" s="892" t="e">
        <f t="shared" si="184"/>
        <v>#VALUE!</v>
      </c>
      <c r="AF147" s="893" t="e">
        <f t="shared" si="185"/>
        <v>#VALUE!</v>
      </c>
      <c r="AG147" s="865">
        <f>IF(H147&gt;8,tab!C$132,tab!C$134)</f>
        <v>0.5</v>
      </c>
      <c r="AH147" s="866">
        <f t="shared" si="186"/>
        <v>0</v>
      </c>
      <c r="AI147" s="864">
        <f t="shared" si="187"/>
        <v>0</v>
      </c>
      <c r="AJ147" s="894"/>
      <c r="AK147" s="837"/>
      <c r="AL147" s="837"/>
      <c r="AM147" s="837"/>
      <c r="AN147" s="895"/>
      <c r="AO147" s="837"/>
      <c r="AP147" s="837"/>
      <c r="AQ147" s="874"/>
      <c r="AR147" s="837"/>
      <c r="AS147" s="837"/>
      <c r="AT147" s="837"/>
      <c r="AU147" s="836"/>
      <c r="AV147" s="836"/>
      <c r="AW147" s="869"/>
      <c r="AX147" s="836"/>
      <c r="AY147" s="837"/>
      <c r="AZ147" s="713"/>
    </row>
    <row r="148" spans="3:52" s="526" customFormat="1" ht="12.75" customHeight="1" x14ac:dyDescent="0.2">
      <c r="C148" s="1037"/>
      <c r="D148" s="1219" t="str">
        <f t="shared" si="166"/>
        <v/>
      </c>
      <c r="E148" s="1219" t="str">
        <f t="shared" si="166"/>
        <v/>
      </c>
      <c r="F148" s="1219" t="str">
        <f t="shared" si="166"/>
        <v/>
      </c>
      <c r="G148" s="1221" t="str">
        <f t="shared" si="167"/>
        <v/>
      </c>
      <c r="H148" s="1222" t="str">
        <f t="shared" si="168"/>
        <v/>
      </c>
      <c r="I148" s="1221" t="str">
        <f t="shared" ref="I148" si="190">IF(I116=0,"",I116)</f>
        <v/>
      </c>
      <c r="J148" s="1221" t="str">
        <f t="shared" si="169"/>
        <v/>
      </c>
      <c r="K148" s="1223" t="str">
        <f t="shared" si="170"/>
        <v/>
      </c>
      <c r="L148" s="1216"/>
      <c r="M148" s="1224" t="str">
        <f t="shared" ref="M148:N148" si="191">IF(M116="","",M116)</f>
        <v/>
      </c>
      <c r="N148" s="1225" t="str">
        <f t="shared" si="191"/>
        <v/>
      </c>
      <c r="O148" s="1226" t="str">
        <f t="shared" si="175"/>
        <v/>
      </c>
      <c r="P148" s="1226" t="str">
        <f t="shared" si="176"/>
        <v/>
      </c>
      <c r="Q148" s="1227" t="str">
        <f t="shared" si="177"/>
        <v/>
      </c>
      <c r="R148" s="1216"/>
      <c r="S148" s="1228" t="str">
        <f t="shared" si="178"/>
        <v/>
      </c>
      <c r="T148" s="1228" t="str">
        <f t="shared" si="179"/>
        <v/>
      </c>
      <c r="U148" s="1229" t="str">
        <f t="shared" si="171"/>
        <v/>
      </c>
      <c r="V148" s="1212"/>
      <c r="W148" s="723"/>
      <c r="X148" s="604"/>
      <c r="Y148" s="604"/>
      <c r="Z148" s="890" t="str">
        <f t="shared" si="172"/>
        <v/>
      </c>
      <c r="AA148" s="865">
        <f t="shared" si="180"/>
        <v>0.62</v>
      </c>
      <c r="AB148" s="891" t="e">
        <f t="shared" si="181"/>
        <v>#VALUE!</v>
      </c>
      <c r="AC148" s="891" t="e">
        <f t="shared" si="182"/>
        <v>#VALUE!</v>
      </c>
      <c r="AD148" s="891" t="e">
        <f t="shared" si="183"/>
        <v>#VALUE!</v>
      </c>
      <c r="AE148" s="892" t="e">
        <f t="shared" si="184"/>
        <v>#VALUE!</v>
      </c>
      <c r="AF148" s="893" t="e">
        <f t="shared" si="185"/>
        <v>#VALUE!</v>
      </c>
      <c r="AG148" s="865">
        <f>IF(H148&gt;8,tab!C$132,tab!C$134)</f>
        <v>0.5</v>
      </c>
      <c r="AH148" s="866">
        <f t="shared" si="186"/>
        <v>0</v>
      </c>
      <c r="AI148" s="864">
        <f t="shared" si="187"/>
        <v>0</v>
      </c>
      <c r="AJ148" s="894"/>
      <c r="AK148" s="837"/>
      <c r="AL148" s="837"/>
      <c r="AM148" s="837"/>
      <c r="AN148" s="895"/>
      <c r="AO148" s="837"/>
      <c r="AP148" s="837"/>
      <c r="AQ148" s="874"/>
      <c r="AR148" s="837"/>
      <c r="AS148" s="837"/>
      <c r="AT148" s="837"/>
      <c r="AU148" s="836"/>
      <c r="AV148" s="836"/>
      <c r="AW148" s="869"/>
      <c r="AX148" s="836"/>
      <c r="AY148" s="837"/>
      <c r="AZ148" s="713"/>
    </row>
    <row r="149" spans="3:52" s="526" customFormat="1" ht="12.75" customHeight="1" x14ac:dyDescent="0.2">
      <c r="C149" s="1037"/>
      <c r="D149" s="1219" t="str">
        <f t="shared" si="166"/>
        <v/>
      </c>
      <c r="E149" s="1219" t="str">
        <f t="shared" si="166"/>
        <v/>
      </c>
      <c r="F149" s="1219" t="str">
        <f t="shared" si="166"/>
        <v/>
      </c>
      <c r="G149" s="1221" t="str">
        <f t="shared" si="167"/>
        <v/>
      </c>
      <c r="H149" s="1222" t="str">
        <f t="shared" si="168"/>
        <v/>
      </c>
      <c r="I149" s="1221" t="str">
        <f t="shared" ref="I149" si="192">IF(I117=0,"",I117)</f>
        <v/>
      </c>
      <c r="J149" s="1221" t="str">
        <f t="shared" si="169"/>
        <v/>
      </c>
      <c r="K149" s="1223" t="str">
        <f t="shared" si="170"/>
        <v/>
      </c>
      <c r="L149" s="1216"/>
      <c r="M149" s="1224" t="str">
        <f t="shared" ref="M149:N149" si="193">IF(M117="","",M117)</f>
        <v/>
      </c>
      <c r="N149" s="1225" t="str">
        <f t="shared" si="193"/>
        <v/>
      </c>
      <c r="O149" s="1226" t="str">
        <f t="shared" si="175"/>
        <v/>
      </c>
      <c r="P149" s="1226" t="str">
        <f t="shared" si="176"/>
        <v/>
      </c>
      <c r="Q149" s="1227" t="str">
        <f t="shared" si="177"/>
        <v/>
      </c>
      <c r="R149" s="1216"/>
      <c r="S149" s="1228" t="str">
        <f t="shared" si="178"/>
        <v/>
      </c>
      <c r="T149" s="1228" t="str">
        <f t="shared" si="179"/>
        <v/>
      </c>
      <c r="U149" s="1229" t="str">
        <f t="shared" si="171"/>
        <v/>
      </c>
      <c r="V149" s="1212"/>
      <c r="W149" s="723"/>
      <c r="X149" s="604"/>
      <c r="Y149" s="604"/>
      <c r="Z149" s="890" t="str">
        <f t="shared" si="172"/>
        <v/>
      </c>
      <c r="AA149" s="865">
        <f t="shared" si="180"/>
        <v>0.62</v>
      </c>
      <c r="AB149" s="891" t="e">
        <f t="shared" si="181"/>
        <v>#VALUE!</v>
      </c>
      <c r="AC149" s="891" t="e">
        <f t="shared" si="182"/>
        <v>#VALUE!</v>
      </c>
      <c r="AD149" s="891" t="e">
        <f t="shared" si="183"/>
        <v>#VALUE!</v>
      </c>
      <c r="AE149" s="892" t="e">
        <f t="shared" si="184"/>
        <v>#VALUE!</v>
      </c>
      <c r="AF149" s="893" t="e">
        <f t="shared" si="185"/>
        <v>#VALUE!</v>
      </c>
      <c r="AG149" s="865">
        <f>IF(H149&gt;8,tab!C$132,tab!C$134)</f>
        <v>0.5</v>
      </c>
      <c r="AH149" s="866">
        <f t="shared" si="186"/>
        <v>0</v>
      </c>
      <c r="AI149" s="864">
        <f t="shared" si="187"/>
        <v>0</v>
      </c>
      <c r="AJ149" s="894"/>
      <c r="AK149" s="837"/>
      <c r="AL149" s="837"/>
      <c r="AM149" s="837"/>
      <c r="AN149" s="895"/>
      <c r="AO149" s="837"/>
      <c r="AP149" s="837"/>
      <c r="AQ149" s="874"/>
      <c r="AR149" s="837"/>
      <c r="AS149" s="837"/>
      <c r="AT149" s="837"/>
      <c r="AU149" s="836"/>
      <c r="AV149" s="836"/>
      <c r="AW149" s="869"/>
      <c r="AX149" s="836"/>
      <c r="AY149" s="837"/>
      <c r="AZ149" s="713"/>
    </row>
    <row r="150" spans="3:52" s="526" customFormat="1" ht="12.75" customHeight="1" x14ac:dyDescent="0.2">
      <c r="C150" s="1037"/>
      <c r="D150" s="1219" t="str">
        <f t="shared" si="166"/>
        <v/>
      </c>
      <c r="E150" s="1219" t="str">
        <f t="shared" si="166"/>
        <v/>
      </c>
      <c r="F150" s="1219" t="str">
        <f t="shared" si="166"/>
        <v/>
      </c>
      <c r="G150" s="1221" t="str">
        <f t="shared" si="167"/>
        <v/>
      </c>
      <c r="H150" s="1222" t="str">
        <f t="shared" si="168"/>
        <v/>
      </c>
      <c r="I150" s="1221" t="str">
        <f t="shared" ref="I150" si="194">IF(I118=0,"",I118)</f>
        <v/>
      </c>
      <c r="J150" s="1221" t="str">
        <f t="shared" si="169"/>
        <v/>
      </c>
      <c r="K150" s="1223" t="str">
        <f t="shared" si="170"/>
        <v/>
      </c>
      <c r="L150" s="1216"/>
      <c r="M150" s="1224" t="str">
        <f t="shared" ref="M150:N150" si="195">IF(M118="","",M118)</f>
        <v/>
      </c>
      <c r="N150" s="1225" t="str">
        <f t="shared" si="195"/>
        <v/>
      </c>
      <c r="O150" s="1226" t="str">
        <f t="shared" si="175"/>
        <v/>
      </c>
      <c r="P150" s="1226" t="str">
        <f t="shared" si="176"/>
        <v/>
      </c>
      <c r="Q150" s="1227" t="str">
        <f t="shared" si="177"/>
        <v/>
      </c>
      <c r="R150" s="1216"/>
      <c r="S150" s="1228" t="str">
        <f t="shared" si="178"/>
        <v/>
      </c>
      <c r="T150" s="1228" t="str">
        <f t="shared" si="179"/>
        <v/>
      </c>
      <c r="U150" s="1229" t="str">
        <f t="shared" si="171"/>
        <v/>
      </c>
      <c r="V150" s="1212"/>
      <c r="W150" s="723"/>
      <c r="X150" s="604"/>
      <c r="Y150" s="604"/>
      <c r="Z150" s="890" t="str">
        <f t="shared" si="172"/>
        <v/>
      </c>
      <c r="AA150" s="865">
        <f t="shared" si="180"/>
        <v>0.62</v>
      </c>
      <c r="AB150" s="891" t="e">
        <f t="shared" si="181"/>
        <v>#VALUE!</v>
      </c>
      <c r="AC150" s="891" t="e">
        <f t="shared" si="182"/>
        <v>#VALUE!</v>
      </c>
      <c r="AD150" s="891" t="e">
        <f t="shared" si="183"/>
        <v>#VALUE!</v>
      </c>
      <c r="AE150" s="892" t="e">
        <f t="shared" si="184"/>
        <v>#VALUE!</v>
      </c>
      <c r="AF150" s="893" t="e">
        <f t="shared" si="185"/>
        <v>#VALUE!</v>
      </c>
      <c r="AG150" s="865">
        <f>IF(H150&gt;8,tab!C$132,tab!C$134)</f>
        <v>0.5</v>
      </c>
      <c r="AH150" s="866">
        <f t="shared" si="186"/>
        <v>0</v>
      </c>
      <c r="AI150" s="864">
        <f t="shared" si="187"/>
        <v>0</v>
      </c>
      <c r="AJ150" s="894"/>
      <c r="AK150" s="837"/>
      <c r="AL150" s="837"/>
      <c r="AM150" s="837"/>
      <c r="AN150" s="895"/>
      <c r="AO150" s="837"/>
      <c r="AP150" s="837"/>
      <c r="AQ150" s="874"/>
      <c r="AR150" s="837"/>
      <c r="AS150" s="837"/>
      <c r="AT150" s="837"/>
      <c r="AU150" s="836"/>
      <c r="AV150" s="836"/>
      <c r="AW150" s="869"/>
      <c r="AX150" s="836"/>
      <c r="AY150" s="837"/>
      <c r="AZ150" s="713"/>
    </row>
    <row r="151" spans="3:52" s="526" customFormat="1" ht="12.75" customHeight="1" x14ac:dyDescent="0.2">
      <c r="C151" s="1037"/>
      <c r="D151" s="1219" t="str">
        <f t="shared" si="166"/>
        <v/>
      </c>
      <c r="E151" s="1219" t="str">
        <f t="shared" si="166"/>
        <v/>
      </c>
      <c r="F151" s="1219" t="str">
        <f t="shared" si="166"/>
        <v/>
      </c>
      <c r="G151" s="1221" t="str">
        <f t="shared" si="167"/>
        <v/>
      </c>
      <c r="H151" s="1222" t="str">
        <f t="shared" si="168"/>
        <v/>
      </c>
      <c r="I151" s="1221" t="str">
        <f t="shared" ref="I151" si="196">IF(I119=0,"",I119)</f>
        <v/>
      </c>
      <c r="J151" s="1221" t="str">
        <f t="shared" si="169"/>
        <v/>
      </c>
      <c r="K151" s="1223" t="str">
        <f t="shared" si="170"/>
        <v/>
      </c>
      <c r="L151" s="1216"/>
      <c r="M151" s="1224" t="str">
        <f t="shared" ref="M151:N151" si="197">IF(M119="","",M119)</f>
        <v/>
      </c>
      <c r="N151" s="1225" t="str">
        <f t="shared" si="197"/>
        <v/>
      </c>
      <c r="O151" s="1226" t="str">
        <f t="shared" si="175"/>
        <v/>
      </c>
      <c r="P151" s="1226" t="str">
        <f t="shared" si="176"/>
        <v/>
      </c>
      <c r="Q151" s="1227" t="str">
        <f t="shared" si="177"/>
        <v/>
      </c>
      <c r="R151" s="1216"/>
      <c r="S151" s="1228" t="str">
        <f t="shared" si="178"/>
        <v/>
      </c>
      <c r="T151" s="1228" t="str">
        <f t="shared" si="179"/>
        <v/>
      </c>
      <c r="U151" s="1229" t="str">
        <f t="shared" si="171"/>
        <v/>
      </c>
      <c r="V151" s="1212"/>
      <c r="W151" s="723"/>
      <c r="X151" s="604"/>
      <c r="Y151" s="604"/>
      <c r="Z151" s="890" t="str">
        <f t="shared" si="172"/>
        <v/>
      </c>
      <c r="AA151" s="865">
        <f t="shared" si="180"/>
        <v>0.62</v>
      </c>
      <c r="AB151" s="891" t="e">
        <f t="shared" si="181"/>
        <v>#VALUE!</v>
      </c>
      <c r="AC151" s="891" t="e">
        <f t="shared" si="182"/>
        <v>#VALUE!</v>
      </c>
      <c r="AD151" s="891" t="e">
        <f t="shared" si="183"/>
        <v>#VALUE!</v>
      </c>
      <c r="AE151" s="892" t="e">
        <f t="shared" si="184"/>
        <v>#VALUE!</v>
      </c>
      <c r="AF151" s="893" t="e">
        <f t="shared" si="185"/>
        <v>#VALUE!</v>
      </c>
      <c r="AG151" s="865">
        <f>IF(H151&gt;8,tab!C$132,tab!C$134)</f>
        <v>0.5</v>
      </c>
      <c r="AH151" s="866">
        <f t="shared" si="186"/>
        <v>0</v>
      </c>
      <c r="AI151" s="864">
        <f t="shared" si="187"/>
        <v>0</v>
      </c>
      <c r="AJ151" s="894"/>
      <c r="AK151" s="837"/>
      <c r="AL151" s="837"/>
      <c r="AM151" s="837"/>
      <c r="AN151" s="895"/>
      <c r="AO151" s="837"/>
      <c r="AP151" s="837"/>
      <c r="AQ151" s="874"/>
      <c r="AR151" s="837"/>
      <c r="AS151" s="837"/>
      <c r="AT151" s="837"/>
      <c r="AU151" s="836"/>
      <c r="AV151" s="836"/>
      <c r="AW151" s="869"/>
      <c r="AX151" s="836"/>
      <c r="AY151" s="837"/>
      <c r="AZ151" s="713"/>
    </row>
    <row r="152" spans="3:52" s="526" customFormat="1" ht="12.75" customHeight="1" x14ac:dyDescent="0.2">
      <c r="C152" s="1037"/>
      <c r="D152" s="1219" t="str">
        <f t="shared" si="166"/>
        <v/>
      </c>
      <c r="E152" s="1219" t="str">
        <f t="shared" si="166"/>
        <v/>
      </c>
      <c r="F152" s="1219" t="str">
        <f t="shared" si="166"/>
        <v/>
      </c>
      <c r="G152" s="1221" t="str">
        <f t="shared" si="167"/>
        <v/>
      </c>
      <c r="H152" s="1222" t="str">
        <f t="shared" si="168"/>
        <v/>
      </c>
      <c r="I152" s="1221" t="str">
        <f t="shared" ref="I152" si="198">IF(I120=0,"",I120)</f>
        <v/>
      </c>
      <c r="J152" s="1221" t="str">
        <f t="shared" si="169"/>
        <v/>
      </c>
      <c r="K152" s="1223" t="str">
        <f t="shared" si="170"/>
        <v/>
      </c>
      <c r="L152" s="1216"/>
      <c r="M152" s="1224" t="str">
        <f t="shared" ref="M152:N152" si="199">IF(M120="","",M120)</f>
        <v/>
      </c>
      <c r="N152" s="1225" t="str">
        <f t="shared" si="199"/>
        <v/>
      </c>
      <c r="O152" s="1226" t="str">
        <f t="shared" si="175"/>
        <v/>
      </c>
      <c r="P152" s="1226" t="str">
        <f t="shared" si="176"/>
        <v/>
      </c>
      <c r="Q152" s="1227" t="str">
        <f t="shared" si="177"/>
        <v/>
      </c>
      <c r="R152" s="1216"/>
      <c r="S152" s="1228" t="str">
        <f t="shared" si="178"/>
        <v/>
      </c>
      <c r="T152" s="1228" t="str">
        <f t="shared" si="179"/>
        <v/>
      </c>
      <c r="U152" s="1229" t="str">
        <f t="shared" si="171"/>
        <v/>
      </c>
      <c r="V152" s="1212"/>
      <c r="W152" s="723"/>
      <c r="X152" s="604"/>
      <c r="Y152" s="604"/>
      <c r="Z152" s="890" t="str">
        <f t="shared" si="172"/>
        <v/>
      </c>
      <c r="AA152" s="865">
        <f t="shared" si="180"/>
        <v>0.62</v>
      </c>
      <c r="AB152" s="891" t="e">
        <f t="shared" si="181"/>
        <v>#VALUE!</v>
      </c>
      <c r="AC152" s="891" t="e">
        <f t="shared" si="182"/>
        <v>#VALUE!</v>
      </c>
      <c r="AD152" s="891" t="e">
        <f t="shared" si="183"/>
        <v>#VALUE!</v>
      </c>
      <c r="AE152" s="892" t="e">
        <f t="shared" si="184"/>
        <v>#VALUE!</v>
      </c>
      <c r="AF152" s="893" t="e">
        <f t="shared" si="185"/>
        <v>#VALUE!</v>
      </c>
      <c r="AG152" s="865">
        <f>IF(H152&gt;8,tab!C$132,tab!C$134)</f>
        <v>0.5</v>
      </c>
      <c r="AH152" s="866">
        <f t="shared" si="186"/>
        <v>0</v>
      </c>
      <c r="AI152" s="864">
        <f t="shared" si="187"/>
        <v>0</v>
      </c>
      <c r="AJ152" s="894"/>
      <c r="AK152" s="837"/>
      <c r="AL152" s="837"/>
      <c r="AM152" s="837"/>
      <c r="AN152" s="895"/>
      <c r="AO152" s="837"/>
      <c r="AP152" s="837"/>
      <c r="AQ152" s="874"/>
      <c r="AR152" s="837"/>
      <c r="AS152" s="837"/>
      <c r="AT152" s="837"/>
      <c r="AU152" s="836"/>
      <c r="AV152" s="836"/>
      <c r="AW152" s="869"/>
      <c r="AX152" s="836"/>
      <c r="AY152" s="837"/>
      <c r="AZ152" s="713"/>
    </row>
    <row r="153" spans="3:52" s="526" customFormat="1" ht="12.75" customHeight="1" x14ac:dyDescent="0.2">
      <c r="C153" s="1037"/>
      <c r="D153" s="1219" t="str">
        <f t="shared" si="166"/>
        <v/>
      </c>
      <c r="E153" s="1219" t="str">
        <f t="shared" si="166"/>
        <v/>
      </c>
      <c r="F153" s="1219" t="str">
        <f t="shared" si="166"/>
        <v/>
      </c>
      <c r="G153" s="1221" t="str">
        <f t="shared" si="167"/>
        <v/>
      </c>
      <c r="H153" s="1222" t="str">
        <f t="shared" si="168"/>
        <v/>
      </c>
      <c r="I153" s="1221" t="str">
        <f t="shared" ref="I153" si="200">IF(I121=0,"",I121)</f>
        <v/>
      </c>
      <c r="J153" s="1221" t="str">
        <f t="shared" si="169"/>
        <v/>
      </c>
      <c r="K153" s="1223" t="str">
        <f t="shared" si="170"/>
        <v/>
      </c>
      <c r="L153" s="1216"/>
      <c r="M153" s="1224" t="str">
        <f t="shared" ref="M153:N153" si="201">IF(M121="","",M121)</f>
        <v/>
      </c>
      <c r="N153" s="1225" t="str">
        <f t="shared" si="201"/>
        <v/>
      </c>
      <c r="O153" s="1226" t="str">
        <f t="shared" si="175"/>
        <v/>
      </c>
      <c r="P153" s="1226" t="str">
        <f t="shared" si="176"/>
        <v/>
      </c>
      <c r="Q153" s="1227" t="str">
        <f t="shared" si="177"/>
        <v/>
      </c>
      <c r="R153" s="1216"/>
      <c r="S153" s="1228" t="str">
        <f t="shared" si="178"/>
        <v/>
      </c>
      <c r="T153" s="1228" t="str">
        <f t="shared" si="179"/>
        <v/>
      </c>
      <c r="U153" s="1229" t="str">
        <f t="shared" si="171"/>
        <v/>
      </c>
      <c r="V153" s="1212"/>
      <c r="W153" s="723"/>
      <c r="X153" s="604"/>
      <c r="Y153" s="604"/>
      <c r="Z153" s="890" t="str">
        <f t="shared" si="172"/>
        <v/>
      </c>
      <c r="AA153" s="865">
        <f t="shared" si="180"/>
        <v>0.62</v>
      </c>
      <c r="AB153" s="891" t="e">
        <f t="shared" si="181"/>
        <v>#VALUE!</v>
      </c>
      <c r="AC153" s="891" t="e">
        <f t="shared" si="182"/>
        <v>#VALUE!</v>
      </c>
      <c r="AD153" s="891" t="e">
        <f t="shared" si="183"/>
        <v>#VALUE!</v>
      </c>
      <c r="AE153" s="892" t="e">
        <f t="shared" si="184"/>
        <v>#VALUE!</v>
      </c>
      <c r="AF153" s="893" t="e">
        <f t="shared" si="185"/>
        <v>#VALUE!</v>
      </c>
      <c r="AG153" s="865">
        <f>IF(H153&gt;8,tab!C$132,tab!C$134)</f>
        <v>0.5</v>
      </c>
      <c r="AH153" s="866">
        <f t="shared" si="186"/>
        <v>0</v>
      </c>
      <c r="AI153" s="864">
        <f t="shared" si="187"/>
        <v>0</v>
      </c>
      <c r="AJ153" s="894"/>
      <c r="AK153" s="837"/>
      <c r="AL153" s="837"/>
      <c r="AM153" s="837"/>
      <c r="AN153" s="895"/>
      <c r="AO153" s="837"/>
      <c r="AP153" s="837"/>
      <c r="AQ153" s="874"/>
      <c r="AR153" s="837"/>
      <c r="AS153" s="837"/>
      <c r="AT153" s="837"/>
      <c r="AU153" s="836"/>
      <c r="AV153" s="836"/>
      <c r="AW153" s="869"/>
      <c r="AX153" s="836"/>
      <c r="AY153" s="837"/>
      <c r="AZ153" s="713"/>
    </row>
    <row r="154" spans="3:52" s="526" customFormat="1" ht="12.75" customHeight="1" x14ac:dyDescent="0.2">
      <c r="C154" s="1037"/>
      <c r="D154" s="1219" t="str">
        <f t="shared" si="166"/>
        <v/>
      </c>
      <c r="E154" s="1219" t="str">
        <f t="shared" si="166"/>
        <v/>
      </c>
      <c r="F154" s="1219" t="str">
        <f t="shared" si="166"/>
        <v/>
      </c>
      <c r="G154" s="1221" t="str">
        <f t="shared" si="167"/>
        <v/>
      </c>
      <c r="H154" s="1222" t="str">
        <f t="shared" si="168"/>
        <v/>
      </c>
      <c r="I154" s="1221" t="str">
        <f t="shared" ref="I154" si="202">IF(I122=0,"",I122)</f>
        <v/>
      </c>
      <c r="J154" s="1221" t="str">
        <f t="shared" si="169"/>
        <v/>
      </c>
      <c r="K154" s="1223" t="str">
        <f t="shared" si="170"/>
        <v/>
      </c>
      <c r="L154" s="1216"/>
      <c r="M154" s="1224" t="str">
        <f t="shared" ref="M154:N154" si="203">IF(M122="","",M122)</f>
        <v/>
      </c>
      <c r="N154" s="1225" t="str">
        <f t="shared" si="203"/>
        <v/>
      </c>
      <c r="O154" s="1226" t="str">
        <f t="shared" si="175"/>
        <v/>
      </c>
      <c r="P154" s="1226" t="str">
        <f t="shared" si="176"/>
        <v/>
      </c>
      <c r="Q154" s="1227" t="str">
        <f t="shared" si="177"/>
        <v/>
      </c>
      <c r="R154" s="1216"/>
      <c r="S154" s="1228" t="str">
        <f t="shared" si="178"/>
        <v/>
      </c>
      <c r="T154" s="1228" t="str">
        <f t="shared" si="179"/>
        <v/>
      </c>
      <c r="U154" s="1229" t="str">
        <f t="shared" si="171"/>
        <v/>
      </c>
      <c r="V154" s="1212"/>
      <c r="W154" s="723"/>
      <c r="X154" s="604"/>
      <c r="Y154" s="604"/>
      <c r="Z154" s="890" t="str">
        <f t="shared" si="172"/>
        <v/>
      </c>
      <c r="AA154" s="865">
        <f t="shared" si="180"/>
        <v>0.62</v>
      </c>
      <c r="AB154" s="891" t="e">
        <f t="shared" si="181"/>
        <v>#VALUE!</v>
      </c>
      <c r="AC154" s="891" t="e">
        <f t="shared" si="182"/>
        <v>#VALUE!</v>
      </c>
      <c r="AD154" s="891" t="e">
        <f t="shared" si="183"/>
        <v>#VALUE!</v>
      </c>
      <c r="AE154" s="892" t="e">
        <f t="shared" si="184"/>
        <v>#VALUE!</v>
      </c>
      <c r="AF154" s="893" t="e">
        <f t="shared" si="185"/>
        <v>#VALUE!</v>
      </c>
      <c r="AG154" s="865">
        <f>IF(H154&gt;8,tab!C$132,tab!C$134)</f>
        <v>0.5</v>
      </c>
      <c r="AH154" s="866">
        <f t="shared" si="186"/>
        <v>0</v>
      </c>
      <c r="AI154" s="864">
        <f t="shared" si="187"/>
        <v>0</v>
      </c>
      <c r="AJ154" s="894"/>
      <c r="AK154" s="837"/>
      <c r="AL154" s="837"/>
      <c r="AM154" s="837"/>
      <c r="AN154" s="895"/>
      <c r="AO154" s="837"/>
      <c r="AP154" s="837"/>
      <c r="AQ154" s="874"/>
      <c r="AR154" s="837"/>
      <c r="AS154" s="837"/>
      <c r="AT154" s="837"/>
      <c r="AU154" s="836"/>
      <c r="AV154" s="836"/>
      <c r="AW154" s="869"/>
      <c r="AX154" s="836"/>
      <c r="AY154" s="837"/>
      <c r="AZ154" s="713"/>
    </row>
    <row r="155" spans="3:52" s="526" customFormat="1" ht="12.75" customHeight="1" x14ac:dyDescent="0.2">
      <c r="C155" s="1037"/>
      <c r="D155" s="1219" t="str">
        <f t="shared" si="166"/>
        <v/>
      </c>
      <c r="E155" s="1219" t="str">
        <f t="shared" si="166"/>
        <v/>
      </c>
      <c r="F155" s="1219" t="str">
        <f t="shared" si="166"/>
        <v/>
      </c>
      <c r="G155" s="1221" t="str">
        <f t="shared" si="167"/>
        <v/>
      </c>
      <c r="H155" s="1222" t="str">
        <f t="shared" si="168"/>
        <v/>
      </c>
      <c r="I155" s="1221" t="str">
        <f t="shared" ref="I155" si="204">IF(I123=0,"",I123)</f>
        <v/>
      </c>
      <c r="J155" s="1221" t="str">
        <f t="shared" si="169"/>
        <v/>
      </c>
      <c r="K155" s="1223" t="str">
        <f t="shared" si="170"/>
        <v/>
      </c>
      <c r="L155" s="1216"/>
      <c r="M155" s="1224" t="str">
        <f t="shared" ref="M155:N155" si="205">IF(M123="","",M123)</f>
        <v/>
      </c>
      <c r="N155" s="1225" t="str">
        <f t="shared" si="205"/>
        <v/>
      </c>
      <c r="O155" s="1226" t="str">
        <f t="shared" si="175"/>
        <v/>
      </c>
      <c r="P155" s="1226" t="str">
        <f t="shared" si="176"/>
        <v/>
      </c>
      <c r="Q155" s="1227" t="str">
        <f t="shared" si="177"/>
        <v/>
      </c>
      <c r="R155" s="1216"/>
      <c r="S155" s="1228" t="str">
        <f t="shared" si="178"/>
        <v/>
      </c>
      <c r="T155" s="1228" t="str">
        <f t="shared" si="179"/>
        <v/>
      </c>
      <c r="U155" s="1229" t="str">
        <f t="shared" si="171"/>
        <v/>
      </c>
      <c r="V155" s="1212"/>
      <c r="W155" s="723"/>
      <c r="X155" s="604"/>
      <c r="Y155" s="604"/>
      <c r="Z155" s="890" t="str">
        <f t="shared" si="172"/>
        <v/>
      </c>
      <c r="AA155" s="865">
        <f t="shared" si="180"/>
        <v>0.62</v>
      </c>
      <c r="AB155" s="891" t="e">
        <f t="shared" si="181"/>
        <v>#VALUE!</v>
      </c>
      <c r="AC155" s="891" t="e">
        <f t="shared" si="182"/>
        <v>#VALUE!</v>
      </c>
      <c r="AD155" s="891" t="e">
        <f t="shared" si="183"/>
        <v>#VALUE!</v>
      </c>
      <c r="AE155" s="892" t="e">
        <f t="shared" si="184"/>
        <v>#VALUE!</v>
      </c>
      <c r="AF155" s="893" t="e">
        <f t="shared" si="185"/>
        <v>#VALUE!</v>
      </c>
      <c r="AG155" s="865">
        <f>IF(H155&gt;8,tab!C$132,tab!C$134)</f>
        <v>0.5</v>
      </c>
      <c r="AH155" s="866">
        <f t="shared" si="186"/>
        <v>0</v>
      </c>
      <c r="AI155" s="864">
        <f t="shared" si="187"/>
        <v>0</v>
      </c>
      <c r="AJ155" s="894"/>
      <c r="AK155" s="837"/>
      <c r="AL155" s="837"/>
      <c r="AM155" s="837"/>
      <c r="AN155" s="895"/>
      <c r="AO155" s="837"/>
      <c r="AP155" s="837"/>
      <c r="AQ155" s="874"/>
      <c r="AR155" s="837"/>
      <c r="AS155" s="837"/>
      <c r="AT155" s="837"/>
      <c r="AU155" s="836"/>
      <c r="AV155" s="836"/>
      <c r="AW155" s="869"/>
      <c r="AX155" s="836"/>
      <c r="AY155" s="837"/>
      <c r="AZ155" s="713"/>
    </row>
    <row r="156" spans="3:52" s="526" customFormat="1" ht="12.75" customHeight="1" x14ac:dyDescent="0.2">
      <c r="C156" s="1037"/>
      <c r="D156" s="1219" t="str">
        <f t="shared" si="166"/>
        <v/>
      </c>
      <c r="E156" s="1219" t="str">
        <f t="shared" si="166"/>
        <v/>
      </c>
      <c r="F156" s="1219" t="str">
        <f t="shared" si="166"/>
        <v/>
      </c>
      <c r="G156" s="1221" t="str">
        <f t="shared" si="167"/>
        <v/>
      </c>
      <c r="H156" s="1222" t="str">
        <f t="shared" si="168"/>
        <v/>
      </c>
      <c r="I156" s="1221" t="str">
        <f t="shared" ref="I156" si="206">IF(I124=0,"",I124)</f>
        <v/>
      </c>
      <c r="J156" s="1221" t="str">
        <f t="shared" si="169"/>
        <v/>
      </c>
      <c r="K156" s="1223" t="str">
        <f t="shared" si="170"/>
        <v/>
      </c>
      <c r="L156" s="1216"/>
      <c r="M156" s="1224" t="str">
        <f t="shared" ref="M156:N156" si="207">IF(M124="","",M124)</f>
        <v/>
      </c>
      <c r="N156" s="1225" t="str">
        <f t="shared" si="207"/>
        <v/>
      </c>
      <c r="O156" s="1226" t="str">
        <f t="shared" si="175"/>
        <v/>
      </c>
      <c r="P156" s="1226" t="str">
        <f t="shared" si="176"/>
        <v/>
      </c>
      <c r="Q156" s="1227" t="str">
        <f t="shared" si="177"/>
        <v/>
      </c>
      <c r="R156" s="1216"/>
      <c r="S156" s="1228" t="str">
        <f t="shared" si="178"/>
        <v/>
      </c>
      <c r="T156" s="1228" t="str">
        <f t="shared" si="179"/>
        <v/>
      </c>
      <c r="U156" s="1229" t="str">
        <f t="shared" si="171"/>
        <v/>
      </c>
      <c r="V156" s="1212"/>
      <c r="W156" s="723"/>
      <c r="X156" s="604"/>
      <c r="Y156" s="604"/>
      <c r="Z156" s="890" t="str">
        <f t="shared" si="172"/>
        <v/>
      </c>
      <c r="AA156" s="865">
        <f t="shared" si="180"/>
        <v>0.62</v>
      </c>
      <c r="AB156" s="891" t="e">
        <f t="shared" si="181"/>
        <v>#VALUE!</v>
      </c>
      <c r="AC156" s="891" t="e">
        <f t="shared" si="182"/>
        <v>#VALUE!</v>
      </c>
      <c r="AD156" s="891" t="e">
        <f t="shared" si="183"/>
        <v>#VALUE!</v>
      </c>
      <c r="AE156" s="892" t="e">
        <f t="shared" si="184"/>
        <v>#VALUE!</v>
      </c>
      <c r="AF156" s="893" t="e">
        <f t="shared" si="185"/>
        <v>#VALUE!</v>
      </c>
      <c r="AG156" s="865">
        <f>IF(H156&gt;8,tab!C$132,tab!C$134)</f>
        <v>0.5</v>
      </c>
      <c r="AH156" s="866">
        <f t="shared" si="186"/>
        <v>0</v>
      </c>
      <c r="AI156" s="864">
        <f t="shared" si="187"/>
        <v>0</v>
      </c>
      <c r="AJ156" s="894"/>
      <c r="AK156" s="837"/>
      <c r="AL156" s="837"/>
      <c r="AM156" s="837"/>
      <c r="AN156" s="895"/>
      <c r="AO156" s="837"/>
      <c r="AP156" s="837"/>
      <c r="AQ156" s="874"/>
      <c r="AR156" s="837"/>
      <c r="AS156" s="837"/>
      <c r="AT156" s="837"/>
      <c r="AU156" s="836"/>
      <c r="AV156" s="836"/>
      <c r="AW156" s="869"/>
      <c r="AX156" s="836"/>
      <c r="AY156" s="837"/>
      <c r="AZ156" s="713"/>
    </row>
    <row r="157" spans="3:52" s="526" customFormat="1" ht="12.75" customHeight="1" x14ac:dyDescent="0.2">
      <c r="C157" s="1037"/>
      <c r="D157" s="1219" t="str">
        <f t="shared" si="166"/>
        <v/>
      </c>
      <c r="E157" s="1219" t="str">
        <f t="shared" si="166"/>
        <v/>
      </c>
      <c r="F157" s="1219" t="str">
        <f t="shared" si="166"/>
        <v/>
      </c>
      <c r="G157" s="1221" t="str">
        <f t="shared" si="167"/>
        <v/>
      </c>
      <c r="H157" s="1222" t="str">
        <f t="shared" si="168"/>
        <v/>
      </c>
      <c r="I157" s="1221" t="str">
        <f t="shared" ref="I157" si="208">IF(I125=0,"",I125)</f>
        <v/>
      </c>
      <c r="J157" s="1221" t="str">
        <f t="shared" si="169"/>
        <v/>
      </c>
      <c r="K157" s="1223" t="str">
        <f t="shared" si="170"/>
        <v/>
      </c>
      <c r="L157" s="1216"/>
      <c r="M157" s="1224" t="str">
        <f t="shared" ref="M157:N157" si="209">IF(M125="","",M125)</f>
        <v/>
      </c>
      <c r="N157" s="1225" t="str">
        <f t="shared" si="209"/>
        <v/>
      </c>
      <c r="O157" s="1226" t="str">
        <f t="shared" si="175"/>
        <v/>
      </c>
      <c r="P157" s="1226" t="str">
        <f t="shared" si="176"/>
        <v/>
      </c>
      <c r="Q157" s="1227" t="str">
        <f t="shared" si="177"/>
        <v/>
      </c>
      <c r="R157" s="1216"/>
      <c r="S157" s="1228" t="str">
        <f t="shared" si="178"/>
        <v/>
      </c>
      <c r="T157" s="1228" t="str">
        <f t="shared" si="179"/>
        <v/>
      </c>
      <c r="U157" s="1229" t="str">
        <f t="shared" si="171"/>
        <v/>
      </c>
      <c r="V157" s="1212"/>
      <c r="W157" s="723"/>
      <c r="X157" s="604"/>
      <c r="Y157" s="604"/>
      <c r="Z157" s="890" t="str">
        <f t="shared" si="172"/>
        <v/>
      </c>
      <c r="AA157" s="865">
        <f t="shared" si="180"/>
        <v>0.62</v>
      </c>
      <c r="AB157" s="891" t="e">
        <f t="shared" si="181"/>
        <v>#VALUE!</v>
      </c>
      <c r="AC157" s="891" t="e">
        <f t="shared" si="182"/>
        <v>#VALUE!</v>
      </c>
      <c r="AD157" s="891" t="e">
        <f t="shared" si="183"/>
        <v>#VALUE!</v>
      </c>
      <c r="AE157" s="892" t="e">
        <f t="shared" si="184"/>
        <v>#VALUE!</v>
      </c>
      <c r="AF157" s="893" t="e">
        <f t="shared" si="185"/>
        <v>#VALUE!</v>
      </c>
      <c r="AG157" s="865">
        <f>IF(H157&gt;8,tab!C$132,tab!C$134)</f>
        <v>0.5</v>
      </c>
      <c r="AH157" s="866">
        <f t="shared" si="186"/>
        <v>0</v>
      </c>
      <c r="AI157" s="864">
        <f t="shared" si="187"/>
        <v>0</v>
      </c>
      <c r="AJ157" s="894"/>
      <c r="AK157" s="837"/>
      <c r="AL157" s="837"/>
      <c r="AM157" s="837"/>
      <c r="AN157" s="895"/>
      <c r="AO157" s="837"/>
      <c r="AP157" s="837"/>
      <c r="AQ157" s="874"/>
      <c r="AR157" s="837"/>
      <c r="AS157" s="837"/>
      <c r="AT157" s="837"/>
      <c r="AU157" s="836"/>
      <c r="AV157" s="836"/>
      <c r="AW157" s="869"/>
      <c r="AX157" s="836"/>
      <c r="AY157" s="837"/>
      <c r="AZ157" s="713"/>
    </row>
    <row r="158" spans="3:52" s="526" customFormat="1" ht="12.75" customHeight="1" x14ac:dyDescent="0.2">
      <c r="C158" s="1037"/>
      <c r="D158" s="1219" t="str">
        <f t="shared" si="166"/>
        <v/>
      </c>
      <c r="E158" s="1219" t="str">
        <f t="shared" si="166"/>
        <v/>
      </c>
      <c r="F158" s="1219" t="str">
        <f t="shared" si="166"/>
        <v/>
      </c>
      <c r="G158" s="1221" t="str">
        <f t="shared" si="167"/>
        <v/>
      </c>
      <c r="H158" s="1222" t="str">
        <f t="shared" si="168"/>
        <v/>
      </c>
      <c r="I158" s="1221" t="str">
        <f t="shared" ref="I158" si="210">IF(I126=0,"",I126)</f>
        <v/>
      </c>
      <c r="J158" s="1221" t="str">
        <f t="shared" si="169"/>
        <v/>
      </c>
      <c r="K158" s="1223" t="str">
        <f t="shared" si="170"/>
        <v/>
      </c>
      <c r="L158" s="1216"/>
      <c r="M158" s="1224" t="str">
        <f t="shared" ref="M158:N158" si="211">IF(M126="","",M126)</f>
        <v/>
      </c>
      <c r="N158" s="1225" t="str">
        <f t="shared" si="211"/>
        <v/>
      </c>
      <c r="O158" s="1226" t="str">
        <f t="shared" si="175"/>
        <v/>
      </c>
      <c r="P158" s="1226" t="str">
        <f t="shared" si="176"/>
        <v/>
      </c>
      <c r="Q158" s="1227" t="str">
        <f t="shared" si="177"/>
        <v/>
      </c>
      <c r="R158" s="1216"/>
      <c r="S158" s="1228" t="str">
        <f t="shared" si="178"/>
        <v/>
      </c>
      <c r="T158" s="1228" t="str">
        <f t="shared" si="179"/>
        <v/>
      </c>
      <c r="U158" s="1229" t="str">
        <f t="shared" si="171"/>
        <v/>
      </c>
      <c r="V158" s="1212"/>
      <c r="W158" s="723"/>
      <c r="X158" s="604"/>
      <c r="Y158" s="604"/>
      <c r="Z158" s="890" t="str">
        <f t="shared" si="172"/>
        <v/>
      </c>
      <c r="AA158" s="865">
        <f t="shared" si="180"/>
        <v>0.62</v>
      </c>
      <c r="AB158" s="891" t="e">
        <f t="shared" si="181"/>
        <v>#VALUE!</v>
      </c>
      <c r="AC158" s="891" t="e">
        <f t="shared" si="182"/>
        <v>#VALUE!</v>
      </c>
      <c r="AD158" s="891" t="e">
        <f t="shared" si="183"/>
        <v>#VALUE!</v>
      </c>
      <c r="AE158" s="892" t="e">
        <f t="shared" si="184"/>
        <v>#VALUE!</v>
      </c>
      <c r="AF158" s="893" t="e">
        <f t="shared" si="185"/>
        <v>#VALUE!</v>
      </c>
      <c r="AG158" s="865">
        <f>IF(H158&gt;8,tab!C$132,tab!C$134)</f>
        <v>0.5</v>
      </c>
      <c r="AH158" s="866">
        <f t="shared" si="186"/>
        <v>0</v>
      </c>
      <c r="AI158" s="864">
        <f t="shared" si="187"/>
        <v>0</v>
      </c>
      <c r="AJ158" s="894"/>
      <c r="AK158" s="837"/>
      <c r="AL158" s="837"/>
      <c r="AM158" s="837"/>
      <c r="AN158" s="895"/>
      <c r="AO158" s="837"/>
      <c r="AP158" s="837"/>
      <c r="AQ158" s="874"/>
      <c r="AR158" s="837"/>
      <c r="AS158" s="837"/>
      <c r="AT158" s="837"/>
      <c r="AU158" s="836"/>
      <c r="AV158" s="836"/>
      <c r="AW158" s="869"/>
      <c r="AX158" s="836"/>
      <c r="AY158" s="837"/>
      <c r="AZ158" s="713"/>
    </row>
    <row r="159" spans="3:52" s="526" customFormat="1" ht="12.75" customHeight="1" x14ac:dyDescent="0.2">
      <c r="C159" s="1037"/>
      <c r="D159" s="1219" t="str">
        <f t="shared" si="166"/>
        <v/>
      </c>
      <c r="E159" s="1219" t="str">
        <f t="shared" si="166"/>
        <v/>
      </c>
      <c r="F159" s="1219" t="str">
        <f t="shared" si="166"/>
        <v/>
      </c>
      <c r="G159" s="1221" t="str">
        <f t="shared" si="167"/>
        <v/>
      </c>
      <c r="H159" s="1222" t="str">
        <f t="shared" si="168"/>
        <v/>
      </c>
      <c r="I159" s="1221" t="str">
        <f t="shared" ref="I159" si="212">IF(I127=0,"",I127)</f>
        <v/>
      </c>
      <c r="J159" s="1221" t="str">
        <f t="shared" si="169"/>
        <v/>
      </c>
      <c r="K159" s="1223" t="str">
        <f t="shared" si="170"/>
        <v/>
      </c>
      <c r="L159" s="1216"/>
      <c r="M159" s="1224" t="str">
        <f t="shared" ref="M159:N159" si="213">IF(M127="","",M127)</f>
        <v/>
      </c>
      <c r="N159" s="1225" t="str">
        <f t="shared" si="213"/>
        <v/>
      </c>
      <c r="O159" s="1226" t="str">
        <f t="shared" si="175"/>
        <v/>
      </c>
      <c r="P159" s="1226" t="str">
        <f t="shared" si="176"/>
        <v/>
      </c>
      <c r="Q159" s="1227" t="str">
        <f t="shared" si="177"/>
        <v/>
      </c>
      <c r="R159" s="1216"/>
      <c r="S159" s="1228" t="str">
        <f t="shared" si="178"/>
        <v/>
      </c>
      <c r="T159" s="1228" t="str">
        <f t="shared" si="179"/>
        <v/>
      </c>
      <c r="U159" s="1229" t="str">
        <f t="shared" si="171"/>
        <v/>
      </c>
      <c r="V159" s="1212"/>
      <c r="W159" s="723"/>
      <c r="X159" s="604"/>
      <c r="Y159" s="604"/>
      <c r="Z159" s="890" t="str">
        <f t="shared" si="172"/>
        <v/>
      </c>
      <c r="AA159" s="865">
        <f t="shared" si="180"/>
        <v>0.62</v>
      </c>
      <c r="AB159" s="891" t="e">
        <f t="shared" si="181"/>
        <v>#VALUE!</v>
      </c>
      <c r="AC159" s="891" t="e">
        <f t="shared" si="182"/>
        <v>#VALUE!</v>
      </c>
      <c r="AD159" s="891" t="e">
        <f t="shared" si="183"/>
        <v>#VALUE!</v>
      </c>
      <c r="AE159" s="892" t="e">
        <f t="shared" si="184"/>
        <v>#VALUE!</v>
      </c>
      <c r="AF159" s="893" t="e">
        <f t="shared" si="185"/>
        <v>#VALUE!</v>
      </c>
      <c r="AG159" s="865">
        <f>IF(H159&gt;8,tab!C$132,tab!C$134)</f>
        <v>0.5</v>
      </c>
      <c r="AH159" s="866">
        <f t="shared" si="186"/>
        <v>0</v>
      </c>
      <c r="AI159" s="864">
        <f t="shared" si="187"/>
        <v>0</v>
      </c>
      <c r="AJ159" s="894"/>
      <c r="AK159" s="837"/>
      <c r="AL159" s="837"/>
      <c r="AM159" s="837"/>
      <c r="AN159" s="895"/>
      <c r="AO159" s="837"/>
      <c r="AP159" s="837"/>
      <c r="AQ159" s="874"/>
      <c r="AR159" s="837"/>
      <c r="AS159" s="837"/>
      <c r="AT159" s="837"/>
      <c r="AU159" s="836"/>
      <c r="AV159" s="836"/>
      <c r="AW159" s="869"/>
      <c r="AX159" s="836"/>
      <c r="AY159" s="837"/>
      <c r="AZ159" s="713"/>
    </row>
    <row r="160" spans="3:52" s="526" customFormat="1" ht="12.75" customHeight="1" x14ac:dyDescent="0.2">
      <c r="C160" s="1037"/>
      <c r="D160" s="1219" t="str">
        <f t="shared" si="166"/>
        <v/>
      </c>
      <c r="E160" s="1219" t="str">
        <f t="shared" si="166"/>
        <v/>
      </c>
      <c r="F160" s="1219" t="str">
        <f t="shared" si="166"/>
        <v/>
      </c>
      <c r="G160" s="1221" t="str">
        <f t="shared" si="167"/>
        <v/>
      </c>
      <c r="H160" s="1222" t="str">
        <f t="shared" si="168"/>
        <v/>
      </c>
      <c r="I160" s="1221" t="str">
        <f t="shared" ref="I160" si="214">IF(I128=0,"",I128)</f>
        <v/>
      </c>
      <c r="J160" s="1221" t="str">
        <f t="shared" si="169"/>
        <v/>
      </c>
      <c r="K160" s="1223" t="str">
        <f t="shared" si="170"/>
        <v/>
      </c>
      <c r="L160" s="1216"/>
      <c r="M160" s="1224" t="str">
        <f t="shared" ref="M160:N160" si="215">IF(M128="","",M128)</f>
        <v/>
      </c>
      <c r="N160" s="1225" t="str">
        <f t="shared" si="215"/>
        <v/>
      </c>
      <c r="O160" s="1226" t="str">
        <f t="shared" si="175"/>
        <v/>
      </c>
      <c r="P160" s="1226" t="str">
        <f t="shared" si="176"/>
        <v/>
      </c>
      <c r="Q160" s="1227" t="str">
        <f t="shared" si="177"/>
        <v/>
      </c>
      <c r="R160" s="1216"/>
      <c r="S160" s="1228" t="str">
        <f t="shared" si="178"/>
        <v/>
      </c>
      <c r="T160" s="1228" t="str">
        <f t="shared" si="179"/>
        <v/>
      </c>
      <c r="U160" s="1229" t="str">
        <f t="shared" si="171"/>
        <v/>
      </c>
      <c r="V160" s="1212"/>
      <c r="W160" s="723"/>
      <c r="X160" s="604"/>
      <c r="Y160" s="604"/>
      <c r="Z160" s="890" t="str">
        <f t="shared" si="172"/>
        <v/>
      </c>
      <c r="AA160" s="865">
        <f t="shared" si="180"/>
        <v>0.62</v>
      </c>
      <c r="AB160" s="891" t="e">
        <f t="shared" si="181"/>
        <v>#VALUE!</v>
      </c>
      <c r="AC160" s="891" t="e">
        <f t="shared" si="182"/>
        <v>#VALUE!</v>
      </c>
      <c r="AD160" s="891" t="e">
        <f t="shared" si="183"/>
        <v>#VALUE!</v>
      </c>
      <c r="AE160" s="892" t="e">
        <f t="shared" si="184"/>
        <v>#VALUE!</v>
      </c>
      <c r="AF160" s="893" t="e">
        <f t="shared" si="185"/>
        <v>#VALUE!</v>
      </c>
      <c r="AG160" s="865">
        <f>IF(H160&gt;8,tab!C$132,tab!C$134)</f>
        <v>0.5</v>
      </c>
      <c r="AH160" s="866">
        <f t="shared" si="186"/>
        <v>0</v>
      </c>
      <c r="AI160" s="864">
        <f t="shared" si="187"/>
        <v>0</v>
      </c>
      <c r="AJ160" s="894"/>
      <c r="AK160" s="837"/>
      <c r="AL160" s="837"/>
      <c r="AM160" s="837"/>
      <c r="AN160" s="895"/>
      <c r="AO160" s="837"/>
      <c r="AP160" s="837"/>
      <c r="AQ160" s="874"/>
      <c r="AR160" s="837"/>
      <c r="AS160" s="837"/>
      <c r="AT160" s="837"/>
      <c r="AU160" s="836"/>
      <c r="AV160" s="836"/>
      <c r="AW160" s="869"/>
      <c r="AX160" s="836"/>
      <c r="AY160" s="837"/>
      <c r="AZ160" s="713"/>
    </row>
    <row r="161" spans="3:59" s="526" customFormat="1" ht="12.75" customHeight="1" x14ac:dyDescent="0.2">
      <c r="C161" s="1037"/>
      <c r="D161" s="1219" t="str">
        <f t="shared" si="166"/>
        <v/>
      </c>
      <c r="E161" s="1219" t="str">
        <f t="shared" si="166"/>
        <v/>
      </c>
      <c r="F161" s="1219" t="str">
        <f t="shared" si="166"/>
        <v/>
      </c>
      <c r="G161" s="1221" t="str">
        <f t="shared" si="167"/>
        <v/>
      </c>
      <c r="H161" s="1222" t="str">
        <f t="shared" ref="H161:I164" si="216">IF(H129=0,"",H129)</f>
        <v/>
      </c>
      <c r="I161" s="1221" t="str">
        <f t="shared" si="216"/>
        <v/>
      </c>
      <c r="J161" s="1221" t="str">
        <f t="shared" si="169"/>
        <v/>
      </c>
      <c r="K161" s="1223" t="str">
        <f t="shared" si="170"/>
        <v/>
      </c>
      <c r="L161" s="1216"/>
      <c r="M161" s="1224" t="str">
        <f t="shared" ref="M161:N161" si="217">IF(M129="","",M129)</f>
        <v/>
      </c>
      <c r="N161" s="1225" t="str">
        <f t="shared" si="217"/>
        <v/>
      </c>
      <c r="O161" s="1226" t="str">
        <f t="shared" si="175"/>
        <v/>
      </c>
      <c r="P161" s="1226" t="str">
        <f t="shared" si="176"/>
        <v/>
      </c>
      <c r="Q161" s="1227" t="str">
        <f t="shared" si="177"/>
        <v/>
      </c>
      <c r="R161" s="1216"/>
      <c r="S161" s="1228" t="str">
        <f t="shared" si="178"/>
        <v/>
      </c>
      <c r="T161" s="1228" t="str">
        <f t="shared" si="179"/>
        <v/>
      </c>
      <c r="U161" s="1229" t="str">
        <f t="shared" si="171"/>
        <v/>
      </c>
      <c r="V161" s="1212"/>
      <c r="W161" s="723"/>
      <c r="X161" s="604"/>
      <c r="Y161" s="604"/>
      <c r="Z161" s="890" t="str">
        <f t="shared" si="172"/>
        <v/>
      </c>
      <c r="AA161" s="865">
        <f t="shared" si="180"/>
        <v>0.62</v>
      </c>
      <c r="AB161" s="891" t="e">
        <f t="shared" si="181"/>
        <v>#VALUE!</v>
      </c>
      <c r="AC161" s="891" t="e">
        <f t="shared" si="182"/>
        <v>#VALUE!</v>
      </c>
      <c r="AD161" s="891" t="e">
        <f t="shared" si="183"/>
        <v>#VALUE!</v>
      </c>
      <c r="AE161" s="892" t="e">
        <f t="shared" si="184"/>
        <v>#VALUE!</v>
      </c>
      <c r="AF161" s="893" t="e">
        <f t="shared" si="185"/>
        <v>#VALUE!</v>
      </c>
      <c r="AG161" s="865">
        <f>IF(H161&gt;8,tab!C$132,tab!C$134)</f>
        <v>0.5</v>
      </c>
      <c r="AH161" s="866">
        <f t="shared" si="186"/>
        <v>0</v>
      </c>
      <c r="AI161" s="864">
        <f t="shared" si="187"/>
        <v>0</v>
      </c>
      <c r="AJ161" s="894"/>
      <c r="AK161" s="837"/>
      <c r="AL161" s="837"/>
      <c r="AM161" s="837"/>
      <c r="AN161" s="895"/>
      <c r="AO161" s="837"/>
      <c r="AP161" s="837"/>
      <c r="AQ161" s="874"/>
      <c r="AR161" s="837"/>
      <c r="AS161" s="837"/>
      <c r="AT161" s="837"/>
      <c r="AU161" s="836"/>
      <c r="AV161" s="836"/>
      <c r="AW161" s="869"/>
      <c r="AX161" s="836"/>
      <c r="AY161" s="837"/>
      <c r="AZ161" s="713"/>
    </row>
    <row r="162" spans="3:59" s="526" customFormat="1" ht="12.75" customHeight="1" x14ac:dyDescent="0.2">
      <c r="C162" s="1037"/>
      <c r="D162" s="1219" t="str">
        <f t="shared" si="166"/>
        <v/>
      </c>
      <c r="E162" s="1219" t="str">
        <f t="shared" si="166"/>
        <v/>
      </c>
      <c r="F162" s="1219" t="str">
        <f t="shared" si="166"/>
        <v/>
      </c>
      <c r="G162" s="1221" t="str">
        <f t="shared" si="167"/>
        <v/>
      </c>
      <c r="H162" s="1222" t="str">
        <f t="shared" si="216"/>
        <v/>
      </c>
      <c r="I162" s="1221" t="str">
        <f t="shared" si="216"/>
        <v/>
      </c>
      <c r="J162" s="1221" t="str">
        <f t="shared" si="169"/>
        <v/>
      </c>
      <c r="K162" s="1223" t="str">
        <f t="shared" si="170"/>
        <v/>
      </c>
      <c r="L162" s="1216"/>
      <c r="M162" s="1224" t="str">
        <f t="shared" ref="M162:N162" si="218">IF(M130="","",M130)</f>
        <v/>
      </c>
      <c r="N162" s="1225" t="str">
        <f t="shared" si="218"/>
        <v/>
      </c>
      <c r="O162" s="1226" t="str">
        <f t="shared" si="175"/>
        <v/>
      </c>
      <c r="P162" s="1226" t="str">
        <f t="shared" si="176"/>
        <v/>
      </c>
      <c r="Q162" s="1227" t="str">
        <f t="shared" si="177"/>
        <v/>
      </c>
      <c r="R162" s="1216"/>
      <c r="S162" s="1228" t="str">
        <f t="shared" si="178"/>
        <v/>
      </c>
      <c r="T162" s="1228" t="str">
        <f t="shared" si="179"/>
        <v/>
      </c>
      <c r="U162" s="1229" t="str">
        <f t="shared" si="171"/>
        <v/>
      </c>
      <c r="V162" s="1212"/>
      <c r="W162" s="723"/>
      <c r="X162" s="604"/>
      <c r="Y162" s="604"/>
      <c r="Z162" s="890" t="str">
        <f t="shared" si="172"/>
        <v/>
      </c>
      <c r="AA162" s="865">
        <f t="shared" si="180"/>
        <v>0.62</v>
      </c>
      <c r="AB162" s="891" t="e">
        <f t="shared" si="181"/>
        <v>#VALUE!</v>
      </c>
      <c r="AC162" s="891" t="e">
        <f t="shared" si="182"/>
        <v>#VALUE!</v>
      </c>
      <c r="AD162" s="891" t="e">
        <f t="shared" si="183"/>
        <v>#VALUE!</v>
      </c>
      <c r="AE162" s="892" t="e">
        <f t="shared" si="184"/>
        <v>#VALUE!</v>
      </c>
      <c r="AF162" s="893" t="e">
        <f t="shared" si="185"/>
        <v>#VALUE!</v>
      </c>
      <c r="AG162" s="865">
        <f>IF(H162&gt;8,tab!C$132,tab!C$134)</f>
        <v>0.5</v>
      </c>
      <c r="AH162" s="866">
        <f t="shared" si="186"/>
        <v>0</v>
      </c>
      <c r="AI162" s="864">
        <f t="shared" si="187"/>
        <v>0</v>
      </c>
      <c r="AJ162" s="894"/>
      <c r="AK162" s="837"/>
      <c r="AL162" s="837"/>
      <c r="AM162" s="837"/>
      <c r="AN162" s="895"/>
      <c r="AO162" s="837"/>
      <c r="AP162" s="837"/>
      <c r="AQ162" s="874"/>
      <c r="AR162" s="837"/>
      <c r="AS162" s="837"/>
      <c r="AT162" s="837"/>
      <c r="AU162" s="836"/>
      <c r="AV162" s="836"/>
      <c r="AW162" s="869"/>
      <c r="AX162" s="836"/>
      <c r="AY162" s="837"/>
      <c r="AZ162" s="713"/>
    </row>
    <row r="163" spans="3:59" s="526" customFormat="1" ht="12.75" customHeight="1" x14ac:dyDescent="0.2">
      <c r="C163" s="1037"/>
      <c r="D163" s="1219" t="str">
        <f t="shared" si="166"/>
        <v/>
      </c>
      <c r="E163" s="1219" t="str">
        <f t="shared" si="166"/>
        <v/>
      </c>
      <c r="F163" s="1219" t="str">
        <f t="shared" si="166"/>
        <v/>
      </c>
      <c r="G163" s="1221" t="str">
        <f t="shared" si="167"/>
        <v/>
      </c>
      <c r="H163" s="1222" t="str">
        <f t="shared" si="216"/>
        <v/>
      </c>
      <c r="I163" s="1221" t="str">
        <f t="shared" si="216"/>
        <v/>
      </c>
      <c r="J163" s="1221" t="str">
        <f t="shared" si="169"/>
        <v/>
      </c>
      <c r="K163" s="1223" t="str">
        <f t="shared" si="170"/>
        <v/>
      </c>
      <c r="L163" s="1216"/>
      <c r="M163" s="1224" t="str">
        <f t="shared" ref="M163:N163" si="219">IF(M131="","",M131)</f>
        <v/>
      </c>
      <c r="N163" s="1225" t="str">
        <f t="shared" si="219"/>
        <v/>
      </c>
      <c r="O163" s="1226" t="str">
        <f t="shared" si="175"/>
        <v/>
      </c>
      <c r="P163" s="1226" t="str">
        <f t="shared" si="176"/>
        <v/>
      </c>
      <c r="Q163" s="1227" t="str">
        <f t="shared" si="177"/>
        <v/>
      </c>
      <c r="R163" s="1216"/>
      <c r="S163" s="1228" t="str">
        <f t="shared" si="178"/>
        <v/>
      </c>
      <c r="T163" s="1228" t="str">
        <f t="shared" si="179"/>
        <v/>
      </c>
      <c r="U163" s="1229" t="str">
        <f t="shared" si="171"/>
        <v/>
      </c>
      <c r="V163" s="1212"/>
      <c r="W163" s="723"/>
      <c r="X163" s="604"/>
      <c r="Y163" s="604"/>
      <c r="Z163" s="890" t="str">
        <f t="shared" si="172"/>
        <v/>
      </c>
      <c r="AA163" s="865">
        <f t="shared" si="180"/>
        <v>0.62</v>
      </c>
      <c r="AB163" s="891" t="e">
        <f t="shared" si="181"/>
        <v>#VALUE!</v>
      </c>
      <c r="AC163" s="891" t="e">
        <f t="shared" si="182"/>
        <v>#VALUE!</v>
      </c>
      <c r="AD163" s="891" t="e">
        <f t="shared" si="183"/>
        <v>#VALUE!</v>
      </c>
      <c r="AE163" s="892" t="e">
        <f t="shared" si="184"/>
        <v>#VALUE!</v>
      </c>
      <c r="AF163" s="893" t="e">
        <f t="shared" si="185"/>
        <v>#VALUE!</v>
      </c>
      <c r="AG163" s="865">
        <f>IF(H163&gt;8,tab!C$132,tab!C$134)</f>
        <v>0.5</v>
      </c>
      <c r="AH163" s="866">
        <f t="shared" si="186"/>
        <v>0</v>
      </c>
      <c r="AI163" s="864">
        <f t="shared" si="187"/>
        <v>0</v>
      </c>
      <c r="AJ163" s="894"/>
      <c r="AK163" s="837"/>
      <c r="AL163" s="837"/>
      <c r="AM163" s="837"/>
      <c r="AN163" s="895"/>
      <c r="AO163" s="837"/>
      <c r="AP163" s="837"/>
      <c r="AQ163" s="874"/>
      <c r="AR163" s="837"/>
      <c r="AS163" s="837"/>
      <c r="AT163" s="837"/>
      <c r="AU163" s="836"/>
      <c r="AV163" s="836"/>
      <c r="AW163" s="869"/>
      <c r="AX163" s="836"/>
      <c r="AY163" s="837"/>
      <c r="AZ163" s="713"/>
    </row>
    <row r="164" spans="3:59" s="526" customFormat="1" ht="12.75" customHeight="1" x14ac:dyDescent="0.2">
      <c r="C164" s="1037"/>
      <c r="D164" s="1219" t="str">
        <f t="shared" si="166"/>
        <v/>
      </c>
      <c r="E164" s="1219" t="str">
        <f t="shared" si="166"/>
        <v/>
      </c>
      <c r="F164" s="1219" t="str">
        <f t="shared" si="166"/>
        <v/>
      </c>
      <c r="G164" s="1221" t="str">
        <f t="shared" si="167"/>
        <v/>
      </c>
      <c r="H164" s="1222" t="str">
        <f t="shared" si="216"/>
        <v/>
      </c>
      <c r="I164" s="1221" t="str">
        <f t="shared" si="216"/>
        <v/>
      </c>
      <c r="J164" s="1221" t="str">
        <f t="shared" si="169"/>
        <v/>
      </c>
      <c r="K164" s="1223" t="str">
        <f t="shared" si="170"/>
        <v/>
      </c>
      <c r="L164" s="1216"/>
      <c r="M164" s="1224" t="str">
        <f t="shared" ref="M164:N164" si="220">IF(M132="","",M132)</f>
        <v/>
      </c>
      <c r="N164" s="1225" t="str">
        <f t="shared" si="220"/>
        <v/>
      </c>
      <c r="O164" s="1226" t="str">
        <f t="shared" si="175"/>
        <v/>
      </c>
      <c r="P164" s="1226" t="str">
        <f t="shared" si="176"/>
        <v/>
      </c>
      <c r="Q164" s="1227" t="str">
        <f t="shared" si="177"/>
        <v/>
      </c>
      <c r="R164" s="1216"/>
      <c r="S164" s="1228" t="str">
        <f t="shared" si="178"/>
        <v/>
      </c>
      <c r="T164" s="1228" t="str">
        <f t="shared" si="179"/>
        <v/>
      </c>
      <c r="U164" s="1229" t="str">
        <f t="shared" si="171"/>
        <v/>
      </c>
      <c r="V164" s="1212"/>
      <c r="W164" s="723"/>
      <c r="X164" s="604"/>
      <c r="Y164" s="604"/>
      <c r="Z164" s="890" t="str">
        <f t="shared" si="172"/>
        <v/>
      </c>
      <c r="AA164" s="865">
        <f t="shared" si="180"/>
        <v>0.62</v>
      </c>
      <c r="AB164" s="891" t="e">
        <f t="shared" si="181"/>
        <v>#VALUE!</v>
      </c>
      <c r="AC164" s="891" t="e">
        <f t="shared" si="182"/>
        <v>#VALUE!</v>
      </c>
      <c r="AD164" s="891" t="e">
        <f t="shared" si="183"/>
        <v>#VALUE!</v>
      </c>
      <c r="AE164" s="892" t="e">
        <f t="shared" si="184"/>
        <v>#VALUE!</v>
      </c>
      <c r="AF164" s="893" t="e">
        <f t="shared" si="185"/>
        <v>#VALUE!</v>
      </c>
      <c r="AG164" s="865">
        <f>IF(H164&gt;8,tab!C$132,tab!C$134)</f>
        <v>0.5</v>
      </c>
      <c r="AH164" s="866">
        <f t="shared" si="186"/>
        <v>0</v>
      </c>
      <c r="AI164" s="864">
        <f t="shared" si="187"/>
        <v>0</v>
      </c>
      <c r="AJ164" s="894"/>
      <c r="AK164" s="837"/>
      <c r="AL164" s="837"/>
      <c r="AM164" s="837"/>
      <c r="AN164" s="895"/>
      <c r="AO164" s="837"/>
      <c r="AP164" s="837"/>
      <c r="AQ164" s="874"/>
      <c r="AR164" s="837"/>
      <c r="AS164" s="837"/>
      <c r="AT164" s="837"/>
      <c r="AU164" s="836"/>
      <c r="AV164" s="836"/>
      <c r="AW164" s="869"/>
      <c r="AX164" s="836"/>
      <c r="AY164" s="837"/>
      <c r="AZ164" s="713"/>
    </row>
    <row r="165" spans="3:59" s="526" customFormat="1" x14ac:dyDescent="0.2">
      <c r="C165" s="1037"/>
      <c r="D165" s="1474"/>
      <c r="E165" s="1474"/>
      <c r="F165" s="1474"/>
      <c r="G165" s="1475"/>
      <c r="H165" s="1476"/>
      <c r="I165" s="1475"/>
      <c r="J165" s="1477"/>
      <c r="K165" s="1478">
        <f>SUM(K145:K164)</f>
        <v>1</v>
      </c>
      <c r="L165" s="1218"/>
      <c r="M165" s="1479">
        <f>SUM(M145:M164)</f>
        <v>0</v>
      </c>
      <c r="N165" s="1479">
        <f>SUM(N145:N164)</f>
        <v>0</v>
      </c>
      <c r="O165" s="1232">
        <f t="shared" ref="O165" si="221">SUM(O145:O164)</f>
        <v>40</v>
      </c>
      <c r="P165" s="1232">
        <f t="shared" ref="P165" si="222">SUM(P145:P164)</f>
        <v>0</v>
      </c>
      <c r="Q165" s="1232">
        <f t="shared" ref="Q165" si="223">SUM(Q145:Q164)</f>
        <v>40</v>
      </c>
      <c r="R165" s="1218"/>
      <c r="S165" s="1233">
        <f>SUM(S145:S164)</f>
        <v>84687.811356238701</v>
      </c>
      <c r="T165" s="1233">
        <f t="shared" ref="T165:U165" si="224">SUM(T145:T164)</f>
        <v>2092.3486437613019</v>
      </c>
      <c r="U165" s="1233">
        <f t="shared" si="224"/>
        <v>86780.160000000003</v>
      </c>
      <c r="V165" s="1213"/>
      <c r="W165" s="728"/>
      <c r="X165" s="604"/>
      <c r="Y165" s="604"/>
      <c r="Z165" s="873"/>
      <c r="AA165" s="865"/>
      <c r="AB165" s="873"/>
      <c r="AC165" s="873"/>
      <c r="AD165" s="873"/>
      <c r="AE165" s="873"/>
      <c r="AF165" s="873"/>
      <c r="AG165" s="873"/>
      <c r="AH165" s="867">
        <f t="shared" ref="AH165:AI165" si="225">SUM(AH145:AH164)</f>
        <v>0</v>
      </c>
      <c r="AI165" s="870">
        <f t="shared" si="225"/>
        <v>0</v>
      </c>
      <c r="AJ165" s="846"/>
      <c r="AK165" s="837"/>
      <c r="AL165" s="837"/>
      <c r="AM165" s="837"/>
      <c r="AN165" s="837"/>
      <c r="AO165" s="837"/>
      <c r="AP165" s="837"/>
      <c r="AQ165" s="874"/>
      <c r="AR165" s="837"/>
      <c r="AS165" s="837"/>
      <c r="AT165" s="837"/>
      <c r="AU165" s="836"/>
      <c r="AV165" s="836"/>
      <c r="AW165" s="836"/>
      <c r="AX165" s="836"/>
      <c r="AY165" s="837"/>
      <c r="AZ165" s="713"/>
    </row>
    <row r="166" spans="3:59" s="526" customFormat="1" x14ac:dyDescent="0.2">
      <c r="C166" s="1037"/>
      <c r="D166" s="1040"/>
      <c r="E166" s="1040"/>
      <c r="F166" s="1040"/>
      <c r="G166" s="1039"/>
      <c r="H166" s="1189"/>
      <c r="I166" s="1039"/>
      <c r="J166" s="1190"/>
      <c r="K166" s="1191"/>
      <c r="L166" s="1191"/>
      <c r="M166" s="1190"/>
      <c r="N166" s="1191"/>
      <c r="O166" s="1190"/>
      <c r="P166" s="1214"/>
      <c r="Q166" s="1214"/>
      <c r="R166" s="1191"/>
      <c r="S166" s="1215"/>
      <c r="T166" s="1215"/>
      <c r="U166" s="1192"/>
      <c r="V166" s="1192"/>
      <c r="W166" s="712"/>
      <c r="X166" s="604"/>
      <c r="Y166" s="604"/>
      <c r="Z166" s="873"/>
      <c r="AA166" s="865"/>
      <c r="AB166" s="873"/>
      <c r="AC166" s="873"/>
      <c r="AD166" s="873"/>
      <c r="AE166" s="873"/>
      <c r="AF166" s="873"/>
      <c r="AG166" s="873"/>
      <c r="AH166" s="867"/>
      <c r="AI166" s="870"/>
      <c r="AJ166" s="846"/>
      <c r="AK166" s="837"/>
      <c r="AL166" s="837"/>
      <c r="AM166" s="837"/>
      <c r="AN166" s="837"/>
      <c r="AO166" s="837"/>
      <c r="AP166" s="837"/>
      <c r="AQ166" s="874"/>
      <c r="AR166" s="837"/>
      <c r="AS166" s="837"/>
      <c r="AT166" s="837"/>
      <c r="AU166" s="836"/>
      <c r="AV166" s="836"/>
      <c r="AW166" s="836"/>
      <c r="AX166" s="836"/>
      <c r="AY166" s="837"/>
      <c r="AZ166" s="713"/>
    </row>
    <row r="167" spans="3:59" s="526" customFormat="1" x14ac:dyDescent="0.2">
      <c r="D167" s="708"/>
      <c r="E167" s="708"/>
      <c r="F167" s="708"/>
      <c r="G167" s="527"/>
      <c r="H167" s="709"/>
      <c r="I167" s="710"/>
      <c r="J167" s="710"/>
      <c r="K167" s="711"/>
      <c r="L167" s="711"/>
      <c r="M167" s="710"/>
      <c r="N167" s="711"/>
      <c r="O167" s="710"/>
      <c r="P167" s="527"/>
      <c r="Q167" s="527"/>
      <c r="R167" s="711"/>
      <c r="U167" s="712"/>
      <c r="V167" s="712"/>
      <c r="W167" s="712"/>
      <c r="X167" s="604"/>
      <c r="Y167" s="604"/>
      <c r="Z167" s="873"/>
      <c r="AA167" s="873"/>
      <c r="AB167" s="873"/>
      <c r="AC167" s="873"/>
      <c r="AD167" s="873"/>
      <c r="AE167" s="873"/>
      <c r="AF167" s="873"/>
      <c r="AG167" s="873"/>
      <c r="AH167" s="866"/>
      <c r="AI167" s="864"/>
      <c r="AJ167" s="837"/>
      <c r="AK167" s="837"/>
      <c r="AL167" s="837"/>
      <c r="AM167" s="837"/>
      <c r="AN167" s="837"/>
      <c r="AO167" s="837"/>
      <c r="AP167" s="837"/>
      <c r="AQ167" s="874"/>
      <c r="AR167" s="837"/>
      <c r="AS167" s="837"/>
      <c r="AT167" s="837"/>
      <c r="AU167" s="836"/>
      <c r="AV167" s="836"/>
      <c r="AW167" s="836"/>
      <c r="AX167" s="836"/>
      <c r="AY167" s="837"/>
      <c r="AZ167" s="713"/>
    </row>
    <row r="168" spans="3:59" s="707" customFormat="1" x14ac:dyDescent="0.2">
      <c r="D168" s="729"/>
      <c r="E168" s="729"/>
      <c r="F168" s="729"/>
      <c r="G168" s="720"/>
      <c r="H168" s="730"/>
      <c r="I168" s="731"/>
      <c r="J168" s="731"/>
      <c r="K168" s="733"/>
      <c r="L168" s="733"/>
      <c r="M168" s="731"/>
      <c r="N168" s="733"/>
      <c r="O168" s="731"/>
      <c r="P168" s="720"/>
      <c r="Q168" s="720"/>
      <c r="R168" s="733"/>
      <c r="U168" s="712"/>
      <c r="V168" s="712"/>
      <c r="W168" s="712"/>
      <c r="X168" s="604"/>
      <c r="Y168" s="604"/>
      <c r="Z168" s="873"/>
      <c r="AA168" s="873"/>
      <c r="AB168" s="873"/>
      <c r="AC168" s="873"/>
      <c r="AD168" s="873"/>
      <c r="AE168" s="873"/>
      <c r="AF168" s="873"/>
      <c r="AG168" s="873"/>
      <c r="AH168" s="867"/>
      <c r="AI168" s="870"/>
      <c r="AJ168" s="872"/>
      <c r="AK168" s="872"/>
      <c r="AL168" s="872"/>
      <c r="AM168" s="872"/>
      <c r="AN168" s="872"/>
      <c r="AO168" s="872"/>
      <c r="AP168" s="872"/>
      <c r="AQ168" s="896"/>
      <c r="AR168" s="872"/>
      <c r="AS168" s="872"/>
      <c r="AT168" s="872"/>
      <c r="AU168" s="871"/>
      <c r="AV168" s="871"/>
      <c r="AW168" s="871"/>
      <c r="AX168" s="871"/>
      <c r="AY168" s="872"/>
      <c r="AZ168" s="721"/>
      <c r="BG168" s="526"/>
    </row>
    <row r="169" spans="3:59" s="526" customFormat="1" x14ac:dyDescent="0.2">
      <c r="C169" s="526" t="s">
        <v>255</v>
      </c>
      <c r="D169" s="708"/>
      <c r="E169" s="724" t="str">
        <f>tab!H2</f>
        <v>2020/21</v>
      </c>
      <c r="F169" s="708"/>
      <c r="G169" s="527"/>
      <c r="H169" s="709"/>
      <c r="I169" s="710"/>
      <c r="J169" s="710"/>
      <c r="K169" s="711"/>
      <c r="L169" s="711"/>
      <c r="M169" s="710"/>
      <c r="N169" s="711"/>
      <c r="O169" s="710"/>
      <c r="P169" s="527"/>
      <c r="Q169" s="527"/>
      <c r="R169" s="711"/>
      <c r="U169" s="712"/>
      <c r="V169" s="712"/>
      <c r="W169" s="712"/>
      <c r="X169" s="604"/>
      <c r="Y169" s="604"/>
      <c r="Z169" s="873"/>
      <c r="AA169" s="873"/>
      <c r="AB169" s="873"/>
      <c r="AC169" s="873"/>
      <c r="AD169" s="873"/>
      <c r="AE169" s="873"/>
      <c r="AF169" s="873"/>
      <c r="AG169" s="873"/>
      <c r="AH169" s="866"/>
      <c r="AI169" s="864"/>
      <c r="AJ169" s="837"/>
      <c r="AK169" s="837"/>
      <c r="AL169" s="837"/>
      <c r="AM169" s="837"/>
      <c r="AN169" s="837"/>
      <c r="AO169" s="837"/>
      <c r="AP169" s="837"/>
      <c r="AQ169" s="874"/>
      <c r="AR169" s="837"/>
      <c r="AS169" s="837"/>
      <c r="AT169" s="837"/>
      <c r="AU169" s="836"/>
      <c r="AV169" s="836"/>
      <c r="AW169" s="836"/>
      <c r="AX169" s="836"/>
      <c r="AY169" s="837"/>
      <c r="AZ169" s="713"/>
    </row>
    <row r="170" spans="3:59" s="526" customFormat="1" x14ac:dyDescent="0.2">
      <c r="C170" s="526" t="s">
        <v>256</v>
      </c>
      <c r="D170" s="708"/>
      <c r="E170" s="724">
        <f>tab!I3</f>
        <v>44105</v>
      </c>
      <c r="F170" s="708"/>
      <c r="G170" s="527"/>
      <c r="H170" s="709"/>
      <c r="I170" s="710"/>
      <c r="J170" s="710"/>
      <c r="K170" s="711"/>
      <c r="L170" s="711"/>
      <c r="M170" s="710"/>
      <c r="N170" s="711"/>
      <c r="O170" s="710"/>
      <c r="P170" s="527"/>
      <c r="Q170" s="527"/>
      <c r="R170" s="711"/>
      <c r="U170" s="712"/>
      <c r="V170" s="712"/>
      <c r="W170" s="712"/>
      <c r="X170" s="604"/>
      <c r="Y170" s="604"/>
      <c r="Z170" s="873"/>
      <c r="AA170" s="873"/>
      <c r="AB170" s="873"/>
      <c r="AC170" s="873"/>
      <c r="AD170" s="873"/>
      <c r="AE170" s="873"/>
      <c r="AF170" s="873"/>
      <c r="AG170" s="873"/>
      <c r="AH170" s="866"/>
      <c r="AI170" s="864"/>
      <c r="AJ170" s="837"/>
      <c r="AK170" s="837"/>
      <c r="AL170" s="837"/>
      <c r="AM170" s="837"/>
      <c r="AN170" s="837"/>
      <c r="AO170" s="837"/>
      <c r="AP170" s="837"/>
      <c r="AQ170" s="874"/>
      <c r="AR170" s="837"/>
      <c r="AS170" s="837"/>
      <c r="AT170" s="837"/>
      <c r="AU170" s="836"/>
      <c r="AV170" s="836"/>
      <c r="AW170" s="836"/>
      <c r="AX170" s="836"/>
      <c r="AY170" s="837"/>
      <c r="AZ170" s="713"/>
    </row>
    <row r="171" spans="3:59" s="707" customFormat="1" x14ac:dyDescent="0.2">
      <c r="D171" s="729"/>
      <c r="E171" s="729"/>
      <c r="F171" s="729"/>
      <c r="G171" s="720"/>
      <c r="H171" s="730"/>
      <c r="I171" s="731"/>
      <c r="J171" s="731"/>
      <c r="K171" s="733"/>
      <c r="L171" s="733"/>
      <c r="M171" s="731"/>
      <c r="N171" s="733"/>
      <c r="O171" s="731"/>
      <c r="P171" s="720"/>
      <c r="Q171" s="720"/>
      <c r="R171" s="733"/>
      <c r="U171" s="712"/>
      <c r="V171" s="712"/>
      <c r="W171" s="712"/>
      <c r="X171" s="604"/>
      <c r="Y171" s="604"/>
      <c r="Z171" s="873"/>
      <c r="AA171" s="873"/>
      <c r="AB171" s="873"/>
      <c r="AC171" s="873"/>
      <c r="AD171" s="873"/>
      <c r="AE171" s="873"/>
      <c r="AF171" s="873"/>
      <c r="AG171" s="873"/>
      <c r="AH171" s="867"/>
      <c r="AI171" s="870"/>
      <c r="AJ171" s="872"/>
      <c r="AK171" s="872"/>
      <c r="AL171" s="872"/>
      <c r="AM171" s="872"/>
      <c r="AN171" s="872"/>
      <c r="AO171" s="872"/>
      <c r="AP171" s="872"/>
      <c r="AQ171" s="896"/>
      <c r="AR171" s="872"/>
      <c r="AS171" s="872"/>
      <c r="AT171" s="872"/>
      <c r="AU171" s="871"/>
      <c r="AV171" s="871"/>
      <c r="AW171" s="871"/>
      <c r="AX171" s="871"/>
      <c r="AY171" s="872"/>
      <c r="AZ171" s="721"/>
      <c r="BG171" s="526"/>
    </row>
    <row r="172" spans="3:59" s="526" customFormat="1" ht="12.75" customHeight="1" x14ac:dyDescent="0.2">
      <c r="C172" s="1037"/>
      <c r="D172" s="1040"/>
      <c r="E172" s="1092"/>
      <c r="F172" s="1040"/>
      <c r="G172" s="1039"/>
      <c r="H172" s="1189"/>
      <c r="I172" s="1190"/>
      <c r="J172" s="1190"/>
      <c r="K172" s="1191"/>
      <c r="L172" s="1191"/>
      <c r="M172" s="1190"/>
      <c r="N172" s="1191"/>
      <c r="O172" s="1190"/>
      <c r="P172" s="1039"/>
      <c r="Q172" s="1039"/>
      <c r="R172" s="1191"/>
      <c r="S172" s="1037"/>
      <c r="T172" s="1037"/>
      <c r="U172" s="1192"/>
      <c r="V172" s="1192"/>
      <c r="W172" s="712"/>
      <c r="X172" s="604"/>
      <c r="Y172" s="604"/>
      <c r="Z172" s="873"/>
      <c r="AA172" s="873"/>
      <c r="AB172" s="873"/>
      <c r="AC172" s="873"/>
      <c r="AD172" s="873"/>
      <c r="AE172" s="873"/>
      <c r="AF172" s="873"/>
      <c r="AG172" s="873"/>
      <c r="AH172" s="866"/>
      <c r="AI172" s="864"/>
      <c r="AJ172" s="837"/>
      <c r="AK172" s="837"/>
      <c r="AL172" s="837"/>
      <c r="AM172" s="837"/>
      <c r="AN172" s="837"/>
      <c r="AO172" s="837"/>
      <c r="AP172" s="851"/>
      <c r="AQ172" s="889"/>
      <c r="AR172" s="851"/>
      <c r="AS172" s="851"/>
      <c r="AT172" s="851"/>
      <c r="AU172" s="844"/>
      <c r="AV172" s="850"/>
      <c r="AW172" s="851"/>
      <c r="AX172" s="852"/>
      <c r="AY172" s="853"/>
      <c r="AZ172" s="715"/>
      <c r="BG172" s="707"/>
    </row>
    <row r="173" spans="3:59" s="690" customFormat="1" ht="12.75" customHeight="1" x14ac:dyDescent="0.2">
      <c r="C173" s="1193"/>
      <c r="D173" s="1194" t="s">
        <v>257</v>
      </c>
      <c r="E173" s="1195"/>
      <c r="F173" s="1195"/>
      <c r="G173" s="1195"/>
      <c r="H173" s="1195"/>
      <c r="I173" s="1195"/>
      <c r="J173" s="1195"/>
      <c r="K173" s="1195"/>
      <c r="L173" s="1195"/>
      <c r="M173" s="1194" t="s">
        <v>865</v>
      </c>
      <c r="N173" s="1196"/>
      <c r="O173" s="1196"/>
      <c r="P173" s="1196"/>
      <c r="Q173" s="1196"/>
      <c r="R173" s="1195"/>
      <c r="S173" s="1539" t="s">
        <v>866</v>
      </c>
      <c r="T173" s="1539"/>
      <c r="U173" s="1540"/>
      <c r="V173" s="1197"/>
      <c r="W173" s="725"/>
      <c r="X173" s="604"/>
      <c r="Y173" s="604"/>
      <c r="Z173" s="873"/>
      <c r="AA173" s="873"/>
      <c r="AB173" s="873"/>
      <c r="AC173" s="873"/>
      <c r="AD173" s="873"/>
      <c r="AE173" s="873"/>
      <c r="AF173" s="873"/>
      <c r="AG173" s="873"/>
      <c r="AH173" s="867"/>
      <c r="AI173" s="857"/>
      <c r="AJ173" s="846"/>
      <c r="AK173" s="860"/>
      <c r="AL173" s="860"/>
      <c r="AM173" s="845"/>
      <c r="AN173" s="868"/>
      <c r="AO173" s="845"/>
      <c r="AP173" s="837"/>
      <c r="AQ173" s="837"/>
      <c r="AR173" s="837"/>
      <c r="AS173" s="837"/>
      <c r="AT173" s="837"/>
      <c r="AU173" s="859"/>
      <c r="AV173" s="859"/>
      <c r="AW173" s="859"/>
      <c r="AX173" s="859"/>
      <c r="AY173" s="859"/>
      <c r="BA173" s="719"/>
      <c r="BB173" s="719"/>
    </row>
    <row r="174" spans="3:59" s="526" customFormat="1" ht="12.75" customHeight="1" x14ac:dyDescent="0.2">
      <c r="C174" s="1198"/>
      <c r="D174" s="1145" t="s">
        <v>258</v>
      </c>
      <c r="E174" s="1145" t="s">
        <v>259</v>
      </c>
      <c r="F174" s="1145" t="s">
        <v>260</v>
      </c>
      <c r="G174" s="1199" t="s">
        <v>261</v>
      </c>
      <c r="H174" s="1200" t="s">
        <v>262</v>
      </c>
      <c r="I174" s="1199" t="s">
        <v>217</v>
      </c>
      <c r="J174" s="1199" t="s">
        <v>263</v>
      </c>
      <c r="K174" s="1201" t="s">
        <v>264</v>
      </c>
      <c r="L174" s="1201"/>
      <c r="M174" s="1078" t="s">
        <v>867</v>
      </c>
      <c r="N174" s="1078" t="s">
        <v>868</v>
      </c>
      <c r="O174" s="1078" t="s">
        <v>869</v>
      </c>
      <c r="P174" s="1078" t="s">
        <v>870</v>
      </c>
      <c r="Q174" s="1202" t="s">
        <v>871</v>
      </c>
      <c r="R174" s="1201"/>
      <c r="S174" s="1203" t="s">
        <v>872</v>
      </c>
      <c r="T174" s="1203" t="s">
        <v>873</v>
      </c>
      <c r="U174" s="1203" t="s">
        <v>265</v>
      </c>
      <c r="V174" s="1204"/>
      <c r="W174" s="726"/>
      <c r="X174" s="604"/>
      <c r="Y174" s="604"/>
      <c r="Z174" s="854" t="s">
        <v>469</v>
      </c>
      <c r="AA174" s="855" t="s">
        <v>880</v>
      </c>
      <c r="AB174" s="856" t="s">
        <v>881</v>
      </c>
      <c r="AC174" s="856" t="s">
        <v>881</v>
      </c>
      <c r="AD174" s="856" t="s">
        <v>882</v>
      </c>
      <c r="AE174" s="856" t="s">
        <v>883</v>
      </c>
      <c r="AF174" s="856" t="s">
        <v>884</v>
      </c>
      <c r="AG174" s="856" t="s">
        <v>885</v>
      </c>
      <c r="AH174" s="856" t="s">
        <v>267</v>
      </c>
      <c r="AI174" s="857" t="s">
        <v>482</v>
      </c>
      <c r="AJ174" s="861"/>
      <c r="AK174" s="862"/>
      <c r="AL174" s="862"/>
      <c r="AM174" s="855"/>
      <c r="AN174" s="854"/>
      <c r="AO174" s="855"/>
      <c r="AP174" s="837"/>
      <c r="AQ174" s="837"/>
      <c r="AR174" s="837"/>
      <c r="AS174" s="837"/>
      <c r="AT174" s="837"/>
      <c r="AU174" s="836"/>
      <c r="AV174" s="836"/>
      <c r="AW174" s="836"/>
      <c r="AX174" s="836"/>
      <c r="AY174" s="836"/>
      <c r="BA174" s="719"/>
      <c r="BB174" s="717"/>
    </row>
    <row r="175" spans="3:59" s="526" customFormat="1" ht="12.75" customHeight="1" x14ac:dyDescent="0.2">
      <c r="C175" s="1198"/>
      <c r="D175" s="1205"/>
      <c r="E175" s="1145"/>
      <c r="F175" s="1206"/>
      <c r="G175" s="1199" t="s">
        <v>269</v>
      </c>
      <c r="H175" s="1200" t="s">
        <v>270</v>
      </c>
      <c r="I175" s="1199"/>
      <c r="J175" s="1199"/>
      <c r="K175" s="1201"/>
      <c r="L175" s="1201"/>
      <c r="M175" s="1078" t="s">
        <v>874</v>
      </c>
      <c r="N175" s="1078" t="s">
        <v>875</v>
      </c>
      <c r="O175" s="1078" t="s">
        <v>876</v>
      </c>
      <c r="P175" s="1078" t="s">
        <v>877</v>
      </c>
      <c r="Q175" s="1202" t="s">
        <v>173</v>
      </c>
      <c r="R175" s="1201"/>
      <c r="S175" s="1203" t="s">
        <v>878</v>
      </c>
      <c r="T175" s="1203" t="s">
        <v>879</v>
      </c>
      <c r="U175" s="1203" t="s">
        <v>173</v>
      </c>
      <c r="V175" s="1204"/>
      <c r="W175" s="726"/>
      <c r="X175" s="604"/>
      <c r="Y175" s="604"/>
      <c r="Z175" s="856" t="s">
        <v>886</v>
      </c>
      <c r="AA175" s="858">
        <f>AA$14</f>
        <v>0.62</v>
      </c>
      <c r="AB175" s="856" t="s">
        <v>887</v>
      </c>
      <c r="AC175" s="856" t="s">
        <v>888</v>
      </c>
      <c r="AD175" s="856" t="s">
        <v>889</v>
      </c>
      <c r="AE175" s="856" t="s">
        <v>890</v>
      </c>
      <c r="AF175" s="856" t="s">
        <v>890</v>
      </c>
      <c r="AG175" s="856" t="s">
        <v>891</v>
      </c>
      <c r="AH175" s="856"/>
      <c r="AI175" s="856" t="s">
        <v>266</v>
      </c>
      <c r="AJ175" s="837"/>
      <c r="AK175" s="837"/>
      <c r="AL175" s="837"/>
      <c r="AM175" s="837"/>
      <c r="AN175" s="837"/>
      <c r="AO175" s="837"/>
      <c r="AP175" s="837"/>
      <c r="AQ175" s="837"/>
      <c r="AR175" s="837"/>
      <c r="AS175" s="837"/>
      <c r="AT175" s="837"/>
      <c r="AU175" s="836"/>
      <c r="AV175" s="836"/>
      <c r="AW175" s="836"/>
      <c r="AX175" s="836"/>
      <c r="AY175" s="836"/>
      <c r="BB175" s="718"/>
    </row>
    <row r="176" spans="3:59" s="526" customFormat="1" ht="12.75" customHeight="1" x14ac:dyDescent="0.2">
      <c r="C176" s="1037"/>
      <c r="D176" s="1097"/>
      <c r="E176" s="1097"/>
      <c r="F176" s="1097"/>
      <c r="G176" s="1044"/>
      <c r="H176" s="1470"/>
      <c r="I176" s="1471"/>
      <c r="J176" s="1471"/>
      <c r="K176" s="1472"/>
      <c r="L176" s="1208"/>
      <c r="M176" s="1473"/>
      <c r="N176" s="1472"/>
      <c r="O176" s="1209"/>
      <c r="P176" s="1210"/>
      <c r="Q176" s="1210"/>
      <c r="R176" s="1208"/>
      <c r="S176" s="1210"/>
      <c r="T176" s="1210"/>
      <c r="U176" s="1211"/>
      <c r="V176" s="1211"/>
      <c r="W176" s="727"/>
      <c r="X176" s="604"/>
      <c r="Y176" s="604"/>
      <c r="Z176" s="873"/>
      <c r="AA176" s="873"/>
      <c r="AB176" s="873"/>
      <c r="AC176" s="873"/>
      <c r="AD176" s="873"/>
      <c r="AE176" s="873"/>
      <c r="AF176" s="873"/>
      <c r="AG176" s="873"/>
      <c r="AH176" s="863"/>
      <c r="AI176" s="864"/>
      <c r="AJ176" s="862"/>
      <c r="AK176" s="837"/>
      <c r="AL176" s="837"/>
      <c r="AM176" s="837"/>
      <c r="AN176" s="837"/>
      <c r="AO176" s="837"/>
      <c r="AP176" s="837"/>
      <c r="AQ176" s="837"/>
      <c r="AR176" s="837"/>
      <c r="AS176" s="837"/>
      <c r="AT176" s="837"/>
      <c r="AU176" s="836"/>
      <c r="AV176" s="836"/>
      <c r="AW176" s="836"/>
      <c r="AX176" s="836"/>
      <c r="AY176" s="836"/>
      <c r="BB176" s="718"/>
    </row>
    <row r="177" spans="3:52" s="526" customFormat="1" ht="12.75" customHeight="1" x14ac:dyDescent="0.2">
      <c r="C177" s="1037"/>
      <c r="D177" s="1219" t="str">
        <f t="shared" ref="D177:F196" si="226">IF(D145=0,"",D145)</f>
        <v/>
      </c>
      <c r="E177" s="1220" t="str">
        <f t="shared" si="226"/>
        <v>piet</v>
      </c>
      <c r="F177" s="1220" t="str">
        <f t="shared" si="226"/>
        <v/>
      </c>
      <c r="G177" s="1221">
        <f t="shared" ref="G177:G196" si="227">IF(G145="","",G145+1)</f>
        <v>27</v>
      </c>
      <c r="H177" s="1222">
        <f t="shared" ref="H177:H192" si="228">IF(H145=0,"",H145)</f>
        <v>29221</v>
      </c>
      <c r="I177" s="1221" t="str">
        <f t="shared" ref="I177:I178" si="229">IF(I145=0,"",I145)</f>
        <v>LC</v>
      </c>
      <c r="J177" s="1221">
        <f t="shared" ref="J177:J196" si="230">IF(E177="","",(IF((J145+1)&gt;VLOOKUP(I177,tabelsalaris16,23,FALSE),J145,J145+1)))</f>
        <v>15</v>
      </c>
      <c r="K177" s="1223">
        <f t="shared" ref="K177:K196" si="231">IF(K145="","",K145)</f>
        <v>1</v>
      </c>
      <c r="L177" s="1216"/>
      <c r="M177" s="1224">
        <f>IF(M145="","",M145)</f>
        <v>0</v>
      </c>
      <c r="N177" s="1225">
        <f>IF(N145="","",N145)</f>
        <v>0</v>
      </c>
      <c r="O177" s="1226">
        <f>IF(K177="","",IF(K177*40&gt;40,40,K177*40))</f>
        <v>40</v>
      </c>
      <c r="P177" s="1226">
        <f>IF(I177="","",IF(OR(I177="LA",OR(I177="LB",OR(I177="LC",OR(I177="LD",OR(I177="LE"))))),1,0)*IF(J177&lt;4,IF(K177*40&gt;40,40,K177*40),0))</f>
        <v>0</v>
      </c>
      <c r="Q177" s="1227">
        <f>IF(K177="","",SUM(M177:P177))</f>
        <v>40</v>
      </c>
      <c r="R177" s="1216"/>
      <c r="S177" s="1228">
        <f>IF(J177="","",((1659*K177-Q177)*AC177))</f>
        <v>84687.811356238701</v>
      </c>
      <c r="T177" s="1228">
        <f>IF(K177="","",Q177*AD177+AB177*(AE177+AF177*(1-AG177)))</f>
        <v>2092.3486437613019</v>
      </c>
      <c r="U177" s="1229">
        <f t="shared" ref="U177:U196" si="232">IF(K177="","",(S177+T177))</f>
        <v>86780.160000000003</v>
      </c>
      <c r="V177" s="1212"/>
      <c r="W177" s="723"/>
      <c r="X177" s="604"/>
      <c r="Y177" s="604"/>
      <c r="Z177" s="890">
        <f t="shared" ref="Z177:Z196" si="233">IF(I177="","",VLOOKUP(I177,tabelsalaris16,J177+2,FALSE))</f>
        <v>4464</v>
      </c>
      <c r="AA177" s="865">
        <f>AA$14</f>
        <v>0.62</v>
      </c>
      <c r="AB177" s="891">
        <f>Z177*12/1659</f>
        <v>32.289330922242314</v>
      </c>
      <c r="AC177" s="891">
        <f>Z177*12*(1+AA177)/1659</f>
        <v>52.308716094032555</v>
      </c>
      <c r="AD177" s="891">
        <f>AC177-AB177</f>
        <v>20.01938517179024</v>
      </c>
      <c r="AE177" s="892">
        <f>O177+P177</f>
        <v>40</v>
      </c>
      <c r="AF177" s="893">
        <f>M177+N177</f>
        <v>0</v>
      </c>
      <c r="AG177" s="865">
        <f>IF(H177&gt;8,tab!C$132,tab!C$134)</f>
        <v>0.5</v>
      </c>
      <c r="AH177" s="866">
        <f>IF(G177&lt;25,0,IF(G177=25,25,IF(G177&lt;40,0,IF(G177=40,40,IF(G177&gt;=40,0)))))</f>
        <v>0</v>
      </c>
      <c r="AI177" s="864">
        <f>IF(E177="",0,IF(AH177=25,Z177*1.08*K177/2,IF(AH177=40,Z177*1.08*K177,IF(AH177=0,0))))</f>
        <v>0</v>
      </c>
      <c r="AJ177" s="894"/>
      <c r="AK177" s="837"/>
      <c r="AL177" s="837"/>
      <c r="AM177" s="837"/>
      <c r="AN177" s="895"/>
      <c r="AO177" s="837"/>
      <c r="AP177" s="837"/>
      <c r="AQ177" s="874"/>
      <c r="AR177" s="837"/>
      <c r="AS177" s="837"/>
      <c r="AT177" s="837"/>
      <c r="AU177" s="836"/>
      <c r="AV177" s="836"/>
      <c r="AW177" s="869"/>
      <c r="AX177" s="836"/>
      <c r="AY177" s="837"/>
      <c r="AZ177" s="713"/>
    </row>
    <row r="178" spans="3:52" s="526" customFormat="1" ht="12.75" customHeight="1" x14ac:dyDescent="0.2">
      <c r="C178" s="1037"/>
      <c r="D178" s="1219" t="str">
        <f t="shared" si="226"/>
        <v/>
      </c>
      <c r="E178" s="1219" t="str">
        <f t="shared" si="226"/>
        <v/>
      </c>
      <c r="F178" s="1219" t="str">
        <f t="shared" si="226"/>
        <v/>
      </c>
      <c r="G178" s="1221" t="str">
        <f t="shared" si="227"/>
        <v/>
      </c>
      <c r="H178" s="1222" t="str">
        <f t="shared" si="228"/>
        <v/>
      </c>
      <c r="I178" s="1221" t="str">
        <f t="shared" si="229"/>
        <v/>
      </c>
      <c r="J178" s="1221" t="str">
        <f t="shared" si="230"/>
        <v/>
      </c>
      <c r="K178" s="1223" t="str">
        <f t="shared" si="231"/>
        <v/>
      </c>
      <c r="L178" s="1216"/>
      <c r="M178" s="1224" t="str">
        <f t="shared" ref="M178:N178" si="234">IF(M146="","",M146)</f>
        <v/>
      </c>
      <c r="N178" s="1225" t="str">
        <f t="shared" si="234"/>
        <v/>
      </c>
      <c r="O178" s="1226" t="str">
        <f t="shared" ref="O178:O196" si="235">IF(K178="","",IF(K178*40&gt;40,40,K178*40))</f>
        <v/>
      </c>
      <c r="P178" s="1226" t="str">
        <f t="shared" ref="P178:P196" si="236">IF(I178="","",IF(OR(I178="LA",OR(I178="LB",OR(I178="LC",OR(I178="LD",OR(I178="LE"))))),1,0)*IF(J178&lt;4,IF(K178*40&gt;40,40,K178*40),0))</f>
        <v/>
      </c>
      <c r="Q178" s="1227" t="str">
        <f t="shared" ref="Q178:Q196" si="237">IF(K178="","",SUM(M178:P178))</f>
        <v/>
      </c>
      <c r="R178" s="1216"/>
      <c r="S178" s="1228" t="str">
        <f t="shared" ref="S178:S196" si="238">IF(J178="","",((1659*K178-Q178)*AC178))</f>
        <v/>
      </c>
      <c r="T178" s="1228" t="str">
        <f t="shared" ref="T178:T196" si="239">IF(K178="","",Q178*AD178+AB178*(AE178+AF178*(1-AG178)))</f>
        <v/>
      </c>
      <c r="U178" s="1229" t="str">
        <f t="shared" si="232"/>
        <v/>
      </c>
      <c r="V178" s="1212"/>
      <c r="W178" s="723"/>
      <c r="X178" s="604"/>
      <c r="Y178" s="604"/>
      <c r="Z178" s="890" t="str">
        <f t="shared" si="233"/>
        <v/>
      </c>
      <c r="AA178" s="865">
        <f t="shared" ref="AA178:AA196" si="240">AA$14</f>
        <v>0.62</v>
      </c>
      <c r="AB178" s="891" t="e">
        <f t="shared" ref="AB178:AB196" si="241">Z178*12/1659</f>
        <v>#VALUE!</v>
      </c>
      <c r="AC178" s="891" t="e">
        <f t="shared" ref="AC178:AC196" si="242">Z178*12*(1+AA178)/1659</f>
        <v>#VALUE!</v>
      </c>
      <c r="AD178" s="891" t="e">
        <f t="shared" ref="AD178:AD196" si="243">AC178-AB178</f>
        <v>#VALUE!</v>
      </c>
      <c r="AE178" s="892" t="e">
        <f t="shared" ref="AE178:AE196" si="244">O178+P178</f>
        <v>#VALUE!</v>
      </c>
      <c r="AF178" s="893" t="e">
        <f t="shared" ref="AF178:AF196" si="245">M178+N178</f>
        <v>#VALUE!</v>
      </c>
      <c r="AG178" s="865">
        <f>IF(H178&gt;8,tab!C$132,tab!C$134)</f>
        <v>0.5</v>
      </c>
      <c r="AH178" s="866">
        <f t="shared" ref="AH178:AH196" si="246">IF(G178&lt;25,0,IF(G178=25,25,IF(G178&lt;40,0,IF(G178=40,40,IF(G178&gt;=40,0)))))</f>
        <v>0</v>
      </c>
      <c r="AI178" s="864">
        <f t="shared" ref="AI178:AI196" si="247">IF(E178="",0,IF(AH178=25,Z178*1.08*K178/2,IF(AH178=40,Z178*1.08*K178,IF(AH178=0,0))))</f>
        <v>0</v>
      </c>
      <c r="AJ178" s="894"/>
      <c r="AK178" s="837"/>
      <c r="AL178" s="837"/>
      <c r="AM178" s="837"/>
      <c r="AN178" s="895"/>
      <c r="AO178" s="837"/>
      <c r="AP178" s="837"/>
      <c r="AQ178" s="874"/>
      <c r="AR178" s="837"/>
      <c r="AS178" s="837"/>
      <c r="AT178" s="837"/>
      <c r="AU178" s="836"/>
      <c r="AV178" s="836"/>
      <c r="AW178" s="869"/>
      <c r="AX178" s="836"/>
      <c r="AY178" s="837"/>
      <c r="AZ178" s="713"/>
    </row>
    <row r="179" spans="3:52" s="526" customFormat="1" ht="12.75" customHeight="1" x14ac:dyDescent="0.2">
      <c r="C179" s="1037"/>
      <c r="D179" s="1219" t="str">
        <f t="shared" si="226"/>
        <v/>
      </c>
      <c r="E179" s="1220" t="str">
        <f t="shared" si="226"/>
        <v/>
      </c>
      <c r="F179" s="1220" t="str">
        <f t="shared" si="226"/>
        <v/>
      </c>
      <c r="G179" s="1124" t="str">
        <f t="shared" si="227"/>
        <v/>
      </c>
      <c r="H179" s="1230" t="str">
        <f t="shared" si="228"/>
        <v/>
      </c>
      <c r="I179" s="1221" t="str">
        <f t="shared" ref="I179" si="248">IF(I147=0,"",I147)</f>
        <v/>
      </c>
      <c r="J179" s="1124" t="str">
        <f t="shared" si="230"/>
        <v/>
      </c>
      <c r="K179" s="1231" t="str">
        <f t="shared" si="231"/>
        <v/>
      </c>
      <c r="L179" s="1217"/>
      <c r="M179" s="1224" t="str">
        <f t="shared" ref="M179:N179" si="249">IF(M147="","",M147)</f>
        <v/>
      </c>
      <c r="N179" s="1225" t="str">
        <f t="shared" si="249"/>
        <v/>
      </c>
      <c r="O179" s="1226" t="str">
        <f t="shared" si="235"/>
        <v/>
      </c>
      <c r="P179" s="1226" t="str">
        <f t="shared" si="236"/>
        <v/>
      </c>
      <c r="Q179" s="1227" t="str">
        <f t="shared" si="237"/>
        <v/>
      </c>
      <c r="R179" s="1217"/>
      <c r="S179" s="1228" t="str">
        <f t="shared" si="238"/>
        <v/>
      </c>
      <c r="T179" s="1228" t="str">
        <f t="shared" si="239"/>
        <v/>
      </c>
      <c r="U179" s="1229" t="str">
        <f t="shared" si="232"/>
        <v/>
      </c>
      <c r="V179" s="1212"/>
      <c r="W179" s="723"/>
      <c r="X179" s="604"/>
      <c r="Y179" s="604"/>
      <c r="Z179" s="890" t="str">
        <f t="shared" si="233"/>
        <v/>
      </c>
      <c r="AA179" s="865">
        <f t="shared" si="240"/>
        <v>0.62</v>
      </c>
      <c r="AB179" s="891" t="e">
        <f t="shared" si="241"/>
        <v>#VALUE!</v>
      </c>
      <c r="AC179" s="891" t="e">
        <f t="shared" si="242"/>
        <v>#VALUE!</v>
      </c>
      <c r="AD179" s="891" t="e">
        <f t="shared" si="243"/>
        <v>#VALUE!</v>
      </c>
      <c r="AE179" s="892" t="e">
        <f t="shared" si="244"/>
        <v>#VALUE!</v>
      </c>
      <c r="AF179" s="893" t="e">
        <f t="shared" si="245"/>
        <v>#VALUE!</v>
      </c>
      <c r="AG179" s="865">
        <f>IF(H179&gt;8,tab!C$132,tab!C$134)</f>
        <v>0.5</v>
      </c>
      <c r="AH179" s="866">
        <f t="shared" si="246"/>
        <v>0</v>
      </c>
      <c r="AI179" s="864">
        <f t="shared" si="247"/>
        <v>0</v>
      </c>
      <c r="AJ179" s="894"/>
      <c r="AK179" s="837"/>
      <c r="AL179" s="837"/>
      <c r="AM179" s="837"/>
      <c r="AN179" s="895"/>
      <c r="AO179" s="837"/>
      <c r="AP179" s="837"/>
      <c r="AQ179" s="874"/>
      <c r="AR179" s="837"/>
      <c r="AS179" s="837"/>
      <c r="AT179" s="837"/>
      <c r="AU179" s="836"/>
      <c r="AV179" s="836"/>
      <c r="AW179" s="869"/>
      <c r="AX179" s="836"/>
      <c r="AY179" s="837"/>
      <c r="AZ179" s="713"/>
    </row>
    <row r="180" spans="3:52" s="526" customFormat="1" ht="12.75" customHeight="1" x14ac:dyDescent="0.2">
      <c r="C180" s="1037"/>
      <c r="D180" s="1219" t="str">
        <f t="shared" si="226"/>
        <v/>
      </c>
      <c r="E180" s="1219" t="str">
        <f t="shared" si="226"/>
        <v/>
      </c>
      <c r="F180" s="1219" t="str">
        <f t="shared" si="226"/>
        <v/>
      </c>
      <c r="G180" s="1221" t="str">
        <f t="shared" si="227"/>
        <v/>
      </c>
      <c r="H180" s="1222" t="str">
        <f t="shared" si="228"/>
        <v/>
      </c>
      <c r="I180" s="1221" t="str">
        <f t="shared" ref="I180" si="250">IF(I148=0,"",I148)</f>
        <v/>
      </c>
      <c r="J180" s="1221" t="str">
        <f t="shared" si="230"/>
        <v/>
      </c>
      <c r="K180" s="1223" t="str">
        <f t="shared" si="231"/>
        <v/>
      </c>
      <c r="L180" s="1216"/>
      <c r="M180" s="1224" t="str">
        <f t="shared" ref="M180:N180" si="251">IF(M148="","",M148)</f>
        <v/>
      </c>
      <c r="N180" s="1225" t="str">
        <f t="shared" si="251"/>
        <v/>
      </c>
      <c r="O180" s="1226" t="str">
        <f t="shared" si="235"/>
        <v/>
      </c>
      <c r="P180" s="1226" t="str">
        <f t="shared" si="236"/>
        <v/>
      </c>
      <c r="Q180" s="1227" t="str">
        <f t="shared" si="237"/>
        <v/>
      </c>
      <c r="R180" s="1216"/>
      <c r="S180" s="1228" t="str">
        <f t="shared" si="238"/>
        <v/>
      </c>
      <c r="T180" s="1228" t="str">
        <f t="shared" si="239"/>
        <v/>
      </c>
      <c r="U180" s="1229" t="str">
        <f t="shared" si="232"/>
        <v/>
      </c>
      <c r="V180" s="1212"/>
      <c r="W180" s="723"/>
      <c r="X180" s="604"/>
      <c r="Y180" s="604"/>
      <c r="Z180" s="890" t="str">
        <f t="shared" si="233"/>
        <v/>
      </c>
      <c r="AA180" s="865">
        <f t="shared" si="240"/>
        <v>0.62</v>
      </c>
      <c r="AB180" s="891" t="e">
        <f t="shared" si="241"/>
        <v>#VALUE!</v>
      </c>
      <c r="AC180" s="891" t="e">
        <f t="shared" si="242"/>
        <v>#VALUE!</v>
      </c>
      <c r="AD180" s="891" t="e">
        <f t="shared" si="243"/>
        <v>#VALUE!</v>
      </c>
      <c r="AE180" s="892" t="e">
        <f t="shared" si="244"/>
        <v>#VALUE!</v>
      </c>
      <c r="AF180" s="893" t="e">
        <f t="shared" si="245"/>
        <v>#VALUE!</v>
      </c>
      <c r="AG180" s="865">
        <f>IF(H180&gt;8,tab!C$132,tab!C$134)</f>
        <v>0.5</v>
      </c>
      <c r="AH180" s="866">
        <f t="shared" si="246"/>
        <v>0</v>
      </c>
      <c r="AI180" s="864">
        <f t="shared" si="247"/>
        <v>0</v>
      </c>
      <c r="AJ180" s="894"/>
      <c r="AK180" s="837"/>
      <c r="AL180" s="837"/>
      <c r="AM180" s="837"/>
      <c r="AN180" s="895"/>
      <c r="AO180" s="837"/>
      <c r="AP180" s="837"/>
      <c r="AQ180" s="874"/>
      <c r="AR180" s="837"/>
      <c r="AS180" s="837"/>
      <c r="AT180" s="837"/>
      <c r="AU180" s="836"/>
      <c r="AV180" s="836"/>
      <c r="AW180" s="869"/>
      <c r="AX180" s="836"/>
      <c r="AY180" s="837"/>
      <c r="AZ180" s="713"/>
    </row>
    <row r="181" spans="3:52" s="526" customFormat="1" ht="12.75" customHeight="1" x14ac:dyDescent="0.2">
      <c r="C181" s="1037"/>
      <c r="D181" s="1219" t="str">
        <f t="shared" si="226"/>
        <v/>
      </c>
      <c r="E181" s="1219" t="str">
        <f t="shared" si="226"/>
        <v/>
      </c>
      <c r="F181" s="1219" t="str">
        <f t="shared" si="226"/>
        <v/>
      </c>
      <c r="G181" s="1221" t="str">
        <f t="shared" si="227"/>
        <v/>
      </c>
      <c r="H181" s="1222" t="str">
        <f t="shared" si="228"/>
        <v/>
      </c>
      <c r="I181" s="1221" t="str">
        <f t="shared" ref="I181" si="252">IF(I149=0,"",I149)</f>
        <v/>
      </c>
      <c r="J181" s="1221" t="str">
        <f t="shared" si="230"/>
        <v/>
      </c>
      <c r="K181" s="1223" t="str">
        <f t="shared" si="231"/>
        <v/>
      </c>
      <c r="L181" s="1216"/>
      <c r="M181" s="1224" t="str">
        <f t="shared" ref="M181:N181" si="253">IF(M149="","",M149)</f>
        <v/>
      </c>
      <c r="N181" s="1225" t="str">
        <f t="shared" si="253"/>
        <v/>
      </c>
      <c r="O181" s="1226" t="str">
        <f t="shared" si="235"/>
        <v/>
      </c>
      <c r="P181" s="1226" t="str">
        <f t="shared" si="236"/>
        <v/>
      </c>
      <c r="Q181" s="1227" t="str">
        <f t="shared" si="237"/>
        <v/>
      </c>
      <c r="R181" s="1216"/>
      <c r="S181" s="1228" t="str">
        <f t="shared" si="238"/>
        <v/>
      </c>
      <c r="T181" s="1228" t="str">
        <f t="shared" si="239"/>
        <v/>
      </c>
      <c r="U181" s="1229" t="str">
        <f t="shared" si="232"/>
        <v/>
      </c>
      <c r="V181" s="1212"/>
      <c r="W181" s="723"/>
      <c r="X181" s="604"/>
      <c r="Y181" s="604"/>
      <c r="Z181" s="890" t="str">
        <f t="shared" si="233"/>
        <v/>
      </c>
      <c r="AA181" s="865">
        <f t="shared" si="240"/>
        <v>0.62</v>
      </c>
      <c r="AB181" s="891" t="e">
        <f t="shared" si="241"/>
        <v>#VALUE!</v>
      </c>
      <c r="AC181" s="891" t="e">
        <f t="shared" si="242"/>
        <v>#VALUE!</v>
      </c>
      <c r="AD181" s="891" t="e">
        <f t="shared" si="243"/>
        <v>#VALUE!</v>
      </c>
      <c r="AE181" s="892" t="e">
        <f t="shared" si="244"/>
        <v>#VALUE!</v>
      </c>
      <c r="AF181" s="893" t="e">
        <f t="shared" si="245"/>
        <v>#VALUE!</v>
      </c>
      <c r="AG181" s="865">
        <f>IF(H181&gt;8,tab!C$132,tab!C$134)</f>
        <v>0.5</v>
      </c>
      <c r="AH181" s="866">
        <f t="shared" si="246"/>
        <v>0</v>
      </c>
      <c r="AI181" s="864">
        <f t="shared" si="247"/>
        <v>0</v>
      </c>
      <c r="AJ181" s="894"/>
      <c r="AK181" s="837"/>
      <c r="AL181" s="837"/>
      <c r="AM181" s="837"/>
      <c r="AN181" s="895"/>
      <c r="AO181" s="837"/>
      <c r="AP181" s="837"/>
      <c r="AQ181" s="874"/>
      <c r="AR181" s="837"/>
      <c r="AS181" s="837"/>
      <c r="AT181" s="837"/>
      <c r="AU181" s="836"/>
      <c r="AV181" s="836"/>
      <c r="AW181" s="869"/>
      <c r="AX181" s="836"/>
      <c r="AY181" s="837"/>
      <c r="AZ181" s="713"/>
    </row>
    <row r="182" spans="3:52" s="526" customFormat="1" ht="12.75" customHeight="1" x14ac:dyDescent="0.2">
      <c r="C182" s="1037"/>
      <c r="D182" s="1219" t="str">
        <f t="shared" si="226"/>
        <v/>
      </c>
      <c r="E182" s="1219" t="str">
        <f t="shared" si="226"/>
        <v/>
      </c>
      <c r="F182" s="1219" t="str">
        <f t="shared" si="226"/>
        <v/>
      </c>
      <c r="G182" s="1221" t="str">
        <f t="shared" si="227"/>
        <v/>
      </c>
      <c r="H182" s="1222" t="str">
        <f t="shared" si="228"/>
        <v/>
      </c>
      <c r="I182" s="1221" t="str">
        <f t="shared" ref="I182" si="254">IF(I150=0,"",I150)</f>
        <v/>
      </c>
      <c r="J182" s="1221" t="str">
        <f t="shared" si="230"/>
        <v/>
      </c>
      <c r="K182" s="1223" t="str">
        <f t="shared" si="231"/>
        <v/>
      </c>
      <c r="L182" s="1216"/>
      <c r="M182" s="1224" t="str">
        <f t="shared" ref="M182:N182" si="255">IF(M150="","",M150)</f>
        <v/>
      </c>
      <c r="N182" s="1225" t="str">
        <f t="shared" si="255"/>
        <v/>
      </c>
      <c r="O182" s="1226" t="str">
        <f t="shared" si="235"/>
        <v/>
      </c>
      <c r="P182" s="1226" t="str">
        <f t="shared" si="236"/>
        <v/>
      </c>
      <c r="Q182" s="1227" t="str">
        <f t="shared" si="237"/>
        <v/>
      </c>
      <c r="R182" s="1216"/>
      <c r="S182" s="1228" t="str">
        <f t="shared" si="238"/>
        <v/>
      </c>
      <c r="T182" s="1228" t="str">
        <f t="shared" si="239"/>
        <v/>
      </c>
      <c r="U182" s="1229" t="str">
        <f t="shared" si="232"/>
        <v/>
      </c>
      <c r="V182" s="1212"/>
      <c r="W182" s="723"/>
      <c r="X182" s="604"/>
      <c r="Y182" s="604"/>
      <c r="Z182" s="890" t="str">
        <f t="shared" si="233"/>
        <v/>
      </c>
      <c r="AA182" s="865">
        <f t="shared" si="240"/>
        <v>0.62</v>
      </c>
      <c r="AB182" s="891" t="e">
        <f t="shared" si="241"/>
        <v>#VALUE!</v>
      </c>
      <c r="AC182" s="891" t="e">
        <f t="shared" si="242"/>
        <v>#VALUE!</v>
      </c>
      <c r="AD182" s="891" t="e">
        <f t="shared" si="243"/>
        <v>#VALUE!</v>
      </c>
      <c r="AE182" s="892" t="e">
        <f t="shared" si="244"/>
        <v>#VALUE!</v>
      </c>
      <c r="AF182" s="893" t="e">
        <f t="shared" si="245"/>
        <v>#VALUE!</v>
      </c>
      <c r="AG182" s="865">
        <f>IF(H182&gt;8,tab!C$132,tab!C$134)</f>
        <v>0.5</v>
      </c>
      <c r="AH182" s="866">
        <f t="shared" si="246"/>
        <v>0</v>
      </c>
      <c r="AI182" s="864">
        <f t="shared" si="247"/>
        <v>0</v>
      </c>
      <c r="AJ182" s="894"/>
      <c r="AK182" s="837"/>
      <c r="AL182" s="837"/>
      <c r="AM182" s="837"/>
      <c r="AN182" s="895"/>
      <c r="AO182" s="837"/>
      <c r="AP182" s="837"/>
      <c r="AQ182" s="874"/>
      <c r="AR182" s="837"/>
      <c r="AS182" s="837"/>
      <c r="AT182" s="837"/>
      <c r="AU182" s="836"/>
      <c r="AV182" s="836"/>
      <c r="AW182" s="869"/>
      <c r="AX182" s="836"/>
      <c r="AY182" s="837"/>
      <c r="AZ182" s="713"/>
    </row>
    <row r="183" spans="3:52" s="526" customFormat="1" ht="12.75" customHeight="1" x14ac:dyDescent="0.2">
      <c r="C183" s="1037"/>
      <c r="D183" s="1219" t="str">
        <f t="shared" si="226"/>
        <v/>
      </c>
      <c r="E183" s="1219" t="str">
        <f t="shared" si="226"/>
        <v/>
      </c>
      <c r="F183" s="1219" t="str">
        <f t="shared" si="226"/>
        <v/>
      </c>
      <c r="G183" s="1221" t="str">
        <f t="shared" si="227"/>
        <v/>
      </c>
      <c r="H183" s="1222" t="str">
        <f t="shared" si="228"/>
        <v/>
      </c>
      <c r="I183" s="1221" t="str">
        <f t="shared" ref="I183" si="256">IF(I151=0,"",I151)</f>
        <v/>
      </c>
      <c r="J183" s="1221" t="str">
        <f t="shared" si="230"/>
        <v/>
      </c>
      <c r="K183" s="1223" t="str">
        <f t="shared" si="231"/>
        <v/>
      </c>
      <c r="L183" s="1216"/>
      <c r="M183" s="1224" t="str">
        <f t="shared" ref="M183:N183" si="257">IF(M151="","",M151)</f>
        <v/>
      </c>
      <c r="N183" s="1225" t="str">
        <f t="shared" si="257"/>
        <v/>
      </c>
      <c r="O183" s="1226" t="str">
        <f t="shared" si="235"/>
        <v/>
      </c>
      <c r="P183" s="1226" t="str">
        <f t="shared" si="236"/>
        <v/>
      </c>
      <c r="Q183" s="1227" t="str">
        <f t="shared" si="237"/>
        <v/>
      </c>
      <c r="R183" s="1216"/>
      <c r="S183" s="1228" t="str">
        <f t="shared" si="238"/>
        <v/>
      </c>
      <c r="T183" s="1228" t="str">
        <f t="shared" si="239"/>
        <v/>
      </c>
      <c r="U183" s="1229" t="str">
        <f t="shared" si="232"/>
        <v/>
      </c>
      <c r="V183" s="1212"/>
      <c r="W183" s="723"/>
      <c r="X183" s="604"/>
      <c r="Y183" s="604"/>
      <c r="Z183" s="890" t="str">
        <f t="shared" si="233"/>
        <v/>
      </c>
      <c r="AA183" s="865">
        <f t="shared" si="240"/>
        <v>0.62</v>
      </c>
      <c r="AB183" s="891" t="e">
        <f t="shared" si="241"/>
        <v>#VALUE!</v>
      </c>
      <c r="AC183" s="891" t="e">
        <f t="shared" si="242"/>
        <v>#VALUE!</v>
      </c>
      <c r="AD183" s="891" t="e">
        <f t="shared" si="243"/>
        <v>#VALUE!</v>
      </c>
      <c r="AE183" s="892" t="e">
        <f t="shared" si="244"/>
        <v>#VALUE!</v>
      </c>
      <c r="AF183" s="893" t="e">
        <f t="shared" si="245"/>
        <v>#VALUE!</v>
      </c>
      <c r="AG183" s="865">
        <f>IF(H183&gt;8,tab!C$132,tab!C$134)</f>
        <v>0.5</v>
      </c>
      <c r="AH183" s="866">
        <f t="shared" si="246"/>
        <v>0</v>
      </c>
      <c r="AI183" s="864">
        <f t="shared" si="247"/>
        <v>0</v>
      </c>
      <c r="AJ183" s="894"/>
      <c r="AK183" s="837"/>
      <c r="AL183" s="837"/>
      <c r="AM183" s="837"/>
      <c r="AN183" s="895"/>
      <c r="AO183" s="837"/>
      <c r="AP183" s="837"/>
      <c r="AQ183" s="874"/>
      <c r="AR183" s="837"/>
      <c r="AS183" s="837"/>
      <c r="AT183" s="837"/>
      <c r="AU183" s="836"/>
      <c r="AV183" s="836"/>
      <c r="AW183" s="869"/>
      <c r="AX183" s="836"/>
      <c r="AY183" s="837"/>
      <c r="AZ183" s="713"/>
    </row>
    <row r="184" spans="3:52" s="526" customFormat="1" ht="12.75" customHeight="1" x14ac:dyDescent="0.2">
      <c r="C184" s="1037"/>
      <c r="D184" s="1219" t="str">
        <f t="shared" si="226"/>
        <v/>
      </c>
      <c r="E184" s="1219" t="str">
        <f t="shared" si="226"/>
        <v/>
      </c>
      <c r="F184" s="1219" t="str">
        <f t="shared" si="226"/>
        <v/>
      </c>
      <c r="G184" s="1221" t="str">
        <f t="shared" si="227"/>
        <v/>
      </c>
      <c r="H184" s="1222" t="str">
        <f t="shared" si="228"/>
        <v/>
      </c>
      <c r="I184" s="1221" t="str">
        <f t="shared" ref="I184" si="258">IF(I152=0,"",I152)</f>
        <v/>
      </c>
      <c r="J184" s="1221" t="str">
        <f t="shared" si="230"/>
        <v/>
      </c>
      <c r="K184" s="1223" t="str">
        <f t="shared" si="231"/>
        <v/>
      </c>
      <c r="L184" s="1216"/>
      <c r="M184" s="1224" t="str">
        <f t="shared" ref="M184:N184" si="259">IF(M152="","",M152)</f>
        <v/>
      </c>
      <c r="N184" s="1225" t="str">
        <f t="shared" si="259"/>
        <v/>
      </c>
      <c r="O184" s="1226" t="str">
        <f t="shared" si="235"/>
        <v/>
      </c>
      <c r="P184" s="1226" t="str">
        <f t="shared" si="236"/>
        <v/>
      </c>
      <c r="Q184" s="1227" t="str">
        <f t="shared" si="237"/>
        <v/>
      </c>
      <c r="R184" s="1216"/>
      <c r="S184" s="1228" t="str">
        <f t="shared" si="238"/>
        <v/>
      </c>
      <c r="T184" s="1228" t="str">
        <f t="shared" si="239"/>
        <v/>
      </c>
      <c r="U184" s="1229" t="str">
        <f t="shared" si="232"/>
        <v/>
      </c>
      <c r="V184" s="1212"/>
      <c r="W184" s="723"/>
      <c r="X184" s="604"/>
      <c r="Y184" s="604"/>
      <c r="Z184" s="890" t="str">
        <f t="shared" si="233"/>
        <v/>
      </c>
      <c r="AA184" s="865">
        <f t="shared" si="240"/>
        <v>0.62</v>
      </c>
      <c r="AB184" s="891" t="e">
        <f t="shared" si="241"/>
        <v>#VALUE!</v>
      </c>
      <c r="AC184" s="891" t="e">
        <f t="shared" si="242"/>
        <v>#VALUE!</v>
      </c>
      <c r="AD184" s="891" t="e">
        <f t="shared" si="243"/>
        <v>#VALUE!</v>
      </c>
      <c r="AE184" s="892" t="e">
        <f t="shared" si="244"/>
        <v>#VALUE!</v>
      </c>
      <c r="AF184" s="893" t="e">
        <f t="shared" si="245"/>
        <v>#VALUE!</v>
      </c>
      <c r="AG184" s="865">
        <f>IF(H184&gt;8,tab!C$132,tab!C$134)</f>
        <v>0.5</v>
      </c>
      <c r="AH184" s="866">
        <f t="shared" si="246"/>
        <v>0</v>
      </c>
      <c r="AI184" s="864">
        <f t="shared" si="247"/>
        <v>0</v>
      </c>
      <c r="AJ184" s="894"/>
      <c r="AK184" s="837"/>
      <c r="AL184" s="837"/>
      <c r="AM184" s="837"/>
      <c r="AN184" s="895"/>
      <c r="AO184" s="837"/>
      <c r="AP184" s="837"/>
      <c r="AQ184" s="874"/>
      <c r="AR184" s="837"/>
      <c r="AS184" s="837"/>
      <c r="AT184" s="837"/>
      <c r="AU184" s="836"/>
      <c r="AV184" s="836"/>
      <c r="AW184" s="869"/>
      <c r="AX184" s="836"/>
      <c r="AY184" s="837"/>
      <c r="AZ184" s="713"/>
    </row>
    <row r="185" spans="3:52" s="526" customFormat="1" ht="12.75" customHeight="1" x14ac:dyDescent="0.2">
      <c r="C185" s="1037"/>
      <c r="D185" s="1219" t="str">
        <f t="shared" si="226"/>
        <v/>
      </c>
      <c r="E185" s="1219" t="str">
        <f t="shared" si="226"/>
        <v/>
      </c>
      <c r="F185" s="1219" t="str">
        <f t="shared" si="226"/>
        <v/>
      </c>
      <c r="G185" s="1221" t="str">
        <f t="shared" si="227"/>
        <v/>
      </c>
      <c r="H185" s="1222" t="str">
        <f t="shared" si="228"/>
        <v/>
      </c>
      <c r="I185" s="1221" t="str">
        <f t="shared" ref="I185" si="260">IF(I153=0,"",I153)</f>
        <v/>
      </c>
      <c r="J185" s="1221" t="str">
        <f t="shared" si="230"/>
        <v/>
      </c>
      <c r="K185" s="1223" t="str">
        <f t="shared" si="231"/>
        <v/>
      </c>
      <c r="L185" s="1216"/>
      <c r="M185" s="1224" t="str">
        <f t="shared" ref="M185:N185" si="261">IF(M153="","",M153)</f>
        <v/>
      </c>
      <c r="N185" s="1225" t="str">
        <f t="shared" si="261"/>
        <v/>
      </c>
      <c r="O185" s="1226" t="str">
        <f t="shared" si="235"/>
        <v/>
      </c>
      <c r="P185" s="1226" t="str">
        <f t="shared" si="236"/>
        <v/>
      </c>
      <c r="Q185" s="1227" t="str">
        <f t="shared" si="237"/>
        <v/>
      </c>
      <c r="R185" s="1216"/>
      <c r="S185" s="1228" t="str">
        <f t="shared" si="238"/>
        <v/>
      </c>
      <c r="T185" s="1228" t="str">
        <f t="shared" si="239"/>
        <v/>
      </c>
      <c r="U185" s="1229" t="str">
        <f t="shared" si="232"/>
        <v/>
      </c>
      <c r="V185" s="1212"/>
      <c r="W185" s="723"/>
      <c r="X185" s="604"/>
      <c r="Y185" s="604"/>
      <c r="Z185" s="890" t="str">
        <f t="shared" si="233"/>
        <v/>
      </c>
      <c r="AA185" s="865">
        <f t="shared" si="240"/>
        <v>0.62</v>
      </c>
      <c r="AB185" s="891" t="e">
        <f t="shared" si="241"/>
        <v>#VALUE!</v>
      </c>
      <c r="AC185" s="891" t="e">
        <f t="shared" si="242"/>
        <v>#VALUE!</v>
      </c>
      <c r="AD185" s="891" t="e">
        <f t="shared" si="243"/>
        <v>#VALUE!</v>
      </c>
      <c r="AE185" s="892" t="e">
        <f t="shared" si="244"/>
        <v>#VALUE!</v>
      </c>
      <c r="AF185" s="893" t="e">
        <f t="shared" si="245"/>
        <v>#VALUE!</v>
      </c>
      <c r="AG185" s="865">
        <f>IF(H185&gt;8,tab!C$132,tab!C$134)</f>
        <v>0.5</v>
      </c>
      <c r="AH185" s="866">
        <f t="shared" si="246"/>
        <v>0</v>
      </c>
      <c r="AI185" s="864">
        <f t="shared" si="247"/>
        <v>0</v>
      </c>
      <c r="AJ185" s="894"/>
      <c r="AK185" s="837"/>
      <c r="AL185" s="837"/>
      <c r="AM185" s="837"/>
      <c r="AN185" s="895"/>
      <c r="AO185" s="837"/>
      <c r="AP185" s="837"/>
      <c r="AQ185" s="874"/>
      <c r="AR185" s="837"/>
      <c r="AS185" s="837"/>
      <c r="AT185" s="837"/>
      <c r="AU185" s="836"/>
      <c r="AV185" s="836"/>
      <c r="AW185" s="869"/>
      <c r="AX185" s="836"/>
      <c r="AY185" s="837"/>
      <c r="AZ185" s="713"/>
    </row>
    <row r="186" spans="3:52" s="526" customFormat="1" ht="12.75" customHeight="1" x14ac:dyDescent="0.2">
      <c r="C186" s="1037"/>
      <c r="D186" s="1219" t="str">
        <f t="shared" si="226"/>
        <v/>
      </c>
      <c r="E186" s="1219" t="str">
        <f t="shared" si="226"/>
        <v/>
      </c>
      <c r="F186" s="1219" t="str">
        <f t="shared" si="226"/>
        <v/>
      </c>
      <c r="G186" s="1221" t="str">
        <f t="shared" si="227"/>
        <v/>
      </c>
      <c r="H186" s="1222" t="str">
        <f t="shared" si="228"/>
        <v/>
      </c>
      <c r="I186" s="1221" t="str">
        <f t="shared" ref="I186" si="262">IF(I154=0,"",I154)</f>
        <v/>
      </c>
      <c r="J186" s="1221" t="str">
        <f t="shared" si="230"/>
        <v/>
      </c>
      <c r="K186" s="1223" t="str">
        <f t="shared" si="231"/>
        <v/>
      </c>
      <c r="L186" s="1216"/>
      <c r="M186" s="1224" t="str">
        <f t="shared" ref="M186:N186" si="263">IF(M154="","",M154)</f>
        <v/>
      </c>
      <c r="N186" s="1225" t="str">
        <f t="shared" si="263"/>
        <v/>
      </c>
      <c r="O186" s="1226" t="str">
        <f t="shared" si="235"/>
        <v/>
      </c>
      <c r="P186" s="1226" t="str">
        <f t="shared" si="236"/>
        <v/>
      </c>
      <c r="Q186" s="1227" t="str">
        <f t="shared" si="237"/>
        <v/>
      </c>
      <c r="R186" s="1216"/>
      <c r="S186" s="1228" t="str">
        <f t="shared" si="238"/>
        <v/>
      </c>
      <c r="T186" s="1228" t="str">
        <f t="shared" si="239"/>
        <v/>
      </c>
      <c r="U186" s="1229" t="str">
        <f t="shared" si="232"/>
        <v/>
      </c>
      <c r="V186" s="1212"/>
      <c r="W186" s="723"/>
      <c r="X186" s="604"/>
      <c r="Y186" s="604"/>
      <c r="Z186" s="890" t="str">
        <f t="shared" si="233"/>
        <v/>
      </c>
      <c r="AA186" s="865">
        <f t="shared" si="240"/>
        <v>0.62</v>
      </c>
      <c r="AB186" s="891" t="e">
        <f t="shared" si="241"/>
        <v>#VALUE!</v>
      </c>
      <c r="AC186" s="891" t="e">
        <f t="shared" si="242"/>
        <v>#VALUE!</v>
      </c>
      <c r="AD186" s="891" t="e">
        <f t="shared" si="243"/>
        <v>#VALUE!</v>
      </c>
      <c r="AE186" s="892" t="e">
        <f t="shared" si="244"/>
        <v>#VALUE!</v>
      </c>
      <c r="AF186" s="893" t="e">
        <f t="shared" si="245"/>
        <v>#VALUE!</v>
      </c>
      <c r="AG186" s="865">
        <f>IF(H186&gt;8,tab!C$132,tab!C$134)</f>
        <v>0.5</v>
      </c>
      <c r="AH186" s="866">
        <f t="shared" si="246"/>
        <v>0</v>
      </c>
      <c r="AI186" s="864">
        <f t="shared" si="247"/>
        <v>0</v>
      </c>
      <c r="AJ186" s="894"/>
      <c r="AK186" s="837"/>
      <c r="AL186" s="837"/>
      <c r="AM186" s="837"/>
      <c r="AN186" s="895"/>
      <c r="AO186" s="837"/>
      <c r="AP186" s="837"/>
      <c r="AQ186" s="874"/>
      <c r="AR186" s="837"/>
      <c r="AS186" s="837"/>
      <c r="AT186" s="837"/>
      <c r="AU186" s="836"/>
      <c r="AV186" s="836"/>
      <c r="AW186" s="869"/>
      <c r="AX186" s="836"/>
      <c r="AY186" s="837"/>
      <c r="AZ186" s="713"/>
    </row>
    <row r="187" spans="3:52" s="526" customFormat="1" ht="12.75" customHeight="1" x14ac:dyDescent="0.2">
      <c r="C187" s="1037"/>
      <c r="D187" s="1219" t="str">
        <f t="shared" si="226"/>
        <v/>
      </c>
      <c r="E187" s="1219" t="str">
        <f t="shared" si="226"/>
        <v/>
      </c>
      <c r="F187" s="1219" t="str">
        <f t="shared" si="226"/>
        <v/>
      </c>
      <c r="G187" s="1221" t="str">
        <f t="shared" si="227"/>
        <v/>
      </c>
      <c r="H187" s="1222" t="str">
        <f t="shared" si="228"/>
        <v/>
      </c>
      <c r="I187" s="1221" t="str">
        <f t="shared" ref="I187" si="264">IF(I155=0,"",I155)</f>
        <v/>
      </c>
      <c r="J187" s="1221" t="str">
        <f t="shared" si="230"/>
        <v/>
      </c>
      <c r="K187" s="1223" t="str">
        <f t="shared" si="231"/>
        <v/>
      </c>
      <c r="L187" s="1216"/>
      <c r="M187" s="1224" t="str">
        <f t="shared" ref="M187:N187" si="265">IF(M155="","",M155)</f>
        <v/>
      </c>
      <c r="N187" s="1225" t="str">
        <f t="shared" si="265"/>
        <v/>
      </c>
      <c r="O187" s="1226" t="str">
        <f t="shared" si="235"/>
        <v/>
      </c>
      <c r="P187" s="1226" t="str">
        <f t="shared" si="236"/>
        <v/>
      </c>
      <c r="Q187" s="1227" t="str">
        <f t="shared" si="237"/>
        <v/>
      </c>
      <c r="R187" s="1216"/>
      <c r="S187" s="1228" t="str">
        <f t="shared" si="238"/>
        <v/>
      </c>
      <c r="T187" s="1228" t="str">
        <f t="shared" si="239"/>
        <v/>
      </c>
      <c r="U187" s="1229" t="str">
        <f t="shared" si="232"/>
        <v/>
      </c>
      <c r="V187" s="1212"/>
      <c r="W187" s="723"/>
      <c r="X187" s="604"/>
      <c r="Y187" s="604"/>
      <c r="Z187" s="890" t="str">
        <f t="shared" si="233"/>
        <v/>
      </c>
      <c r="AA187" s="865">
        <f t="shared" si="240"/>
        <v>0.62</v>
      </c>
      <c r="AB187" s="891" t="e">
        <f t="shared" si="241"/>
        <v>#VALUE!</v>
      </c>
      <c r="AC187" s="891" t="e">
        <f t="shared" si="242"/>
        <v>#VALUE!</v>
      </c>
      <c r="AD187" s="891" t="e">
        <f t="shared" si="243"/>
        <v>#VALUE!</v>
      </c>
      <c r="AE187" s="892" t="e">
        <f t="shared" si="244"/>
        <v>#VALUE!</v>
      </c>
      <c r="AF187" s="893" t="e">
        <f t="shared" si="245"/>
        <v>#VALUE!</v>
      </c>
      <c r="AG187" s="865">
        <f>IF(H187&gt;8,tab!C$132,tab!C$134)</f>
        <v>0.5</v>
      </c>
      <c r="AH187" s="866">
        <f t="shared" si="246"/>
        <v>0</v>
      </c>
      <c r="AI187" s="864">
        <f t="shared" si="247"/>
        <v>0</v>
      </c>
      <c r="AJ187" s="894"/>
      <c r="AK187" s="837"/>
      <c r="AL187" s="837"/>
      <c r="AM187" s="837"/>
      <c r="AN187" s="895"/>
      <c r="AO187" s="837"/>
      <c r="AP187" s="837"/>
      <c r="AQ187" s="874"/>
      <c r="AR187" s="837"/>
      <c r="AS187" s="837"/>
      <c r="AT187" s="837"/>
      <c r="AU187" s="836"/>
      <c r="AV187" s="836"/>
      <c r="AW187" s="869"/>
      <c r="AX187" s="836"/>
      <c r="AY187" s="837"/>
      <c r="AZ187" s="713"/>
    </row>
    <row r="188" spans="3:52" s="526" customFormat="1" ht="12.75" customHeight="1" x14ac:dyDescent="0.2">
      <c r="C188" s="1037"/>
      <c r="D188" s="1219" t="str">
        <f t="shared" si="226"/>
        <v/>
      </c>
      <c r="E188" s="1219" t="str">
        <f t="shared" si="226"/>
        <v/>
      </c>
      <c r="F188" s="1219" t="str">
        <f t="shared" si="226"/>
        <v/>
      </c>
      <c r="G188" s="1221" t="str">
        <f t="shared" si="227"/>
        <v/>
      </c>
      <c r="H188" s="1222" t="str">
        <f t="shared" si="228"/>
        <v/>
      </c>
      <c r="I188" s="1221" t="str">
        <f t="shared" ref="I188" si="266">IF(I156=0,"",I156)</f>
        <v/>
      </c>
      <c r="J188" s="1221" t="str">
        <f t="shared" si="230"/>
        <v/>
      </c>
      <c r="K188" s="1223" t="str">
        <f t="shared" si="231"/>
        <v/>
      </c>
      <c r="L188" s="1216"/>
      <c r="M188" s="1224" t="str">
        <f t="shared" ref="M188:N188" si="267">IF(M156="","",M156)</f>
        <v/>
      </c>
      <c r="N188" s="1225" t="str">
        <f t="shared" si="267"/>
        <v/>
      </c>
      <c r="O188" s="1226" t="str">
        <f t="shared" si="235"/>
        <v/>
      </c>
      <c r="P188" s="1226" t="str">
        <f t="shared" si="236"/>
        <v/>
      </c>
      <c r="Q188" s="1227" t="str">
        <f t="shared" si="237"/>
        <v/>
      </c>
      <c r="R188" s="1216"/>
      <c r="S188" s="1228" t="str">
        <f t="shared" si="238"/>
        <v/>
      </c>
      <c r="T188" s="1228" t="str">
        <f t="shared" si="239"/>
        <v/>
      </c>
      <c r="U188" s="1229" t="str">
        <f t="shared" si="232"/>
        <v/>
      </c>
      <c r="V188" s="1212"/>
      <c r="W188" s="723"/>
      <c r="X188" s="604"/>
      <c r="Y188" s="604"/>
      <c r="Z188" s="890" t="str">
        <f t="shared" si="233"/>
        <v/>
      </c>
      <c r="AA188" s="865">
        <f t="shared" si="240"/>
        <v>0.62</v>
      </c>
      <c r="AB188" s="891" t="e">
        <f t="shared" si="241"/>
        <v>#VALUE!</v>
      </c>
      <c r="AC188" s="891" t="e">
        <f t="shared" si="242"/>
        <v>#VALUE!</v>
      </c>
      <c r="AD188" s="891" t="e">
        <f t="shared" si="243"/>
        <v>#VALUE!</v>
      </c>
      <c r="AE188" s="892" t="e">
        <f t="shared" si="244"/>
        <v>#VALUE!</v>
      </c>
      <c r="AF188" s="893" t="e">
        <f t="shared" si="245"/>
        <v>#VALUE!</v>
      </c>
      <c r="AG188" s="865">
        <f>IF(H188&gt;8,tab!C$132,tab!C$134)</f>
        <v>0.5</v>
      </c>
      <c r="AH188" s="866">
        <f t="shared" si="246"/>
        <v>0</v>
      </c>
      <c r="AI188" s="864">
        <f t="shared" si="247"/>
        <v>0</v>
      </c>
      <c r="AJ188" s="894"/>
      <c r="AK188" s="837"/>
      <c r="AL188" s="837"/>
      <c r="AM188" s="837"/>
      <c r="AN188" s="895"/>
      <c r="AO188" s="837"/>
      <c r="AP188" s="837"/>
      <c r="AQ188" s="874"/>
      <c r="AR188" s="837"/>
      <c r="AS188" s="837"/>
      <c r="AT188" s="837"/>
      <c r="AU188" s="836"/>
      <c r="AV188" s="836"/>
      <c r="AW188" s="869"/>
      <c r="AX188" s="836"/>
      <c r="AY188" s="837"/>
      <c r="AZ188" s="713"/>
    </row>
    <row r="189" spans="3:52" s="526" customFormat="1" ht="12.75" customHeight="1" x14ac:dyDescent="0.2">
      <c r="C189" s="1037"/>
      <c r="D189" s="1219" t="str">
        <f t="shared" si="226"/>
        <v/>
      </c>
      <c r="E189" s="1219" t="str">
        <f t="shared" si="226"/>
        <v/>
      </c>
      <c r="F189" s="1219" t="str">
        <f t="shared" si="226"/>
        <v/>
      </c>
      <c r="G189" s="1221" t="str">
        <f t="shared" si="227"/>
        <v/>
      </c>
      <c r="H189" s="1222" t="str">
        <f t="shared" si="228"/>
        <v/>
      </c>
      <c r="I189" s="1221" t="str">
        <f t="shared" ref="I189" si="268">IF(I157=0,"",I157)</f>
        <v/>
      </c>
      <c r="J189" s="1221" t="str">
        <f t="shared" si="230"/>
        <v/>
      </c>
      <c r="K189" s="1223" t="str">
        <f t="shared" si="231"/>
        <v/>
      </c>
      <c r="L189" s="1216"/>
      <c r="M189" s="1224" t="str">
        <f t="shared" ref="M189:N189" si="269">IF(M157="","",M157)</f>
        <v/>
      </c>
      <c r="N189" s="1225" t="str">
        <f t="shared" si="269"/>
        <v/>
      </c>
      <c r="O189" s="1226" t="str">
        <f t="shared" si="235"/>
        <v/>
      </c>
      <c r="P189" s="1226" t="str">
        <f t="shared" si="236"/>
        <v/>
      </c>
      <c r="Q189" s="1227" t="str">
        <f t="shared" si="237"/>
        <v/>
      </c>
      <c r="R189" s="1216"/>
      <c r="S189" s="1228" t="str">
        <f t="shared" si="238"/>
        <v/>
      </c>
      <c r="T189" s="1228" t="str">
        <f t="shared" si="239"/>
        <v/>
      </c>
      <c r="U189" s="1229" t="str">
        <f t="shared" si="232"/>
        <v/>
      </c>
      <c r="V189" s="1212"/>
      <c r="W189" s="723"/>
      <c r="X189" s="604"/>
      <c r="Y189" s="604"/>
      <c r="Z189" s="890" t="str">
        <f t="shared" si="233"/>
        <v/>
      </c>
      <c r="AA189" s="865">
        <f t="shared" si="240"/>
        <v>0.62</v>
      </c>
      <c r="AB189" s="891" t="e">
        <f t="shared" si="241"/>
        <v>#VALUE!</v>
      </c>
      <c r="AC189" s="891" t="e">
        <f t="shared" si="242"/>
        <v>#VALUE!</v>
      </c>
      <c r="AD189" s="891" t="e">
        <f t="shared" si="243"/>
        <v>#VALUE!</v>
      </c>
      <c r="AE189" s="892" t="e">
        <f t="shared" si="244"/>
        <v>#VALUE!</v>
      </c>
      <c r="AF189" s="893" t="e">
        <f t="shared" si="245"/>
        <v>#VALUE!</v>
      </c>
      <c r="AG189" s="865">
        <f>IF(H189&gt;8,tab!C$132,tab!C$134)</f>
        <v>0.5</v>
      </c>
      <c r="AH189" s="866">
        <f t="shared" si="246"/>
        <v>0</v>
      </c>
      <c r="AI189" s="864">
        <f t="shared" si="247"/>
        <v>0</v>
      </c>
      <c r="AJ189" s="894"/>
      <c r="AK189" s="837"/>
      <c r="AL189" s="837"/>
      <c r="AM189" s="837"/>
      <c r="AN189" s="895"/>
      <c r="AO189" s="837"/>
      <c r="AP189" s="837"/>
      <c r="AQ189" s="874"/>
      <c r="AR189" s="837"/>
      <c r="AS189" s="837"/>
      <c r="AT189" s="837"/>
      <c r="AU189" s="836"/>
      <c r="AV189" s="836"/>
      <c r="AW189" s="869"/>
      <c r="AX189" s="836"/>
      <c r="AY189" s="837"/>
      <c r="AZ189" s="713"/>
    </row>
    <row r="190" spans="3:52" s="526" customFormat="1" ht="12.75" customHeight="1" x14ac:dyDescent="0.2">
      <c r="C190" s="1037"/>
      <c r="D190" s="1219" t="str">
        <f t="shared" si="226"/>
        <v/>
      </c>
      <c r="E190" s="1219" t="str">
        <f t="shared" si="226"/>
        <v/>
      </c>
      <c r="F190" s="1219" t="str">
        <f t="shared" si="226"/>
        <v/>
      </c>
      <c r="G190" s="1221" t="str">
        <f t="shared" si="227"/>
        <v/>
      </c>
      <c r="H190" s="1222" t="str">
        <f t="shared" si="228"/>
        <v/>
      </c>
      <c r="I190" s="1221" t="str">
        <f t="shared" ref="I190" si="270">IF(I158=0,"",I158)</f>
        <v/>
      </c>
      <c r="J190" s="1221" t="str">
        <f t="shared" si="230"/>
        <v/>
      </c>
      <c r="K190" s="1223" t="str">
        <f t="shared" si="231"/>
        <v/>
      </c>
      <c r="L190" s="1216"/>
      <c r="M190" s="1224" t="str">
        <f t="shared" ref="M190:N190" si="271">IF(M158="","",M158)</f>
        <v/>
      </c>
      <c r="N190" s="1225" t="str">
        <f t="shared" si="271"/>
        <v/>
      </c>
      <c r="O190" s="1226" t="str">
        <f t="shared" si="235"/>
        <v/>
      </c>
      <c r="P190" s="1226" t="str">
        <f t="shared" si="236"/>
        <v/>
      </c>
      <c r="Q190" s="1227" t="str">
        <f t="shared" si="237"/>
        <v/>
      </c>
      <c r="R190" s="1216"/>
      <c r="S190" s="1228" t="str">
        <f t="shared" si="238"/>
        <v/>
      </c>
      <c r="T190" s="1228" t="str">
        <f t="shared" si="239"/>
        <v/>
      </c>
      <c r="U190" s="1229" t="str">
        <f t="shared" si="232"/>
        <v/>
      </c>
      <c r="V190" s="1212"/>
      <c r="W190" s="723"/>
      <c r="X190" s="604"/>
      <c r="Y190" s="604"/>
      <c r="Z190" s="890" t="str">
        <f t="shared" si="233"/>
        <v/>
      </c>
      <c r="AA190" s="865">
        <f t="shared" si="240"/>
        <v>0.62</v>
      </c>
      <c r="AB190" s="891" t="e">
        <f t="shared" si="241"/>
        <v>#VALUE!</v>
      </c>
      <c r="AC190" s="891" t="e">
        <f t="shared" si="242"/>
        <v>#VALUE!</v>
      </c>
      <c r="AD190" s="891" t="e">
        <f t="shared" si="243"/>
        <v>#VALUE!</v>
      </c>
      <c r="AE190" s="892" t="e">
        <f t="shared" si="244"/>
        <v>#VALUE!</v>
      </c>
      <c r="AF190" s="893" t="e">
        <f t="shared" si="245"/>
        <v>#VALUE!</v>
      </c>
      <c r="AG190" s="865">
        <f>IF(H190&gt;8,tab!C$132,tab!C$134)</f>
        <v>0.5</v>
      </c>
      <c r="AH190" s="866">
        <f t="shared" si="246"/>
        <v>0</v>
      </c>
      <c r="AI190" s="864">
        <f t="shared" si="247"/>
        <v>0</v>
      </c>
      <c r="AJ190" s="894"/>
      <c r="AK190" s="837"/>
      <c r="AL190" s="837"/>
      <c r="AM190" s="837"/>
      <c r="AN190" s="895"/>
      <c r="AO190" s="837"/>
      <c r="AP190" s="837"/>
      <c r="AQ190" s="874"/>
      <c r="AR190" s="837"/>
      <c r="AS190" s="837"/>
      <c r="AT190" s="837"/>
      <c r="AU190" s="836"/>
      <c r="AV190" s="836"/>
      <c r="AW190" s="869"/>
      <c r="AX190" s="836"/>
      <c r="AY190" s="837"/>
      <c r="AZ190" s="713"/>
    </row>
    <row r="191" spans="3:52" s="526" customFormat="1" ht="12.75" customHeight="1" x14ac:dyDescent="0.2">
      <c r="C191" s="1037"/>
      <c r="D191" s="1219" t="str">
        <f t="shared" si="226"/>
        <v/>
      </c>
      <c r="E191" s="1219" t="str">
        <f t="shared" si="226"/>
        <v/>
      </c>
      <c r="F191" s="1219" t="str">
        <f t="shared" si="226"/>
        <v/>
      </c>
      <c r="G191" s="1221" t="str">
        <f t="shared" si="227"/>
        <v/>
      </c>
      <c r="H191" s="1222" t="str">
        <f t="shared" si="228"/>
        <v/>
      </c>
      <c r="I191" s="1221" t="str">
        <f t="shared" ref="I191" si="272">IF(I159=0,"",I159)</f>
        <v/>
      </c>
      <c r="J191" s="1221" t="str">
        <f t="shared" si="230"/>
        <v/>
      </c>
      <c r="K191" s="1223" t="str">
        <f t="shared" si="231"/>
        <v/>
      </c>
      <c r="L191" s="1216"/>
      <c r="M191" s="1224" t="str">
        <f t="shared" ref="M191:N191" si="273">IF(M159="","",M159)</f>
        <v/>
      </c>
      <c r="N191" s="1225" t="str">
        <f t="shared" si="273"/>
        <v/>
      </c>
      <c r="O191" s="1226" t="str">
        <f t="shared" si="235"/>
        <v/>
      </c>
      <c r="P191" s="1226" t="str">
        <f t="shared" si="236"/>
        <v/>
      </c>
      <c r="Q191" s="1227" t="str">
        <f t="shared" si="237"/>
        <v/>
      </c>
      <c r="R191" s="1216"/>
      <c r="S191" s="1228" t="str">
        <f t="shared" si="238"/>
        <v/>
      </c>
      <c r="T191" s="1228" t="str">
        <f t="shared" si="239"/>
        <v/>
      </c>
      <c r="U191" s="1229" t="str">
        <f t="shared" si="232"/>
        <v/>
      </c>
      <c r="V191" s="1212"/>
      <c r="W191" s="723"/>
      <c r="X191" s="604"/>
      <c r="Y191" s="604"/>
      <c r="Z191" s="890" t="str">
        <f t="shared" si="233"/>
        <v/>
      </c>
      <c r="AA191" s="865">
        <f t="shared" si="240"/>
        <v>0.62</v>
      </c>
      <c r="AB191" s="891" t="e">
        <f t="shared" si="241"/>
        <v>#VALUE!</v>
      </c>
      <c r="AC191" s="891" t="e">
        <f t="shared" si="242"/>
        <v>#VALUE!</v>
      </c>
      <c r="AD191" s="891" t="e">
        <f t="shared" si="243"/>
        <v>#VALUE!</v>
      </c>
      <c r="AE191" s="892" t="e">
        <f t="shared" si="244"/>
        <v>#VALUE!</v>
      </c>
      <c r="AF191" s="893" t="e">
        <f t="shared" si="245"/>
        <v>#VALUE!</v>
      </c>
      <c r="AG191" s="865">
        <f>IF(H191&gt;8,tab!C$132,tab!C$134)</f>
        <v>0.5</v>
      </c>
      <c r="AH191" s="866">
        <f t="shared" si="246"/>
        <v>0</v>
      </c>
      <c r="AI191" s="864">
        <f t="shared" si="247"/>
        <v>0</v>
      </c>
      <c r="AJ191" s="894"/>
      <c r="AK191" s="837"/>
      <c r="AL191" s="837"/>
      <c r="AM191" s="837"/>
      <c r="AN191" s="895"/>
      <c r="AO191" s="837"/>
      <c r="AP191" s="837"/>
      <c r="AQ191" s="874"/>
      <c r="AR191" s="837"/>
      <c r="AS191" s="837"/>
      <c r="AT191" s="837"/>
      <c r="AU191" s="836"/>
      <c r="AV191" s="836"/>
      <c r="AW191" s="869"/>
      <c r="AX191" s="836"/>
      <c r="AY191" s="837"/>
      <c r="AZ191" s="713"/>
    </row>
    <row r="192" spans="3:52" s="526" customFormat="1" ht="12.75" customHeight="1" x14ac:dyDescent="0.2">
      <c r="C192" s="1037"/>
      <c r="D192" s="1219" t="str">
        <f t="shared" si="226"/>
        <v/>
      </c>
      <c r="E192" s="1219" t="str">
        <f t="shared" si="226"/>
        <v/>
      </c>
      <c r="F192" s="1219" t="str">
        <f t="shared" si="226"/>
        <v/>
      </c>
      <c r="G192" s="1221" t="str">
        <f t="shared" si="227"/>
        <v/>
      </c>
      <c r="H192" s="1222" t="str">
        <f t="shared" si="228"/>
        <v/>
      </c>
      <c r="I192" s="1221" t="str">
        <f t="shared" ref="I192" si="274">IF(I160=0,"",I160)</f>
        <v/>
      </c>
      <c r="J192" s="1221" t="str">
        <f t="shared" si="230"/>
        <v/>
      </c>
      <c r="K192" s="1223" t="str">
        <f t="shared" si="231"/>
        <v/>
      </c>
      <c r="L192" s="1216"/>
      <c r="M192" s="1224" t="str">
        <f t="shared" ref="M192:N192" si="275">IF(M160="","",M160)</f>
        <v/>
      </c>
      <c r="N192" s="1225" t="str">
        <f t="shared" si="275"/>
        <v/>
      </c>
      <c r="O192" s="1226" t="str">
        <f t="shared" si="235"/>
        <v/>
      </c>
      <c r="P192" s="1226" t="str">
        <f t="shared" si="236"/>
        <v/>
      </c>
      <c r="Q192" s="1227" t="str">
        <f t="shared" si="237"/>
        <v/>
      </c>
      <c r="R192" s="1216"/>
      <c r="S192" s="1228" t="str">
        <f t="shared" si="238"/>
        <v/>
      </c>
      <c r="T192" s="1228" t="str">
        <f t="shared" si="239"/>
        <v/>
      </c>
      <c r="U192" s="1229" t="str">
        <f t="shared" si="232"/>
        <v/>
      </c>
      <c r="V192" s="1212"/>
      <c r="W192" s="723"/>
      <c r="X192" s="604"/>
      <c r="Y192" s="604"/>
      <c r="Z192" s="890" t="str">
        <f t="shared" si="233"/>
        <v/>
      </c>
      <c r="AA192" s="865">
        <f t="shared" si="240"/>
        <v>0.62</v>
      </c>
      <c r="AB192" s="891" t="e">
        <f t="shared" si="241"/>
        <v>#VALUE!</v>
      </c>
      <c r="AC192" s="891" t="e">
        <f t="shared" si="242"/>
        <v>#VALUE!</v>
      </c>
      <c r="AD192" s="891" t="e">
        <f t="shared" si="243"/>
        <v>#VALUE!</v>
      </c>
      <c r="AE192" s="892" t="e">
        <f t="shared" si="244"/>
        <v>#VALUE!</v>
      </c>
      <c r="AF192" s="893" t="e">
        <f t="shared" si="245"/>
        <v>#VALUE!</v>
      </c>
      <c r="AG192" s="865">
        <f>IF(H192&gt;8,tab!C$132,tab!C$134)</f>
        <v>0.5</v>
      </c>
      <c r="AH192" s="866">
        <f t="shared" si="246"/>
        <v>0</v>
      </c>
      <c r="AI192" s="864">
        <f t="shared" si="247"/>
        <v>0</v>
      </c>
      <c r="AJ192" s="894"/>
      <c r="AK192" s="837"/>
      <c r="AL192" s="837"/>
      <c r="AM192" s="837"/>
      <c r="AN192" s="895"/>
      <c r="AO192" s="837"/>
      <c r="AP192" s="837"/>
      <c r="AQ192" s="874"/>
      <c r="AR192" s="837"/>
      <c r="AS192" s="837"/>
      <c r="AT192" s="837"/>
      <c r="AU192" s="836"/>
      <c r="AV192" s="836"/>
      <c r="AW192" s="869"/>
      <c r="AX192" s="836"/>
      <c r="AY192" s="837"/>
      <c r="AZ192" s="713"/>
    </row>
    <row r="193" spans="3:59" s="526" customFormat="1" ht="12.75" customHeight="1" x14ac:dyDescent="0.2">
      <c r="C193" s="1037"/>
      <c r="D193" s="1219" t="str">
        <f t="shared" si="226"/>
        <v/>
      </c>
      <c r="E193" s="1219" t="str">
        <f t="shared" si="226"/>
        <v/>
      </c>
      <c r="F193" s="1219" t="str">
        <f t="shared" si="226"/>
        <v/>
      </c>
      <c r="G193" s="1221" t="str">
        <f t="shared" si="227"/>
        <v/>
      </c>
      <c r="H193" s="1222" t="str">
        <f t="shared" ref="H193:I196" si="276">IF(H161=0,"",H161)</f>
        <v/>
      </c>
      <c r="I193" s="1221" t="str">
        <f t="shared" si="276"/>
        <v/>
      </c>
      <c r="J193" s="1221" t="str">
        <f t="shared" si="230"/>
        <v/>
      </c>
      <c r="K193" s="1223" t="str">
        <f t="shared" si="231"/>
        <v/>
      </c>
      <c r="L193" s="1216"/>
      <c r="M193" s="1224" t="str">
        <f t="shared" ref="M193:N193" si="277">IF(M161="","",M161)</f>
        <v/>
      </c>
      <c r="N193" s="1225" t="str">
        <f t="shared" si="277"/>
        <v/>
      </c>
      <c r="O193" s="1226" t="str">
        <f t="shared" si="235"/>
        <v/>
      </c>
      <c r="P193" s="1226" t="str">
        <f t="shared" si="236"/>
        <v/>
      </c>
      <c r="Q193" s="1227" t="str">
        <f t="shared" si="237"/>
        <v/>
      </c>
      <c r="R193" s="1216"/>
      <c r="S193" s="1228" t="str">
        <f t="shared" si="238"/>
        <v/>
      </c>
      <c r="T193" s="1228" t="str">
        <f t="shared" si="239"/>
        <v/>
      </c>
      <c r="U193" s="1229" t="str">
        <f t="shared" si="232"/>
        <v/>
      </c>
      <c r="V193" s="1212"/>
      <c r="W193" s="723"/>
      <c r="X193" s="604"/>
      <c r="Y193" s="604"/>
      <c r="Z193" s="890" t="str">
        <f t="shared" si="233"/>
        <v/>
      </c>
      <c r="AA193" s="865">
        <f t="shared" si="240"/>
        <v>0.62</v>
      </c>
      <c r="AB193" s="891" t="e">
        <f t="shared" si="241"/>
        <v>#VALUE!</v>
      </c>
      <c r="AC193" s="891" t="e">
        <f t="shared" si="242"/>
        <v>#VALUE!</v>
      </c>
      <c r="AD193" s="891" t="e">
        <f t="shared" si="243"/>
        <v>#VALUE!</v>
      </c>
      <c r="AE193" s="892" t="e">
        <f t="shared" si="244"/>
        <v>#VALUE!</v>
      </c>
      <c r="AF193" s="893" t="e">
        <f t="shared" si="245"/>
        <v>#VALUE!</v>
      </c>
      <c r="AG193" s="865">
        <f>IF(H193&gt;8,tab!C$132,tab!C$134)</f>
        <v>0.5</v>
      </c>
      <c r="AH193" s="866">
        <f t="shared" si="246"/>
        <v>0</v>
      </c>
      <c r="AI193" s="864">
        <f t="shared" si="247"/>
        <v>0</v>
      </c>
      <c r="AJ193" s="894"/>
      <c r="AK193" s="837"/>
      <c r="AL193" s="837"/>
      <c r="AM193" s="837"/>
      <c r="AN193" s="895"/>
      <c r="AO193" s="837"/>
      <c r="AP193" s="837"/>
      <c r="AQ193" s="874"/>
      <c r="AR193" s="837"/>
      <c r="AS193" s="837"/>
      <c r="AT193" s="837"/>
      <c r="AU193" s="836"/>
      <c r="AV193" s="836"/>
      <c r="AW193" s="869"/>
      <c r="AX193" s="836"/>
      <c r="AY193" s="837"/>
      <c r="AZ193" s="713"/>
    </row>
    <row r="194" spans="3:59" s="526" customFormat="1" ht="12.75" customHeight="1" x14ac:dyDescent="0.2">
      <c r="C194" s="1037"/>
      <c r="D194" s="1219" t="str">
        <f t="shared" si="226"/>
        <v/>
      </c>
      <c r="E194" s="1219" t="str">
        <f t="shared" si="226"/>
        <v/>
      </c>
      <c r="F194" s="1219" t="str">
        <f t="shared" si="226"/>
        <v/>
      </c>
      <c r="G194" s="1221" t="str">
        <f t="shared" si="227"/>
        <v/>
      </c>
      <c r="H194" s="1222" t="str">
        <f t="shared" si="276"/>
        <v/>
      </c>
      <c r="I194" s="1221" t="str">
        <f t="shared" si="276"/>
        <v/>
      </c>
      <c r="J194" s="1221" t="str">
        <f t="shared" si="230"/>
        <v/>
      </c>
      <c r="K194" s="1223" t="str">
        <f t="shared" si="231"/>
        <v/>
      </c>
      <c r="L194" s="1216"/>
      <c r="M194" s="1224" t="str">
        <f t="shared" ref="M194:N194" si="278">IF(M162="","",M162)</f>
        <v/>
      </c>
      <c r="N194" s="1225" t="str">
        <f t="shared" si="278"/>
        <v/>
      </c>
      <c r="O194" s="1226" t="str">
        <f t="shared" si="235"/>
        <v/>
      </c>
      <c r="P194" s="1226" t="str">
        <f t="shared" si="236"/>
        <v/>
      </c>
      <c r="Q194" s="1227" t="str">
        <f t="shared" si="237"/>
        <v/>
      </c>
      <c r="R194" s="1216"/>
      <c r="S194" s="1228" t="str">
        <f t="shared" si="238"/>
        <v/>
      </c>
      <c r="T194" s="1228" t="str">
        <f t="shared" si="239"/>
        <v/>
      </c>
      <c r="U194" s="1229" t="str">
        <f t="shared" si="232"/>
        <v/>
      </c>
      <c r="V194" s="1212"/>
      <c r="W194" s="723"/>
      <c r="X194" s="604"/>
      <c r="Y194" s="604"/>
      <c r="Z194" s="890" t="str">
        <f t="shared" si="233"/>
        <v/>
      </c>
      <c r="AA194" s="865">
        <f t="shared" si="240"/>
        <v>0.62</v>
      </c>
      <c r="AB194" s="891" t="e">
        <f t="shared" si="241"/>
        <v>#VALUE!</v>
      </c>
      <c r="AC194" s="891" t="e">
        <f t="shared" si="242"/>
        <v>#VALUE!</v>
      </c>
      <c r="AD194" s="891" t="e">
        <f t="shared" si="243"/>
        <v>#VALUE!</v>
      </c>
      <c r="AE194" s="892" t="e">
        <f t="shared" si="244"/>
        <v>#VALUE!</v>
      </c>
      <c r="AF194" s="893" t="e">
        <f t="shared" si="245"/>
        <v>#VALUE!</v>
      </c>
      <c r="AG194" s="865">
        <f>IF(H194&gt;8,tab!C$132,tab!C$134)</f>
        <v>0.5</v>
      </c>
      <c r="AH194" s="866">
        <f t="shared" si="246"/>
        <v>0</v>
      </c>
      <c r="AI194" s="864">
        <f t="shared" si="247"/>
        <v>0</v>
      </c>
      <c r="AJ194" s="894"/>
      <c r="AK194" s="837"/>
      <c r="AL194" s="837"/>
      <c r="AM194" s="837"/>
      <c r="AN194" s="895"/>
      <c r="AO194" s="837"/>
      <c r="AP194" s="837"/>
      <c r="AQ194" s="874"/>
      <c r="AR194" s="837"/>
      <c r="AS194" s="837"/>
      <c r="AT194" s="837"/>
      <c r="AU194" s="836"/>
      <c r="AV194" s="836"/>
      <c r="AW194" s="869"/>
      <c r="AX194" s="836"/>
      <c r="AY194" s="837"/>
      <c r="AZ194" s="713"/>
    </row>
    <row r="195" spans="3:59" s="526" customFormat="1" ht="12.75" customHeight="1" x14ac:dyDescent="0.2">
      <c r="C195" s="1037"/>
      <c r="D195" s="1219" t="str">
        <f t="shared" si="226"/>
        <v/>
      </c>
      <c r="E195" s="1219" t="str">
        <f t="shared" si="226"/>
        <v/>
      </c>
      <c r="F195" s="1219" t="str">
        <f t="shared" si="226"/>
        <v/>
      </c>
      <c r="G195" s="1221" t="str">
        <f t="shared" si="227"/>
        <v/>
      </c>
      <c r="H195" s="1222" t="str">
        <f t="shared" si="276"/>
        <v/>
      </c>
      <c r="I195" s="1221" t="str">
        <f t="shared" si="276"/>
        <v/>
      </c>
      <c r="J195" s="1221" t="str">
        <f t="shared" si="230"/>
        <v/>
      </c>
      <c r="K195" s="1223" t="str">
        <f t="shared" si="231"/>
        <v/>
      </c>
      <c r="L195" s="1216"/>
      <c r="M195" s="1224" t="str">
        <f t="shared" ref="M195:N195" si="279">IF(M163="","",M163)</f>
        <v/>
      </c>
      <c r="N195" s="1225" t="str">
        <f t="shared" si="279"/>
        <v/>
      </c>
      <c r="O195" s="1226" t="str">
        <f t="shared" si="235"/>
        <v/>
      </c>
      <c r="P195" s="1226" t="str">
        <f t="shared" si="236"/>
        <v/>
      </c>
      <c r="Q195" s="1227" t="str">
        <f t="shared" si="237"/>
        <v/>
      </c>
      <c r="R195" s="1216"/>
      <c r="S195" s="1228" t="str">
        <f t="shared" si="238"/>
        <v/>
      </c>
      <c r="T195" s="1228" t="str">
        <f t="shared" si="239"/>
        <v/>
      </c>
      <c r="U195" s="1229" t="str">
        <f t="shared" si="232"/>
        <v/>
      </c>
      <c r="V195" s="1212"/>
      <c r="W195" s="723"/>
      <c r="X195" s="604"/>
      <c r="Y195" s="604"/>
      <c r="Z195" s="890" t="str">
        <f t="shared" si="233"/>
        <v/>
      </c>
      <c r="AA195" s="865">
        <f t="shared" si="240"/>
        <v>0.62</v>
      </c>
      <c r="AB195" s="891" t="e">
        <f t="shared" si="241"/>
        <v>#VALUE!</v>
      </c>
      <c r="AC195" s="891" t="e">
        <f t="shared" si="242"/>
        <v>#VALUE!</v>
      </c>
      <c r="AD195" s="891" t="e">
        <f t="shared" si="243"/>
        <v>#VALUE!</v>
      </c>
      <c r="AE195" s="892" t="e">
        <f t="shared" si="244"/>
        <v>#VALUE!</v>
      </c>
      <c r="AF195" s="893" t="e">
        <f t="shared" si="245"/>
        <v>#VALUE!</v>
      </c>
      <c r="AG195" s="865">
        <f>IF(H195&gt;8,tab!C$132,tab!C$134)</f>
        <v>0.5</v>
      </c>
      <c r="AH195" s="866">
        <f t="shared" si="246"/>
        <v>0</v>
      </c>
      <c r="AI195" s="864">
        <f t="shared" si="247"/>
        <v>0</v>
      </c>
      <c r="AJ195" s="894"/>
      <c r="AK195" s="837"/>
      <c r="AL195" s="837"/>
      <c r="AM195" s="837"/>
      <c r="AN195" s="895"/>
      <c r="AO195" s="837"/>
      <c r="AP195" s="837"/>
      <c r="AQ195" s="874"/>
      <c r="AR195" s="837"/>
      <c r="AS195" s="837"/>
      <c r="AT195" s="837"/>
      <c r="AU195" s="836"/>
      <c r="AV195" s="836"/>
      <c r="AW195" s="869"/>
      <c r="AX195" s="836"/>
      <c r="AY195" s="837"/>
      <c r="AZ195" s="713"/>
    </row>
    <row r="196" spans="3:59" s="526" customFormat="1" ht="12.75" customHeight="1" x14ac:dyDescent="0.2">
      <c r="C196" s="1037"/>
      <c r="D196" s="1219" t="str">
        <f t="shared" si="226"/>
        <v/>
      </c>
      <c r="E196" s="1219" t="str">
        <f t="shared" si="226"/>
        <v/>
      </c>
      <c r="F196" s="1219" t="str">
        <f t="shared" si="226"/>
        <v/>
      </c>
      <c r="G196" s="1221" t="str">
        <f t="shared" si="227"/>
        <v/>
      </c>
      <c r="H196" s="1222" t="str">
        <f t="shared" si="276"/>
        <v/>
      </c>
      <c r="I196" s="1221" t="str">
        <f t="shared" si="276"/>
        <v/>
      </c>
      <c r="J196" s="1221" t="str">
        <f t="shared" si="230"/>
        <v/>
      </c>
      <c r="K196" s="1223" t="str">
        <f t="shared" si="231"/>
        <v/>
      </c>
      <c r="L196" s="1216"/>
      <c r="M196" s="1224" t="str">
        <f t="shared" ref="M196:N196" si="280">IF(M164="","",M164)</f>
        <v/>
      </c>
      <c r="N196" s="1225" t="str">
        <f t="shared" si="280"/>
        <v/>
      </c>
      <c r="O196" s="1226" t="str">
        <f t="shared" si="235"/>
        <v/>
      </c>
      <c r="P196" s="1226" t="str">
        <f t="shared" si="236"/>
        <v/>
      </c>
      <c r="Q196" s="1227" t="str">
        <f t="shared" si="237"/>
        <v/>
      </c>
      <c r="R196" s="1216"/>
      <c r="S196" s="1228" t="str">
        <f t="shared" si="238"/>
        <v/>
      </c>
      <c r="T196" s="1228" t="str">
        <f t="shared" si="239"/>
        <v/>
      </c>
      <c r="U196" s="1229" t="str">
        <f t="shared" si="232"/>
        <v/>
      </c>
      <c r="V196" s="1212"/>
      <c r="W196" s="723"/>
      <c r="X196" s="604"/>
      <c r="Y196" s="604"/>
      <c r="Z196" s="890" t="str">
        <f t="shared" si="233"/>
        <v/>
      </c>
      <c r="AA196" s="865">
        <f t="shared" si="240"/>
        <v>0.62</v>
      </c>
      <c r="AB196" s="891" t="e">
        <f t="shared" si="241"/>
        <v>#VALUE!</v>
      </c>
      <c r="AC196" s="891" t="e">
        <f t="shared" si="242"/>
        <v>#VALUE!</v>
      </c>
      <c r="AD196" s="891" t="e">
        <f t="shared" si="243"/>
        <v>#VALUE!</v>
      </c>
      <c r="AE196" s="892" t="e">
        <f t="shared" si="244"/>
        <v>#VALUE!</v>
      </c>
      <c r="AF196" s="893" t="e">
        <f t="shared" si="245"/>
        <v>#VALUE!</v>
      </c>
      <c r="AG196" s="865">
        <f>IF(H196&gt;8,tab!C$132,tab!C$134)</f>
        <v>0.5</v>
      </c>
      <c r="AH196" s="866">
        <f t="shared" si="246"/>
        <v>0</v>
      </c>
      <c r="AI196" s="864">
        <f t="shared" si="247"/>
        <v>0</v>
      </c>
      <c r="AJ196" s="894"/>
      <c r="AK196" s="837"/>
      <c r="AL196" s="837"/>
      <c r="AM196" s="837"/>
      <c r="AN196" s="895"/>
      <c r="AO196" s="837"/>
      <c r="AP196" s="837"/>
      <c r="AQ196" s="874"/>
      <c r="AR196" s="837"/>
      <c r="AS196" s="837"/>
      <c r="AT196" s="837"/>
      <c r="AU196" s="836"/>
      <c r="AV196" s="836"/>
      <c r="AW196" s="869"/>
      <c r="AX196" s="836"/>
      <c r="AY196" s="837"/>
      <c r="AZ196" s="713"/>
    </row>
    <row r="197" spans="3:59" s="526" customFormat="1" x14ac:dyDescent="0.2">
      <c r="C197" s="1037"/>
      <c r="D197" s="1474"/>
      <c r="E197" s="1474"/>
      <c r="F197" s="1474"/>
      <c r="G197" s="1475"/>
      <c r="H197" s="1476"/>
      <c r="I197" s="1475"/>
      <c r="J197" s="1477"/>
      <c r="K197" s="1478">
        <f>SUM(K177:K196)</f>
        <v>1</v>
      </c>
      <c r="L197" s="1218"/>
      <c r="M197" s="1479">
        <f>SUM(M177:M196)</f>
        <v>0</v>
      </c>
      <c r="N197" s="1479">
        <f>SUM(N177:N196)</f>
        <v>0</v>
      </c>
      <c r="O197" s="1232">
        <f t="shared" ref="O197" si="281">SUM(O177:O196)</f>
        <v>40</v>
      </c>
      <c r="P197" s="1232">
        <f t="shared" ref="P197" si="282">SUM(P177:P196)</f>
        <v>0</v>
      </c>
      <c r="Q197" s="1232">
        <f t="shared" ref="Q197" si="283">SUM(Q177:Q196)</f>
        <v>40</v>
      </c>
      <c r="R197" s="1218"/>
      <c r="S197" s="1233">
        <f>SUM(S177:S196)</f>
        <v>84687.811356238701</v>
      </c>
      <c r="T197" s="1233">
        <f t="shared" ref="T197:U197" si="284">SUM(T177:T196)</f>
        <v>2092.3486437613019</v>
      </c>
      <c r="U197" s="1233">
        <f t="shared" si="284"/>
        <v>86780.160000000003</v>
      </c>
      <c r="V197" s="1213"/>
      <c r="W197" s="728"/>
      <c r="X197" s="604"/>
      <c r="Y197" s="604"/>
      <c r="Z197" s="873"/>
      <c r="AA197" s="873"/>
      <c r="AB197" s="873"/>
      <c r="AC197" s="873"/>
      <c r="AD197" s="873"/>
      <c r="AE197" s="873"/>
      <c r="AF197" s="873"/>
      <c r="AG197" s="873"/>
      <c r="AH197" s="867">
        <f t="shared" ref="AH197:AI197" si="285">SUM(AH177:AH196)</f>
        <v>0</v>
      </c>
      <c r="AI197" s="870">
        <f t="shared" si="285"/>
        <v>0</v>
      </c>
      <c r="AJ197" s="846"/>
      <c r="AK197" s="837"/>
      <c r="AL197" s="837"/>
      <c r="AM197" s="837"/>
      <c r="AN197" s="837"/>
      <c r="AO197" s="837"/>
      <c r="AP197" s="837"/>
      <c r="AQ197" s="874"/>
      <c r="AR197" s="837"/>
      <c r="AS197" s="837"/>
      <c r="AT197" s="837"/>
      <c r="AU197" s="836"/>
      <c r="AV197" s="836"/>
      <c r="AW197" s="836"/>
      <c r="AX197" s="836"/>
      <c r="AY197" s="837"/>
      <c r="AZ197" s="713"/>
    </row>
    <row r="198" spans="3:59" s="526" customFormat="1" x14ac:dyDescent="0.2">
      <c r="C198" s="1037"/>
      <c r="D198" s="1040"/>
      <c r="E198" s="1040"/>
      <c r="F198" s="1040"/>
      <c r="G198" s="1039"/>
      <c r="H198" s="1189"/>
      <c r="I198" s="1039"/>
      <c r="J198" s="1190"/>
      <c r="K198" s="1191"/>
      <c r="L198" s="1191"/>
      <c r="M198" s="1190"/>
      <c r="N198" s="1191"/>
      <c r="O198" s="1190"/>
      <c r="P198" s="1214"/>
      <c r="Q198" s="1214"/>
      <c r="R198" s="1191"/>
      <c r="S198" s="1215"/>
      <c r="T198" s="1215"/>
      <c r="U198" s="1192"/>
      <c r="V198" s="1192"/>
      <c r="W198" s="712"/>
      <c r="X198" s="604"/>
      <c r="Y198" s="604"/>
      <c r="Z198" s="873"/>
      <c r="AA198" s="873"/>
      <c r="AB198" s="873"/>
      <c r="AC198" s="873"/>
      <c r="AD198" s="873"/>
      <c r="AE198" s="873"/>
      <c r="AF198" s="873"/>
      <c r="AG198" s="873"/>
      <c r="AH198" s="867"/>
      <c r="AI198" s="870"/>
      <c r="AJ198" s="846"/>
      <c r="AK198" s="837"/>
      <c r="AL198" s="837"/>
      <c r="AM198" s="837"/>
      <c r="AN198" s="837"/>
      <c r="AO198" s="837"/>
      <c r="AP198" s="837"/>
      <c r="AQ198" s="874"/>
      <c r="AR198" s="837"/>
      <c r="AS198" s="837"/>
      <c r="AT198" s="837"/>
      <c r="AU198" s="836"/>
      <c r="AV198" s="836"/>
      <c r="AW198" s="836"/>
      <c r="AX198" s="836"/>
      <c r="AY198" s="837"/>
      <c r="AZ198" s="713"/>
    </row>
    <row r="199" spans="3:59" s="526" customFormat="1" x14ac:dyDescent="0.2">
      <c r="D199" s="708"/>
      <c r="E199" s="708"/>
      <c r="F199" s="708"/>
      <c r="G199" s="527"/>
      <c r="H199" s="709"/>
      <c r="I199" s="710"/>
      <c r="J199" s="710"/>
      <c r="K199" s="711"/>
      <c r="L199" s="711"/>
      <c r="M199" s="710"/>
      <c r="N199" s="711"/>
      <c r="O199" s="710"/>
      <c r="P199" s="527"/>
      <c r="Q199" s="527"/>
      <c r="R199" s="711"/>
      <c r="U199" s="712"/>
      <c r="V199" s="712"/>
      <c r="W199" s="712"/>
      <c r="X199" s="604"/>
      <c r="Y199" s="604"/>
      <c r="Z199" s="873"/>
      <c r="AA199" s="873"/>
      <c r="AB199" s="873"/>
      <c r="AC199" s="873"/>
      <c r="AD199" s="873"/>
      <c r="AE199" s="873"/>
      <c r="AF199" s="873"/>
      <c r="AG199" s="873"/>
      <c r="AH199" s="866"/>
      <c r="AI199" s="864"/>
      <c r="AJ199" s="837"/>
      <c r="AK199" s="837"/>
      <c r="AL199" s="837"/>
      <c r="AM199" s="837"/>
      <c r="AN199" s="837"/>
      <c r="AO199" s="837"/>
      <c r="AP199" s="837"/>
      <c r="AQ199" s="874"/>
      <c r="AR199" s="837"/>
      <c r="AS199" s="837"/>
      <c r="AT199" s="837"/>
      <c r="AU199" s="836"/>
      <c r="AV199" s="836"/>
      <c r="AW199" s="836"/>
      <c r="AX199" s="836"/>
      <c r="AY199" s="837"/>
      <c r="AZ199" s="713"/>
    </row>
    <row r="200" spans="3:59" s="707" customFormat="1" x14ac:dyDescent="0.2">
      <c r="D200" s="729"/>
      <c r="E200" s="729"/>
      <c r="F200" s="729"/>
      <c r="G200" s="720"/>
      <c r="H200" s="730"/>
      <c r="I200" s="731"/>
      <c r="J200" s="731"/>
      <c r="K200" s="733"/>
      <c r="L200" s="733"/>
      <c r="M200" s="731"/>
      <c r="N200" s="733"/>
      <c r="O200" s="731"/>
      <c r="P200" s="720"/>
      <c r="Q200" s="720"/>
      <c r="R200" s="733"/>
      <c r="U200" s="712"/>
      <c r="V200" s="712"/>
      <c r="W200" s="712"/>
      <c r="X200" s="604"/>
      <c r="Y200" s="604"/>
      <c r="Z200" s="873"/>
      <c r="AA200" s="873"/>
      <c r="AB200" s="873"/>
      <c r="AC200" s="873"/>
      <c r="AD200" s="873"/>
      <c r="AE200" s="873"/>
      <c r="AF200" s="873"/>
      <c r="AG200" s="873"/>
      <c r="AH200" s="867"/>
      <c r="AI200" s="870"/>
      <c r="AJ200" s="872"/>
      <c r="AK200" s="872"/>
      <c r="AL200" s="872"/>
      <c r="AM200" s="872"/>
      <c r="AN200" s="872"/>
      <c r="AO200" s="872"/>
      <c r="AP200" s="872"/>
      <c r="AQ200" s="896"/>
      <c r="AR200" s="872"/>
      <c r="AS200" s="872"/>
      <c r="AT200" s="872"/>
      <c r="AU200" s="871"/>
      <c r="AV200" s="871"/>
      <c r="AW200" s="871"/>
      <c r="AX200" s="871"/>
      <c r="AY200" s="872"/>
      <c r="AZ200" s="721"/>
      <c r="BG200" s="526"/>
    </row>
    <row r="201" spans="3:59" s="526" customFormat="1" x14ac:dyDescent="0.2">
      <c r="C201" s="526" t="s">
        <v>255</v>
      </c>
      <c r="D201" s="708"/>
      <c r="E201" s="724" t="str">
        <f>tab!I2</f>
        <v>2021/22</v>
      </c>
      <c r="F201" s="708"/>
      <c r="G201" s="527"/>
      <c r="H201" s="709"/>
      <c r="I201" s="710"/>
      <c r="J201" s="710"/>
      <c r="K201" s="711"/>
      <c r="L201" s="711"/>
      <c r="M201" s="710"/>
      <c r="N201" s="711"/>
      <c r="O201" s="710"/>
      <c r="P201" s="527"/>
      <c r="Q201" s="527"/>
      <c r="R201" s="711"/>
      <c r="U201" s="712"/>
      <c r="V201" s="712"/>
      <c r="W201" s="712"/>
      <c r="X201" s="604"/>
      <c r="Y201" s="604"/>
      <c r="Z201" s="873"/>
      <c r="AA201" s="873"/>
      <c r="AB201" s="873"/>
      <c r="AC201" s="873"/>
      <c r="AD201" s="873"/>
      <c r="AE201" s="873"/>
      <c r="AF201" s="873"/>
      <c r="AG201" s="873"/>
      <c r="AH201" s="866"/>
      <c r="AI201" s="864"/>
      <c r="AJ201" s="837"/>
      <c r="AK201" s="837"/>
      <c r="AL201" s="837"/>
      <c r="AM201" s="837"/>
      <c r="AN201" s="837"/>
      <c r="AO201" s="837"/>
      <c r="AP201" s="837"/>
      <c r="AQ201" s="874"/>
      <c r="AR201" s="837"/>
      <c r="AS201" s="837"/>
      <c r="AT201" s="837"/>
      <c r="AU201" s="836"/>
      <c r="AV201" s="836"/>
      <c r="AW201" s="836"/>
      <c r="AX201" s="836"/>
      <c r="AY201" s="837"/>
      <c r="AZ201" s="713"/>
    </row>
    <row r="202" spans="3:59" s="526" customFormat="1" x14ac:dyDescent="0.2">
      <c r="C202" s="526" t="s">
        <v>256</v>
      </c>
      <c r="D202" s="708"/>
      <c r="E202" s="724">
        <f>tab!J3</f>
        <v>44470</v>
      </c>
      <c r="F202" s="708"/>
      <c r="G202" s="527"/>
      <c r="H202" s="709"/>
      <c r="I202" s="710"/>
      <c r="J202" s="710"/>
      <c r="K202" s="711"/>
      <c r="L202" s="711"/>
      <c r="M202" s="710"/>
      <c r="N202" s="711"/>
      <c r="O202" s="710"/>
      <c r="P202" s="527"/>
      <c r="Q202" s="527"/>
      <c r="R202" s="711"/>
      <c r="U202" s="712"/>
      <c r="V202" s="712"/>
      <c r="W202" s="712"/>
      <c r="X202" s="604"/>
      <c r="Y202" s="604"/>
      <c r="Z202" s="873"/>
      <c r="AA202" s="873"/>
      <c r="AB202" s="873"/>
      <c r="AC202" s="873"/>
      <c r="AD202" s="873"/>
      <c r="AE202" s="873"/>
      <c r="AF202" s="873"/>
      <c r="AG202" s="873"/>
      <c r="AH202" s="866"/>
      <c r="AI202" s="864"/>
      <c r="AJ202" s="837"/>
      <c r="AK202" s="837"/>
      <c r="AL202" s="837"/>
      <c r="AM202" s="837"/>
      <c r="AN202" s="837"/>
      <c r="AO202" s="837"/>
      <c r="AP202" s="837"/>
      <c r="AQ202" s="874"/>
      <c r="AR202" s="837"/>
      <c r="AS202" s="837"/>
      <c r="AT202" s="837"/>
      <c r="AU202" s="836"/>
      <c r="AV202" s="836"/>
      <c r="AW202" s="836"/>
      <c r="AX202" s="836"/>
      <c r="AY202" s="837"/>
      <c r="AZ202" s="713"/>
    </row>
    <row r="203" spans="3:59" s="707" customFormat="1" x14ac:dyDescent="0.2">
      <c r="D203" s="729"/>
      <c r="E203" s="729"/>
      <c r="F203" s="729"/>
      <c r="G203" s="720"/>
      <c r="H203" s="730"/>
      <c r="I203" s="731"/>
      <c r="J203" s="731"/>
      <c r="K203" s="733"/>
      <c r="L203" s="733"/>
      <c r="M203" s="731"/>
      <c r="N203" s="733"/>
      <c r="O203" s="731"/>
      <c r="P203" s="720"/>
      <c r="Q203" s="720"/>
      <c r="R203" s="733"/>
      <c r="U203" s="712"/>
      <c r="V203" s="712"/>
      <c r="W203" s="712"/>
      <c r="X203" s="604"/>
      <c r="Y203" s="604"/>
      <c r="Z203" s="873"/>
      <c r="AA203" s="873"/>
      <c r="AB203" s="873"/>
      <c r="AC203" s="873"/>
      <c r="AD203" s="873"/>
      <c r="AE203" s="873"/>
      <c r="AF203" s="873"/>
      <c r="AG203" s="873"/>
      <c r="AH203" s="867"/>
      <c r="AI203" s="870"/>
      <c r="AJ203" s="872"/>
      <c r="AK203" s="872"/>
      <c r="AL203" s="872"/>
      <c r="AM203" s="872"/>
      <c r="AN203" s="872"/>
      <c r="AO203" s="872"/>
      <c r="AP203" s="872"/>
      <c r="AQ203" s="896"/>
      <c r="AR203" s="872"/>
      <c r="AS203" s="872"/>
      <c r="AT203" s="872"/>
      <c r="AU203" s="871"/>
      <c r="AV203" s="871"/>
      <c r="AW203" s="871"/>
      <c r="AX203" s="871"/>
      <c r="AY203" s="872"/>
      <c r="AZ203" s="721"/>
      <c r="BG203" s="526"/>
    </row>
    <row r="204" spans="3:59" s="526" customFormat="1" ht="12.75" customHeight="1" x14ac:dyDescent="0.2">
      <c r="C204" s="1037"/>
      <c r="D204" s="1040"/>
      <c r="E204" s="1092"/>
      <c r="F204" s="1040"/>
      <c r="G204" s="1039"/>
      <c r="H204" s="1189"/>
      <c r="I204" s="1190"/>
      <c r="J204" s="1190"/>
      <c r="K204" s="1191"/>
      <c r="L204" s="1191"/>
      <c r="M204" s="1190"/>
      <c r="N204" s="1191"/>
      <c r="O204" s="1190"/>
      <c r="P204" s="1039"/>
      <c r="Q204" s="1039"/>
      <c r="R204" s="1191"/>
      <c r="S204" s="1037"/>
      <c r="T204" s="1037"/>
      <c r="U204" s="1192"/>
      <c r="V204" s="1192"/>
      <c r="W204" s="712"/>
      <c r="X204" s="604"/>
      <c r="Y204" s="604"/>
      <c r="Z204" s="873"/>
      <c r="AA204" s="873"/>
      <c r="AB204" s="873"/>
      <c r="AC204" s="873"/>
      <c r="AD204" s="873"/>
      <c r="AE204" s="873"/>
      <c r="AF204" s="873"/>
      <c r="AG204" s="873"/>
      <c r="AH204" s="866"/>
      <c r="AI204" s="864"/>
      <c r="AJ204" s="837"/>
      <c r="AK204" s="837"/>
      <c r="AL204" s="837"/>
      <c r="AM204" s="837"/>
      <c r="AN204" s="837"/>
      <c r="AO204" s="837"/>
      <c r="AP204" s="851"/>
      <c r="AQ204" s="889"/>
      <c r="AR204" s="851"/>
      <c r="AS204" s="851"/>
      <c r="AT204" s="851"/>
      <c r="AU204" s="844"/>
      <c r="AV204" s="850"/>
      <c r="AW204" s="851"/>
      <c r="AX204" s="852"/>
      <c r="AY204" s="853"/>
      <c r="AZ204" s="715"/>
      <c r="BG204" s="707"/>
    </row>
    <row r="205" spans="3:59" s="690" customFormat="1" ht="12.75" customHeight="1" x14ac:dyDescent="0.2">
      <c r="C205" s="1193"/>
      <c r="D205" s="1194" t="s">
        <v>257</v>
      </c>
      <c r="E205" s="1195"/>
      <c r="F205" s="1195"/>
      <c r="G205" s="1195"/>
      <c r="H205" s="1195"/>
      <c r="I205" s="1195"/>
      <c r="J205" s="1195"/>
      <c r="K205" s="1195"/>
      <c r="L205" s="1195"/>
      <c r="M205" s="1194" t="s">
        <v>865</v>
      </c>
      <c r="N205" s="1196"/>
      <c r="O205" s="1196"/>
      <c r="P205" s="1196"/>
      <c r="Q205" s="1196"/>
      <c r="R205" s="1195"/>
      <c r="S205" s="1539" t="s">
        <v>866</v>
      </c>
      <c r="T205" s="1539"/>
      <c r="U205" s="1540"/>
      <c r="V205" s="1197"/>
      <c r="W205" s="725"/>
      <c r="X205" s="604"/>
      <c r="Y205" s="604"/>
      <c r="Z205" s="873"/>
      <c r="AA205" s="873"/>
      <c r="AB205" s="873"/>
      <c r="AC205" s="873"/>
      <c r="AD205" s="873"/>
      <c r="AE205" s="873"/>
      <c r="AF205" s="873"/>
      <c r="AG205" s="873"/>
      <c r="AH205" s="867"/>
      <c r="AI205" s="857"/>
      <c r="AJ205" s="846"/>
      <c r="AK205" s="860"/>
      <c r="AL205" s="860"/>
      <c r="AM205" s="845"/>
      <c r="AN205" s="868"/>
      <c r="AO205" s="845"/>
      <c r="AP205" s="837"/>
      <c r="AQ205" s="837"/>
      <c r="AR205" s="837"/>
      <c r="AS205" s="837"/>
      <c r="AT205" s="837"/>
      <c r="AU205" s="859"/>
      <c r="AV205" s="859"/>
      <c r="AW205" s="859"/>
      <c r="AX205" s="859"/>
      <c r="AY205" s="859"/>
      <c r="BA205" s="719"/>
      <c r="BB205" s="719"/>
    </row>
    <row r="206" spans="3:59" s="526" customFormat="1" ht="12.75" customHeight="1" x14ac:dyDescent="0.2">
      <c r="C206" s="1198"/>
      <c r="D206" s="1145" t="s">
        <v>258</v>
      </c>
      <c r="E206" s="1145" t="s">
        <v>259</v>
      </c>
      <c r="F206" s="1145" t="s">
        <v>260</v>
      </c>
      <c r="G206" s="1199" t="s">
        <v>261</v>
      </c>
      <c r="H206" s="1200" t="s">
        <v>262</v>
      </c>
      <c r="I206" s="1199" t="s">
        <v>217</v>
      </c>
      <c r="J206" s="1199" t="s">
        <v>263</v>
      </c>
      <c r="K206" s="1201" t="s">
        <v>264</v>
      </c>
      <c r="L206" s="1201"/>
      <c r="M206" s="1078" t="s">
        <v>867</v>
      </c>
      <c r="N206" s="1078" t="s">
        <v>868</v>
      </c>
      <c r="O206" s="1078" t="s">
        <v>869</v>
      </c>
      <c r="P206" s="1078" t="s">
        <v>870</v>
      </c>
      <c r="Q206" s="1202" t="s">
        <v>871</v>
      </c>
      <c r="R206" s="1201"/>
      <c r="S206" s="1203" t="s">
        <v>872</v>
      </c>
      <c r="T206" s="1203" t="s">
        <v>873</v>
      </c>
      <c r="U206" s="1203" t="s">
        <v>265</v>
      </c>
      <c r="V206" s="1204"/>
      <c r="W206" s="726"/>
      <c r="X206" s="604"/>
      <c r="Y206" s="604"/>
      <c r="Z206" s="854" t="s">
        <v>469</v>
      </c>
      <c r="AA206" s="855" t="s">
        <v>880</v>
      </c>
      <c r="AB206" s="856" t="s">
        <v>881</v>
      </c>
      <c r="AC206" s="856" t="s">
        <v>881</v>
      </c>
      <c r="AD206" s="856" t="s">
        <v>882</v>
      </c>
      <c r="AE206" s="856" t="s">
        <v>883</v>
      </c>
      <c r="AF206" s="856" t="s">
        <v>884</v>
      </c>
      <c r="AG206" s="856" t="s">
        <v>885</v>
      </c>
      <c r="AH206" s="856" t="s">
        <v>267</v>
      </c>
      <c r="AI206" s="857" t="s">
        <v>482</v>
      </c>
      <c r="AJ206" s="861"/>
      <c r="AK206" s="862"/>
      <c r="AL206" s="862"/>
      <c r="AM206" s="855"/>
      <c r="AN206" s="854"/>
      <c r="AO206" s="855"/>
      <c r="AP206" s="837"/>
      <c r="AQ206" s="837"/>
      <c r="AR206" s="837"/>
      <c r="AS206" s="837"/>
      <c r="AT206" s="837"/>
      <c r="AU206" s="836"/>
      <c r="AV206" s="836"/>
      <c r="AW206" s="836"/>
      <c r="AX206" s="836"/>
      <c r="AY206" s="836"/>
      <c r="BA206" s="719"/>
      <c r="BB206" s="717"/>
    </row>
    <row r="207" spans="3:59" s="526" customFormat="1" ht="12.75" customHeight="1" x14ac:dyDescent="0.2">
      <c r="C207" s="1198"/>
      <c r="D207" s="1205"/>
      <c r="E207" s="1145"/>
      <c r="F207" s="1206"/>
      <c r="G207" s="1199" t="s">
        <v>269</v>
      </c>
      <c r="H207" s="1200" t="s">
        <v>270</v>
      </c>
      <c r="I207" s="1199"/>
      <c r="J207" s="1199"/>
      <c r="K207" s="1201"/>
      <c r="L207" s="1201"/>
      <c r="M207" s="1078" t="s">
        <v>874</v>
      </c>
      <c r="N207" s="1078" t="s">
        <v>875</v>
      </c>
      <c r="O207" s="1078" t="s">
        <v>876</v>
      </c>
      <c r="P207" s="1078" t="s">
        <v>877</v>
      </c>
      <c r="Q207" s="1202" t="s">
        <v>173</v>
      </c>
      <c r="R207" s="1201"/>
      <c r="S207" s="1203" t="s">
        <v>878</v>
      </c>
      <c r="T207" s="1203" t="s">
        <v>879</v>
      </c>
      <c r="U207" s="1203" t="s">
        <v>173</v>
      </c>
      <c r="V207" s="1204"/>
      <c r="W207" s="726"/>
      <c r="X207" s="604"/>
      <c r="Y207" s="604"/>
      <c r="Z207" s="856" t="s">
        <v>886</v>
      </c>
      <c r="AA207" s="858">
        <f>AA$14</f>
        <v>0.62</v>
      </c>
      <c r="AB207" s="856" t="s">
        <v>887</v>
      </c>
      <c r="AC207" s="856" t="s">
        <v>888</v>
      </c>
      <c r="AD207" s="856" t="s">
        <v>889</v>
      </c>
      <c r="AE207" s="856" t="s">
        <v>890</v>
      </c>
      <c r="AF207" s="856" t="s">
        <v>890</v>
      </c>
      <c r="AG207" s="856" t="s">
        <v>891</v>
      </c>
      <c r="AH207" s="856"/>
      <c r="AI207" s="856" t="s">
        <v>266</v>
      </c>
      <c r="AJ207" s="837"/>
      <c r="AK207" s="837"/>
      <c r="AL207" s="837"/>
      <c r="AM207" s="837"/>
      <c r="AN207" s="837"/>
      <c r="AO207" s="837"/>
      <c r="AP207" s="837"/>
      <c r="AQ207" s="837"/>
      <c r="AR207" s="837"/>
      <c r="AS207" s="837"/>
      <c r="AT207" s="837"/>
      <c r="AU207" s="836"/>
      <c r="AV207" s="836"/>
      <c r="AW207" s="836"/>
      <c r="AX207" s="836"/>
      <c r="AY207" s="836"/>
      <c r="BB207" s="718"/>
    </row>
    <row r="208" spans="3:59" s="526" customFormat="1" ht="12.75" customHeight="1" x14ac:dyDescent="0.2">
      <c r="C208" s="1037"/>
      <c r="D208" s="1097"/>
      <c r="E208" s="1097"/>
      <c r="F208" s="1097"/>
      <c r="G208" s="1044"/>
      <c r="H208" s="1470"/>
      <c r="I208" s="1471"/>
      <c r="J208" s="1471"/>
      <c r="K208" s="1472"/>
      <c r="L208" s="1208"/>
      <c r="M208" s="1473"/>
      <c r="N208" s="1472"/>
      <c r="O208" s="1209"/>
      <c r="P208" s="1210"/>
      <c r="Q208" s="1210"/>
      <c r="R208" s="1208"/>
      <c r="S208" s="1210"/>
      <c r="T208" s="1210"/>
      <c r="U208" s="1211"/>
      <c r="V208" s="1211"/>
      <c r="W208" s="727"/>
      <c r="X208" s="604"/>
      <c r="Y208" s="604"/>
      <c r="Z208" s="873"/>
      <c r="AA208" s="873"/>
      <c r="AB208" s="873"/>
      <c r="AC208" s="873"/>
      <c r="AD208" s="873"/>
      <c r="AE208" s="873"/>
      <c r="AF208" s="873"/>
      <c r="AG208" s="873"/>
      <c r="AH208" s="863"/>
      <c r="AI208" s="864"/>
      <c r="AJ208" s="862"/>
      <c r="AK208" s="837"/>
      <c r="AL208" s="837"/>
      <c r="AM208" s="837"/>
      <c r="AN208" s="837"/>
      <c r="AO208" s="837"/>
      <c r="AP208" s="837"/>
      <c r="AQ208" s="837"/>
      <c r="AR208" s="837"/>
      <c r="AS208" s="837"/>
      <c r="AT208" s="837"/>
      <c r="AU208" s="836"/>
      <c r="AV208" s="836"/>
      <c r="AW208" s="836"/>
      <c r="AX208" s="836"/>
      <c r="AY208" s="836"/>
      <c r="BB208" s="718"/>
    </row>
    <row r="209" spans="3:52" s="526" customFormat="1" ht="12.75" customHeight="1" x14ac:dyDescent="0.2">
      <c r="C209" s="1037"/>
      <c r="D209" s="1219" t="str">
        <f t="shared" ref="D209:F209" si="286">IF(D177=0,"",D177)</f>
        <v/>
      </c>
      <c r="E209" s="1220" t="str">
        <f t="shared" si="286"/>
        <v>piet</v>
      </c>
      <c r="F209" s="1220" t="str">
        <f t="shared" si="286"/>
        <v/>
      </c>
      <c r="G209" s="1221">
        <f t="shared" ref="G209:G228" si="287">IF(G177="","",G177+1)</f>
        <v>28</v>
      </c>
      <c r="H209" s="1222">
        <f t="shared" ref="H209:I224" si="288">IF(H177=0,"",H177)</f>
        <v>29221</v>
      </c>
      <c r="I209" s="1221" t="str">
        <f t="shared" si="288"/>
        <v>LC</v>
      </c>
      <c r="J209" s="1221">
        <f t="shared" ref="J209:J228" si="289">IF(E209="","",(IF((J177+1)&gt;VLOOKUP(I209,tabelsalaris16,23,FALSE),J177,J177+1)))</f>
        <v>15</v>
      </c>
      <c r="K209" s="1223">
        <f t="shared" ref="K209:K228" si="290">IF(K177="","",K177)</f>
        <v>1</v>
      </c>
      <c r="L209" s="1216"/>
      <c r="M209" s="1224">
        <f>IF(M177="","",M177)</f>
        <v>0</v>
      </c>
      <c r="N209" s="1225">
        <f>IF(N177="","",N177)</f>
        <v>0</v>
      </c>
      <c r="O209" s="1226">
        <f>IF(K209="","",IF(K209*40&gt;40,40,K209*40))</f>
        <v>40</v>
      </c>
      <c r="P209" s="1226">
        <f>IF(I209="","",IF(OR(I209="LA",OR(I209="LB",OR(I209="LC",OR(I209="LD",OR(I209="LE"))))),1,0)*IF(J209&lt;4,IF(K209*40&gt;40,40,K209*40),0))</f>
        <v>0</v>
      </c>
      <c r="Q209" s="1227">
        <f>IF(K209="","",SUM(M209:P209))</f>
        <v>40</v>
      </c>
      <c r="R209" s="1216"/>
      <c r="S209" s="1228">
        <f>IF(J209="","",((1659*K209-Q209)*AC209))</f>
        <v>84687.811356238701</v>
      </c>
      <c r="T209" s="1228">
        <f>IF(K209="","",Q209*AD209+AB209*(AE209+AF209*(1-AG209)))</f>
        <v>2092.3486437613019</v>
      </c>
      <c r="U209" s="1229">
        <f t="shared" ref="U209:U228" si="291">IF(K209="","",(S209+T209))</f>
        <v>86780.160000000003</v>
      </c>
      <c r="V209" s="1212"/>
      <c r="W209" s="723"/>
      <c r="X209" s="604"/>
      <c r="Y209" s="604"/>
      <c r="Z209" s="890">
        <f t="shared" ref="Z209:Z228" si="292">IF(I209="","",VLOOKUP(I209,tabelsalaris16,J209+2,FALSE))</f>
        <v>4464</v>
      </c>
      <c r="AA209" s="865">
        <f>AA$14</f>
        <v>0.62</v>
      </c>
      <c r="AB209" s="891">
        <f>Z209*12/1659</f>
        <v>32.289330922242314</v>
      </c>
      <c r="AC209" s="891">
        <f>Z209*12*(1+AA209)/1659</f>
        <v>52.308716094032555</v>
      </c>
      <c r="AD209" s="891">
        <f>AC209-AB209</f>
        <v>20.01938517179024</v>
      </c>
      <c r="AE209" s="892">
        <f>O209+P209</f>
        <v>40</v>
      </c>
      <c r="AF209" s="893">
        <f>M209+N209</f>
        <v>0</v>
      </c>
      <c r="AG209" s="865">
        <f>IF(H209&gt;8,tab!C$132,tab!C$134)</f>
        <v>0.5</v>
      </c>
      <c r="AH209" s="866">
        <f>IF(G209&lt;25,0,IF(G209=25,25,IF(G209&lt;40,0,IF(G209=40,40,IF(G209&gt;=40,0)))))</f>
        <v>0</v>
      </c>
      <c r="AI209" s="864">
        <f>IF(E209="",0,IF(AH209=25,Z209*1.08*K209/2,IF(AH209=40,Z209*1.08*K209,IF(AH209=0,0))))</f>
        <v>0</v>
      </c>
      <c r="AJ209" s="894"/>
      <c r="AK209" s="837"/>
      <c r="AL209" s="837"/>
      <c r="AM209" s="837"/>
      <c r="AN209" s="895"/>
      <c r="AO209" s="837"/>
      <c r="AP209" s="837"/>
      <c r="AQ209" s="874"/>
      <c r="AR209" s="837"/>
      <c r="AS209" s="837"/>
      <c r="AT209" s="837"/>
      <c r="AU209" s="836"/>
      <c r="AV209" s="836"/>
      <c r="AW209" s="869"/>
      <c r="AX209" s="836"/>
      <c r="AY209" s="837"/>
      <c r="AZ209" s="713"/>
    </row>
    <row r="210" spans="3:52" s="526" customFormat="1" ht="12.75" customHeight="1" x14ac:dyDescent="0.2">
      <c r="C210" s="1037"/>
      <c r="D210" s="1219" t="str">
        <f t="shared" ref="D210:F210" si="293">IF(D178=0,"",D178)</f>
        <v/>
      </c>
      <c r="E210" s="1219" t="str">
        <f t="shared" si="293"/>
        <v/>
      </c>
      <c r="F210" s="1219" t="str">
        <f t="shared" si="293"/>
        <v/>
      </c>
      <c r="G210" s="1221" t="str">
        <f t="shared" si="287"/>
        <v/>
      </c>
      <c r="H210" s="1222" t="str">
        <f t="shared" si="288"/>
        <v/>
      </c>
      <c r="I210" s="1221" t="str">
        <f t="shared" si="288"/>
        <v/>
      </c>
      <c r="J210" s="1221" t="str">
        <f t="shared" si="289"/>
        <v/>
      </c>
      <c r="K210" s="1223" t="str">
        <f t="shared" si="290"/>
        <v/>
      </c>
      <c r="L210" s="1216"/>
      <c r="M210" s="1224" t="str">
        <f t="shared" ref="M210:N210" si="294">IF(M178="","",M178)</f>
        <v/>
      </c>
      <c r="N210" s="1225" t="str">
        <f t="shared" si="294"/>
        <v/>
      </c>
      <c r="O210" s="1226" t="str">
        <f t="shared" ref="O210:O228" si="295">IF(K210="","",IF(K210*40&gt;40,40,K210*40))</f>
        <v/>
      </c>
      <c r="P210" s="1226" t="str">
        <f t="shared" ref="P210:P228" si="296">IF(I210="","",IF(OR(I210="LA",OR(I210="LB",OR(I210="LC",OR(I210="LD",OR(I210="LE"))))),1,0)*IF(J210&lt;4,IF(K210*40&gt;40,40,K210*40),0))</f>
        <v/>
      </c>
      <c r="Q210" s="1227" t="str">
        <f t="shared" ref="Q210:Q228" si="297">IF(K210="","",SUM(M210:P210))</f>
        <v/>
      </c>
      <c r="R210" s="1216"/>
      <c r="S210" s="1228" t="str">
        <f t="shared" ref="S210:S228" si="298">IF(J210="","",((1659*K210-Q210)*AC210))</f>
        <v/>
      </c>
      <c r="T210" s="1228" t="str">
        <f t="shared" ref="T210:T228" si="299">IF(K210="","",Q210*AD210+AB210*(AE210+AF210*(1-AG210)))</f>
        <v/>
      </c>
      <c r="U210" s="1229" t="str">
        <f t="shared" si="291"/>
        <v/>
      </c>
      <c r="V210" s="1212"/>
      <c r="W210" s="723"/>
      <c r="X210" s="604"/>
      <c r="Y210" s="604"/>
      <c r="Z210" s="890" t="str">
        <f t="shared" si="292"/>
        <v/>
      </c>
      <c r="AA210" s="865">
        <f t="shared" ref="AA210:AA228" si="300">AA$14</f>
        <v>0.62</v>
      </c>
      <c r="AB210" s="891" t="e">
        <f t="shared" ref="AB210:AB228" si="301">Z210*12/1659</f>
        <v>#VALUE!</v>
      </c>
      <c r="AC210" s="891" t="e">
        <f t="shared" ref="AC210:AC228" si="302">Z210*12*(1+AA210)/1659</f>
        <v>#VALUE!</v>
      </c>
      <c r="AD210" s="891" t="e">
        <f t="shared" ref="AD210:AD228" si="303">AC210-AB210</f>
        <v>#VALUE!</v>
      </c>
      <c r="AE210" s="892" t="e">
        <f t="shared" ref="AE210:AE228" si="304">O210+P210</f>
        <v>#VALUE!</v>
      </c>
      <c r="AF210" s="893" t="e">
        <f t="shared" ref="AF210:AF228" si="305">M210+N210</f>
        <v>#VALUE!</v>
      </c>
      <c r="AG210" s="865">
        <f>IF(H210&gt;8,tab!C$132,tab!C$134)</f>
        <v>0.5</v>
      </c>
      <c r="AH210" s="866">
        <f t="shared" ref="AH210:AH228" si="306">IF(G210&lt;25,0,IF(G210=25,25,IF(G210&lt;40,0,IF(G210=40,40,IF(G210&gt;=40,0)))))</f>
        <v>0</v>
      </c>
      <c r="AI210" s="864">
        <f t="shared" ref="AI210:AI228" si="307">IF(E210="",0,IF(AH210=25,Z210*1.08*K210/2,IF(AH210=40,Z210*1.08*K210,IF(AH210=0,0))))</f>
        <v>0</v>
      </c>
      <c r="AJ210" s="894"/>
      <c r="AK210" s="837"/>
      <c r="AL210" s="837"/>
      <c r="AM210" s="837"/>
      <c r="AN210" s="895"/>
      <c r="AO210" s="837"/>
      <c r="AP210" s="837"/>
      <c r="AQ210" s="874"/>
      <c r="AR210" s="837"/>
      <c r="AS210" s="837"/>
      <c r="AT210" s="837"/>
      <c r="AU210" s="836"/>
      <c r="AV210" s="836"/>
      <c r="AW210" s="869"/>
      <c r="AX210" s="836"/>
      <c r="AY210" s="837"/>
      <c r="AZ210" s="713"/>
    </row>
    <row r="211" spans="3:52" s="526" customFormat="1" ht="12.75" customHeight="1" x14ac:dyDescent="0.2">
      <c r="C211" s="1037"/>
      <c r="D211" s="1219" t="str">
        <f t="shared" ref="D211:F211" si="308">IF(D179=0,"",D179)</f>
        <v/>
      </c>
      <c r="E211" s="1220" t="str">
        <f t="shared" si="308"/>
        <v/>
      </c>
      <c r="F211" s="1220" t="str">
        <f t="shared" si="308"/>
        <v/>
      </c>
      <c r="G211" s="1124" t="str">
        <f t="shared" si="287"/>
        <v/>
      </c>
      <c r="H211" s="1230" t="str">
        <f t="shared" si="288"/>
        <v/>
      </c>
      <c r="I211" s="1221" t="str">
        <f t="shared" si="288"/>
        <v/>
      </c>
      <c r="J211" s="1124" t="str">
        <f t="shared" si="289"/>
        <v/>
      </c>
      <c r="K211" s="1231" t="str">
        <f t="shared" si="290"/>
        <v/>
      </c>
      <c r="L211" s="1217"/>
      <c r="M211" s="1224" t="str">
        <f t="shared" ref="M211:N211" si="309">IF(M179="","",M179)</f>
        <v/>
      </c>
      <c r="N211" s="1225" t="str">
        <f t="shared" si="309"/>
        <v/>
      </c>
      <c r="O211" s="1226" t="str">
        <f t="shared" si="295"/>
        <v/>
      </c>
      <c r="P211" s="1226" t="str">
        <f t="shared" si="296"/>
        <v/>
      </c>
      <c r="Q211" s="1227" t="str">
        <f t="shared" si="297"/>
        <v/>
      </c>
      <c r="R211" s="1217"/>
      <c r="S211" s="1228" t="str">
        <f t="shared" si="298"/>
        <v/>
      </c>
      <c r="T211" s="1228" t="str">
        <f t="shared" si="299"/>
        <v/>
      </c>
      <c r="U211" s="1229" t="str">
        <f t="shared" si="291"/>
        <v/>
      </c>
      <c r="V211" s="1212"/>
      <c r="W211" s="723"/>
      <c r="X211" s="604"/>
      <c r="Y211" s="604"/>
      <c r="Z211" s="890" t="str">
        <f t="shared" si="292"/>
        <v/>
      </c>
      <c r="AA211" s="865">
        <f t="shared" si="300"/>
        <v>0.62</v>
      </c>
      <c r="AB211" s="891" t="e">
        <f t="shared" si="301"/>
        <v>#VALUE!</v>
      </c>
      <c r="AC211" s="891" t="e">
        <f t="shared" si="302"/>
        <v>#VALUE!</v>
      </c>
      <c r="AD211" s="891" t="e">
        <f t="shared" si="303"/>
        <v>#VALUE!</v>
      </c>
      <c r="AE211" s="892" t="e">
        <f t="shared" si="304"/>
        <v>#VALUE!</v>
      </c>
      <c r="AF211" s="893" t="e">
        <f t="shared" si="305"/>
        <v>#VALUE!</v>
      </c>
      <c r="AG211" s="865">
        <f>IF(H211&gt;8,tab!C$132,tab!C$134)</f>
        <v>0.5</v>
      </c>
      <c r="AH211" s="866">
        <f t="shared" si="306"/>
        <v>0</v>
      </c>
      <c r="AI211" s="864">
        <f t="shared" si="307"/>
        <v>0</v>
      </c>
      <c r="AJ211" s="894"/>
      <c r="AK211" s="837"/>
      <c r="AL211" s="837"/>
      <c r="AM211" s="837"/>
      <c r="AN211" s="895"/>
      <c r="AO211" s="837"/>
      <c r="AP211" s="837"/>
      <c r="AQ211" s="874"/>
      <c r="AR211" s="837"/>
      <c r="AS211" s="837"/>
      <c r="AT211" s="837"/>
      <c r="AU211" s="836"/>
      <c r="AV211" s="836"/>
      <c r="AW211" s="869"/>
      <c r="AX211" s="836"/>
      <c r="AY211" s="837"/>
      <c r="AZ211" s="713"/>
    </row>
    <row r="212" spans="3:52" s="526" customFormat="1" ht="12.75" customHeight="1" x14ac:dyDescent="0.2">
      <c r="C212" s="1037"/>
      <c r="D212" s="1219" t="str">
        <f t="shared" ref="D212:F212" si="310">IF(D180=0,"",D180)</f>
        <v/>
      </c>
      <c r="E212" s="1219" t="str">
        <f t="shared" si="310"/>
        <v/>
      </c>
      <c r="F212" s="1219" t="str">
        <f t="shared" si="310"/>
        <v/>
      </c>
      <c r="G212" s="1221" t="str">
        <f t="shared" si="287"/>
        <v/>
      </c>
      <c r="H212" s="1222" t="str">
        <f t="shared" si="288"/>
        <v/>
      </c>
      <c r="I212" s="1221" t="str">
        <f t="shared" si="288"/>
        <v/>
      </c>
      <c r="J212" s="1221" t="str">
        <f t="shared" si="289"/>
        <v/>
      </c>
      <c r="K212" s="1223" t="str">
        <f t="shared" si="290"/>
        <v/>
      </c>
      <c r="L212" s="1216"/>
      <c r="M212" s="1224" t="str">
        <f t="shared" ref="M212:N212" si="311">IF(M180="","",M180)</f>
        <v/>
      </c>
      <c r="N212" s="1225" t="str">
        <f t="shared" si="311"/>
        <v/>
      </c>
      <c r="O212" s="1226" t="str">
        <f t="shared" si="295"/>
        <v/>
      </c>
      <c r="P212" s="1226" t="str">
        <f t="shared" si="296"/>
        <v/>
      </c>
      <c r="Q212" s="1227" t="str">
        <f t="shared" si="297"/>
        <v/>
      </c>
      <c r="R212" s="1216"/>
      <c r="S212" s="1228" t="str">
        <f t="shared" si="298"/>
        <v/>
      </c>
      <c r="T212" s="1228" t="str">
        <f t="shared" si="299"/>
        <v/>
      </c>
      <c r="U212" s="1229" t="str">
        <f t="shared" si="291"/>
        <v/>
      </c>
      <c r="V212" s="1212"/>
      <c r="W212" s="723"/>
      <c r="X212" s="604"/>
      <c r="Y212" s="604"/>
      <c r="Z212" s="890" t="str">
        <f t="shared" si="292"/>
        <v/>
      </c>
      <c r="AA212" s="865">
        <f t="shared" si="300"/>
        <v>0.62</v>
      </c>
      <c r="AB212" s="891" t="e">
        <f t="shared" si="301"/>
        <v>#VALUE!</v>
      </c>
      <c r="AC212" s="891" t="e">
        <f t="shared" si="302"/>
        <v>#VALUE!</v>
      </c>
      <c r="AD212" s="891" t="e">
        <f t="shared" si="303"/>
        <v>#VALUE!</v>
      </c>
      <c r="AE212" s="892" t="e">
        <f t="shared" si="304"/>
        <v>#VALUE!</v>
      </c>
      <c r="AF212" s="893" t="e">
        <f t="shared" si="305"/>
        <v>#VALUE!</v>
      </c>
      <c r="AG212" s="865">
        <f>IF(H212&gt;8,tab!C$132,tab!C$134)</f>
        <v>0.5</v>
      </c>
      <c r="AH212" s="866">
        <f t="shared" si="306"/>
        <v>0</v>
      </c>
      <c r="AI212" s="864">
        <f t="shared" si="307"/>
        <v>0</v>
      </c>
      <c r="AJ212" s="894"/>
      <c r="AK212" s="837"/>
      <c r="AL212" s="837"/>
      <c r="AM212" s="837"/>
      <c r="AN212" s="895"/>
      <c r="AO212" s="837"/>
      <c r="AP212" s="837"/>
      <c r="AQ212" s="874"/>
      <c r="AR212" s="837"/>
      <c r="AS212" s="837"/>
      <c r="AT212" s="837"/>
      <c r="AU212" s="836"/>
      <c r="AV212" s="836"/>
      <c r="AW212" s="869"/>
      <c r="AX212" s="836"/>
      <c r="AY212" s="837"/>
      <c r="AZ212" s="713"/>
    </row>
    <row r="213" spans="3:52" s="526" customFormat="1" ht="12.75" customHeight="1" x14ac:dyDescent="0.2">
      <c r="C213" s="1037"/>
      <c r="D213" s="1219" t="str">
        <f t="shared" ref="D213:F213" si="312">IF(D181=0,"",D181)</f>
        <v/>
      </c>
      <c r="E213" s="1219" t="str">
        <f t="shared" si="312"/>
        <v/>
      </c>
      <c r="F213" s="1219" t="str">
        <f t="shared" si="312"/>
        <v/>
      </c>
      <c r="G213" s="1221" t="str">
        <f t="shared" si="287"/>
        <v/>
      </c>
      <c r="H213" s="1222" t="str">
        <f t="shared" si="288"/>
        <v/>
      </c>
      <c r="I213" s="1221" t="str">
        <f t="shared" si="288"/>
        <v/>
      </c>
      <c r="J213" s="1221" t="str">
        <f t="shared" si="289"/>
        <v/>
      </c>
      <c r="K213" s="1223" t="str">
        <f t="shared" si="290"/>
        <v/>
      </c>
      <c r="L213" s="1216"/>
      <c r="M213" s="1224" t="str">
        <f t="shared" ref="M213:N213" si="313">IF(M181="","",M181)</f>
        <v/>
      </c>
      <c r="N213" s="1225" t="str">
        <f t="shared" si="313"/>
        <v/>
      </c>
      <c r="O213" s="1226" t="str">
        <f t="shared" si="295"/>
        <v/>
      </c>
      <c r="P213" s="1226" t="str">
        <f t="shared" si="296"/>
        <v/>
      </c>
      <c r="Q213" s="1227" t="str">
        <f t="shared" si="297"/>
        <v/>
      </c>
      <c r="R213" s="1216"/>
      <c r="S213" s="1228" t="str">
        <f t="shared" si="298"/>
        <v/>
      </c>
      <c r="T213" s="1228" t="str">
        <f t="shared" si="299"/>
        <v/>
      </c>
      <c r="U213" s="1229" t="str">
        <f t="shared" si="291"/>
        <v/>
      </c>
      <c r="V213" s="1212"/>
      <c r="W213" s="723"/>
      <c r="X213" s="604"/>
      <c r="Y213" s="604"/>
      <c r="Z213" s="890" t="str">
        <f t="shared" si="292"/>
        <v/>
      </c>
      <c r="AA213" s="865">
        <f t="shared" si="300"/>
        <v>0.62</v>
      </c>
      <c r="AB213" s="891" t="e">
        <f t="shared" si="301"/>
        <v>#VALUE!</v>
      </c>
      <c r="AC213" s="891" t="e">
        <f t="shared" si="302"/>
        <v>#VALUE!</v>
      </c>
      <c r="AD213" s="891" t="e">
        <f t="shared" si="303"/>
        <v>#VALUE!</v>
      </c>
      <c r="AE213" s="892" t="e">
        <f t="shared" si="304"/>
        <v>#VALUE!</v>
      </c>
      <c r="AF213" s="893" t="e">
        <f t="shared" si="305"/>
        <v>#VALUE!</v>
      </c>
      <c r="AG213" s="865">
        <f>IF(H213&gt;8,tab!C$132,tab!C$134)</f>
        <v>0.5</v>
      </c>
      <c r="AH213" s="866">
        <f t="shared" si="306"/>
        <v>0</v>
      </c>
      <c r="AI213" s="864">
        <f t="shared" si="307"/>
        <v>0</v>
      </c>
      <c r="AJ213" s="894"/>
      <c r="AK213" s="837"/>
      <c r="AL213" s="837"/>
      <c r="AM213" s="837"/>
      <c r="AN213" s="895"/>
      <c r="AO213" s="837"/>
      <c r="AP213" s="837"/>
      <c r="AQ213" s="874"/>
      <c r="AR213" s="837"/>
      <c r="AS213" s="837"/>
      <c r="AT213" s="837"/>
      <c r="AU213" s="836"/>
      <c r="AV213" s="836"/>
      <c r="AW213" s="869"/>
      <c r="AX213" s="836"/>
      <c r="AY213" s="837"/>
      <c r="AZ213" s="713"/>
    </row>
    <row r="214" spans="3:52" s="526" customFormat="1" ht="12.75" customHeight="1" x14ac:dyDescent="0.2">
      <c r="C214" s="1037"/>
      <c r="D214" s="1219" t="str">
        <f t="shared" ref="D214:F214" si="314">IF(D182=0,"",D182)</f>
        <v/>
      </c>
      <c r="E214" s="1219" t="str">
        <f t="shared" si="314"/>
        <v/>
      </c>
      <c r="F214" s="1219" t="str">
        <f t="shared" si="314"/>
        <v/>
      </c>
      <c r="G214" s="1221" t="str">
        <f t="shared" si="287"/>
        <v/>
      </c>
      <c r="H214" s="1222" t="str">
        <f t="shared" si="288"/>
        <v/>
      </c>
      <c r="I214" s="1221" t="str">
        <f t="shared" si="288"/>
        <v/>
      </c>
      <c r="J214" s="1221" t="str">
        <f t="shared" si="289"/>
        <v/>
      </c>
      <c r="K214" s="1223" t="str">
        <f t="shared" si="290"/>
        <v/>
      </c>
      <c r="L214" s="1216"/>
      <c r="M214" s="1224" t="str">
        <f t="shared" ref="M214:N214" si="315">IF(M182="","",M182)</f>
        <v/>
      </c>
      <c r="N214" s="1225" t="str">
        <f t="shared" si="315"/>
        <v/>
      </c>
      <c r="O214" s="1226" t="str">
        <f t="shared" si="295"/>
        <v/>
      </c>
      <c r="P214" s="1226" t="str">
        <f t="shared" si="296"/>
        <v/>
      </c>
      <c r="Q214" s="1227" t="str">
        <f t="shared" si="297"/>
        <v/>
      </c>
      <c r="R214" s="1216"/>
      <c r="S214" s="1228" t="str">
        <f t="shared" si="298"/>
        <v/>
      </c>
      <c r="T214" s="1228" t="str">
        <f t="shared" si="299"/>
        <v/>
      </c>
      <c r="U214" s="1229" t="str">
        <f t="shared" si="291"/>
        <v/>
      </c>
      <c r="V214" s="1212"/>
      <c r="W214" s="723"/>
      <c r="X214" s="604"/>
      <c r="Y214" s="604"/>
      <c r="Z214" s="890" t="str">
        <f t="shared" si="292"/>
        <v/>
      </c>
      <c r="AA214" s="865">
        <f t="shared" si="300"/>
        <v>0.62</v>
      </c>
      <c r="AB214" s="891" t="e">
        <f t="shared" si="301"/>
        <v>#VALUE!</v>
      </c>
      <c r="AC214" s="891" t="e">
        <f t="shared" si="302"/>
        <v>#VALUE!</v>
      </c>
      <c r="AD214" s="891" t="e">
        <f t="shared" si="303"/>
        <v>#VALUE!</v>
      </c>
      <c r="AE214" s="892" t="e">
        <f t="shared" si="304"/>
        <v>#VALUE!</v>
      </c>
      <c r="AF214" s="893" t="e">
        <f t="shared" si="305"/>
        <v>#VALUE!</v>
      </c>
      <c r="AG214" s="865">
        <f>IF(H214&gt;8,tab!C$132,tab!C$134)</f>
        <v>0.5</v>
      </c>
      <c r="AH214" s="866">
        <f t="shared" si="306"/>
        <v>0</v>
      </c>
      <c r="AI214" s="864">
        <f t="shared" si="307"/>
        <v>0</v>
      </c>
      <c r="AJ214" s="894"/>
      <c r="AK214" s="837"/>
      <c r="AL214" s="837"/>
      <c r="AM214" s="837"/>
      <c r="AN214" s="895"/>
      <c r="AO214" s="837"/>
      <c r="AP214" s="837"/>
      <c r="AQ214" s="874"/>
      <c r="AR214" s="837"/>
      <c r="AS214" s="837"/>
      <c r="AT214" s="837"/>
      <c r="AU214" s="836"/>
      <c r="AV214" s="836"/>
      <c r="AW214" s="869"/>
      <c r="AX214" s="836"/>
      <c r="AY214" s="837"/>
      <c r="AZ214" s="713"/>
    </row>
    <row r="215" spans="3:52" s="526" customFormat="1" ht="12.75" customHeight="1" x14ac:dyDescent="0.2">
      <c r="C215" s="1037"/>
      <c r="D215" s="1219" t="str">
        <f t="shared" ref="D215:F215" si="316">IF(D183=0,"",D183)</f>
        <v/>
      </c>
      <c r="E215" s="1219" t="str">
        <f t="shared" si="316"/>
        <v/>
      </c>
      <c r="F215" s="1219" t="str">
        <f t="shared" si="316"/>
        <v/>
      </c>
      <c r="G215" s="1221" t="str">
        <f t="shared" si="287"/>
        <v/>
      </c>
      <c r="H215" s="1222" t="str">
        <f t="shared" si="288"/>
        <v/>
      </c>
      <c r="I215" s="1221" t="str">
        <f t="shared" si="288"/>
        <v/>
      </c>
      <c r="J215" s="1221" t="str">
        <f t="shared" si="289"/>
        <v/>
      </c>
      <c r="K215" s="1223" t="str">
        <f t="shared" si="290"/>
        <v/>
      </c>
      <c r="L215" s="1216"/>
      <c r="M215" s="1224" t="str">
        <f t="shared" ref="M215:N215" si="317">IF(M183="","",M183)</f>
        <v/>
      </c>
      <c r="N215" s="1225" t="str">
        <f t="shared" si="317"/>
        <v/>
      </c>
      <c r="O215" s="1226" t="str">
        <f t="shared" si="295"/>
        <v/>
      </c>
      <c r="P215" s="1226" t="str">
        <f t="shared" si="296"/>
        <v/>
      </c>
      <c r="Q215" s="1227" t="str">
        <f t="shared" si="297"/>
        <v/>
      </c>
      <c r="R215" s="1216"/>
      <c r="S215" s="1228" t="str">
        <f t="shared" si="298"/>
        <v/>
      </c>
      <c r="T215" s="1228" t="str">
        <f t="shared" si="299"/>
        <v/>
      </c>
      <c r="U215" s="1229" t="str">
        <f t="shared" si="291"/>
        <v/>
      </c>
      <c r="V215" s="1212"/>
      <c r="W215" s="723"/>
      <c r="X215" s="604"/>
      <c r="Y215" s="604"/>
      <c r="Z215" s="890" t="str">
        <f t="shared" si="292"/>
        <v/>
      </c>
      <c r="AA215" s="865">
        <f t="shared" si="300"/>
        <v>0.62</v>
      </c>
      <c r="AB215" s="891" t="e">
        <f t="shared" si="301"/>
        <v>#VALUE!</v>
      </c>
      <c r="AC215" s="891" t="e">
        <f t="shared" si="302"/>
        <v>#VALUE!</v>
      </c>
      <c r="AD215" s="891" t="e">
        <f t="shared" si="303"/>
        <v>#VALUE!</v>
      </c>
      <c r="AE215" s="892" t="e">
        <f t="shared" si="304"/>
        <v>#VALUE!</v>
      </c>
      <c r="AF215" s="893" t="e">
        <f t="shared" si="305"/>
        <v>#VALUE!</v>
      </c>
      <c r="AG215" s="865">
        <f>IF(H215&gt;8,tab!C$132,tab!C$134)</f>
        <v>0.5</v>
      </c>
      <c r="AH215" s="866">
        <f t="shared" si="306"/>
        <v>0</v>
      </c>
      <c r="AI215" s="864">
        <f t="shared" si="307"/>
        <v>0</v>
      </c>
      <c r="AJ215" s="894"/>
      <c r="AK215" s="837"/>
      <c r="AL215" s="837"/>
      <c r="AM215" s="837"/>
      <c r="AN215" s="895"/>
      <c r="AO215" s="837"/>
      <c r="AP215" s="837"/>
      <c r="AQ215" s="874"/>
      <c r="AR215" s="837"/>
      <c r="AS215" s="837"/>
      <c r="AT215" s="837"/>
      <c r="AU215" s="836"/>
      <c r="AV215" s="836"/>
      <c r="AW215" s="869"/>
      <c r="AX215" s="836"/>
      <c r="AY215" s="837"/>
      <c r="AZ215" s="713"/>
    </row>
    <row r="216" spans="3:52" s="526" customFormat="1" ht="12.75" customHeight="1" x14ac:dyDescent="0.2">
      <c r="C216" s="1037"/>
      <c r="D216" s="1219" t="str">
        <f t="shared" ref="D216:F216" si="318">IF(D184=0,"",D184)</f>
        <v/>
      </c>
      <c r="E216" s="1219" t="str">
        <f t="shared" si="318"/>
        <v/>
      </c>
      <c r="F216" s="1219" t="str">
        <f t="shared" si="318"/>
        <v/>
      </c>
      <c r="G216" s="1221" t="str">
        <f t="shared" si="287"/>
        <v/>
      </c>
      <c r="H216" s="1222" t="str">
        <f t="shared" si="288"/>
        <v/>
      </c>
      <c r="I216" s="1221" t="str">
        <f t="shared" si="288"/>
        <v/>
      </c>
      <c r="J216" s="1221" t="str">
        <f t="shared" si="289"/>
        <v/>
      </c>
      <c r="K216" s="1223" t="str">
        <f t="shared" si="290"/>
        <v/>
      </c>
      <c r="L216" s="1216"/>
      <c r="M216" s="1224" t="str">
        <f t="shared" ref="M216:N216" si="319">IF(M184="","",M184)</f>
        <v/>
      </c>
      <c r="N216" s="1225" t="str">
        <f t="shared" si="319"/>
        <v/>
      </c>
      <c r="O216" s="1226" t="str">
        <f t="shared" si="295"/>
        <v/>
      </c>
      <c r="P216" s="1226" t="str">
        <f t="shared" si="296"/>
        <v/>
      </c>
      <c r="Q216" s="1227" t="str">
        <f t="shared" si="297"/>
        <v/>
      </c>
      <c r="R216" s="1216"/>
      <c r="S216" s="1228" t="str">
        <f t="shared" si="298"/>
        <v/>
      </c>
      <c r="T216" s="1228" t="str">
        <f t="shared" si="299"/>
        <v/>
      </c>
      <c r="U216" s="1229" t="str">
        <f t="shared" si="291"/>
        <v/>
      </c>
      <c r="V216" s="1212"/>
      <c r="W216" s="723"/>
      <c r="X216" s="604"/>
      <c r="Y216" s="604"/>
      <c r="Z216" s="890" t="str">
        <f t="shared" si="292"/>
        <v/>
      </c>
      <c r="AA216" s="865">
        <f t="shared" si="300"/>
        <v>0.62</v>
      </c>
      <c r="AB216" s="891" t="e">
        <f t="shared" si="301"/>
        <v>#VALUE!</v>
      </c>
      <c r="AC216" s="891" t="e">
        <f t="shared" si="302"/>
        <v>#VALUE!</v>
      </c>
      <c r="AD216" s="891" t="e">
        <f t="shared" si="303"/>
        <v>#VALUE!</v>
      </c>
      <c r="AE216" s="892" t="e">
        <f t="shared" si="304"/>
        <v>#VALUE!</v>
      </c>
      <c r="AF216" s="893" t="e">
        <f t="shared" si="305"/>
        <v>#VALUE!</v>
      </c>
      <c r="AG216" s="865">
        <f>IF(H216&gt;8,tab!C$132,tab!C$134)</f>
        <v>0.5</v>
      </c>
      <c r="AH216" s="866">
        <f t="shared" si="306"/>
        <v>0</v>
      </c>
      <c r="AI216" s="864">
        <f t="shared" si="307"/>
        <v>0</v>
      </c>
      <c r="AJ216" s="894"/>
      <c r="AK216" s="837"/>
      <c r="AL216" s="837"/>
      <c r="AM216" s="837"/>
      <c r="AN216" s="895"/>
      <c r="AO216" s="837"/>
      <c r="AP216" s="837"/>
      <c r="AQ216" s="874"/>
      <c r="AR216" s="837"/>
      <c r="AS216" s="837"/>
      <c r="AT216" s="837"/>
      <c r="AU216" s="836"/>
      <c r="AV216" s="836"/>
      <c r="AW216" s="869"/>
      <c r="AX216" s="836"/>
      <c r="AY216" s="837"/>
      <c r="AZ216" s="713"/>
    </row>
    <row r="217" spans="3:52" s="526" customFormat="1" ht="12.75" customHeight="1" x14ac:dyDescent="0.2">
      <c r="C217" s="1037"/>
      <c r="D217" s="1219" t="str">
        <f t="shared" ref="D217:F217" si="320">IF(D185=0,"",D185)</f>
        <v/>
      </c>
      <c r="E217" s="1219" t="str">
        <f t="shared" si="320"/>
        <v/>
      </c>
      <c r="F217" s="1219" t="str">
        <f t="shared" si="320"/>
        <v/>
      </c>
      <c r="G217" s="1221" t="str">
        <f t="shared" si="287"/>
        <v/>
      </c>
      <c r="H217" s="1222" t="str">
        <f t="shared" si="288"/>
        <v/>
      </c>
      <c r="I217" s="1221" t="str">
        <f t="shared" si="288"/>
        <v/>
      </c>
      <c r="J217" s="1221" t="str">
        <f t="shared" si="289"/>
        <v/>
      </c>
      <c r="K217" s="1223" t="str">
        <f t="shared" si="290"/>
        <v/>
      </c>
      <c r="L217" s="1216"/>
      <c r="M217" s="1224" t="str">
        <f t="shared" ref="M217:N217" si="321">IF(M185="","",M185)</f>
        <v/>
      </c>
      <c r="N217" s="1225" t="str">
        <f t="shared" si="321"/>
        <v/>
      </c>
      <c r="O217" s="1226" t="str">
        <f t="shared" si="295"/>
        <v/>
      </c>
      <c r="P217" s="1226" t="str">
        <f t="shared" si="296"/>
        <v/>
      </c>
      <c r="Q217" s="1227" t="str">
        <f t="shared" si="297"/>
        <v/>
      </c>
      <c r="R217" s="1216"/>
      <c r="S217" s="1228" t="str">
        <f t="shared" si="298"/>
        <v/>
      </c>
      <c r="T217" s="1228" t="str">
        <f t="shared" si="299"/>
        <v/>
      </c>
      <c r="U217" s="1229" t="str">
        <f t="shared" si="291"/>
        <v/>
      </c>
      <c r="V217" s="1212"/>
      <c r="W217" s="723"/>
      <c r="X217" s="604"/>
      <c r="Y217" s="604"/>
      <c r="Z217" s="890" t="str">
        <f t="shared" si="292"/>
        <v/>
      </c>
      <c r="AA217" s="865">
        <f t="shared" si="300"/>
        <v>0.62</v>
      </c>
      <c r="AB217" s="891" t="e">
        <f t="shared" si="301"/>
        <v>#VALUE!</v>
      </c>
      <c r="AC217" s="891" t="e">
        <f t="shared" si="302"/>
        <v>#VALUE!</v>
      </c>
      <c r="AD217" s="891" t="e">
        <f t="shared" si="303"/>
        <v>#VALUE!</v>
      </c>
      <c r="AE217" s="892" t="e">
        <f t="shared" si="304"/>
        <v>#VALUE!</v>
      </c>
      <c r="AF217" s="893" t="e">
        <f t="shared" si="305"/>
        <v>#VALUE!</v>
      </c>
      <c r="AG217" s="865">
        <f>IF(H217&gt;8,tab!C$132,tab!C$134)</f>
        <v>0.5</v>
      </c>
      <c r="AH217" s="866">
        <f t="shared" si="306"/>
        <v>0</v>
      </c>
      <c r="AI217" s="864">
        <f t="shared" si="307"/>
        <v>0</v>
      </c>
      <c r="AJ217" s="894"/>
      <c r="AK217" s="837"/>
      <c r="AL217" s="837"/>
      <c r="AM217" s="837"/>
      <c r="AN217" s="895"/>
      <c r="AO217" s="837"/>
      <c r="AP217" s="837"/>
      <c r="AQ217" s="874"/>
      <c r="AR217" s="837"/>
      <c r="AS217" s="837"/>
      <c r="AT217" s="837"/>
      <c r="AU217" s="836"/>
      <c r="AV217" s="836"/>
      <c r="AW217" s="869"/>
      <c r="AX217" s="836"/>
      <c r="AY217" s="837"/>
      <c r="AZ217" s="713"/>
    </row>
    <row r="218" spans="3:52" s="526" customFormat="1" ht="12.75" customHeight="1" x14ac:dyDescent="0.2">
      <c r="C218" s="1037"/>
      <c r="D218" s="1219" t="str">
        <f t="shared" ref="D218:F218" si="322">IF(D186=0,"",D186)</f>
        <v/>
      </c>
      <c r="E218" s="1219" t="str">
        <f t="shared" si="322"/>
        <v/>
      </c>
      <c r="F218" s="1219" t="str">
        <f t="shared" si="322"/>
        <v/>
      </c>
      <c r="G218" s="1221" t="str">
        <f t="shared" si="287"/>
        <v/>
      </c>
      <c r="H218" s="1222" t="str">
        <f t="shared" si="288"/>
        <v/>
      </c>
      <c r="I218" s="1221" t="str">
        <f t="shared" si="288"/>
        <v/>
      </c>
      <c r="J218" s="1221" t="str">
        <f t="shared" si="289"/>
        <v/>
      </c>
      <c r="K218" s="1223" t="str">
        <f t="shared" si="290"/>
        <v/>
      </c>
      <c r="L218" s="1216"/>
      <c r="M218" s="1224" t="str">
        <f t="shared" ref="M218:N218" si="323">IF(M186="","",M186)</f>
        <v/>
      </c>
      <c r="N218" s="1225" t="str">
        <f t="shared" si="323"/>
        <v/>
      </c>
      <c r="O218" s="1226" t="str">
        <f t="shared" si="295"/>
        <v/>
      </c>
      <c r="P218" s="1226" t="str">
        <f t="shared" si="296"/>
        <v/>
      </c>
      <c r="Q218" s="1227" t="str">
        <f t="shared" si="297"/>
        <v/>
      </c>
      <c r="R218" s="1216"/>
      <c r="S218" s="1228" t="str">
        <f t="shared" si="298"/>
        <v/>
      </c>
      <c r="T218" s="1228" t="str">
        <f t="shared" si="299"/>
        <v/>
      </c>
      <c r="U218" s="1229" t="str">
        <f t="shared" si="291"/>
        <v/>
      </c>
      <c r="V218" s="1212"/>
      <c r="W218" s="723"/>
      <c r="X218" s="604"/>
      <c r="Y218" s="604"/>
      <c r="Z218" s="890" t="str">
        <f t="shared" si="292"/>
        <v/>
      </c>
      <c r="AA218" s="865">
        <f t="shared" si="300"/>
        <v>0.62</v>
      </c>
      <c r="AB218" s="891" t="e">
        <f t="shared" si="301"/>
        <v>#VALUE!</v>
      </c>
      <c r="AC218" s="891" t="e">
        <f t="shared" si="302"/>
        <v>#VALUE!</v>
      </c>
      <c r="AD218" s="891" t="e">
        <f t="shared" si="303"/>
        <v>#VALUE!</v>
      </c>
      <c r="AE218" s="892" t="e">
        <f t="shared" si="304"/>
        <v>#VALUE!</v>
      </c>
      <c r="AF218" s="893" t="e">
        <f t="shared" si="305"/>
        <v>#VALUE!</v>
      </c>
      <c r="AG218" s="865">
        <f>IF(H218&gt;8,tab!C$132,tab!C$134)</f>
        <v>0.5</v>
      </c>
      <c r="AH218" s="866">
        <f t="shared" si="306"/>
        <v>0</v>
      </c>
      <c r="AI218" s="864">
        <f t="shared" si="307"/>
        <v>0</v>
      </c>
      <c r="AJ218" s="894"/>
      <c r="AK218" s="837"/>
      <c r="AL218" s="837"/>
      <c r="AM218" s="837"/>
      <c r="AN218" s="895"/>
      <c r="AO218" s="837"/>
      <c r="AP218" s="837"/>
      <c r="AQ218" s="874"/>
      <c r="AR218" s="837"/>
      <c r="AS218" s="837"/>
      <c r="AT218" s="837"/>
      <c r="AU218" s="836"/>
      <c r="AV218" s="836"/>
      <c r="AW218" s="869"/>
      <c r="AX218" s="836"/>
      <c r="AY218" s="837"/>
      <c r="AZ218" s="713"/>
    </row>
    <row r="219" spans="3:52" s="526" customFormat="1" ht="12.75" customHeight="1" x14ac:dyDescent="0.2">
      <c r="C219" s="1037"/>
      <c r="D219" s="1219" t="str">
        <f t="shared" ref="D219:F219" si="324">IF(D187=0,"",D187)</f>
        <v/>
      </c>
      <c r="E219" s="1219" t="str">
        <f t="shared" si="324"/>
        <v/>
      </c>
      <c r="F219" s="1219" t="str">
        <f t="shared" si="324"/>
        <v/>
      </c>
      <c r="G219" s="1221" t="str">
        <f t="shared" si="287"/>
        <v/>
      </c>
      <c r="H219" s="1222" t="str">
        <f t="shared" si="288"/>
        <v/>
      </c>
      <c r="I219" s="1221" t="str">
        <f t="shared" si="288"/>
        <v/>
      </c>
      <c r="J219" s="1221" t="str">
        <f t="shared" si="289"/>
        <v/>
      </c>
      <c r="K219" s="1223" t="str">
        <f t="shared" si="290"/>
        <v/>
      </c>
      <c r="L219" s="1216"/>
      <c r="M219" s="1224" t="str">
        <f t="shared" ref="M219:N219" si="325">IF(M187="","",M187)</f>
        <v/>
      </c>
      <c r="N219" s="1225" t="str">
        <f t="shared" si="325"/>
        <v/>
      </c>
      <c r="O219" s="1226" t="str">
        <f t="shared" si="295"/>
        <v/>
      </c>
      <c r="P219" s="1226" t="str">
        <f t="shared" si="296"/>
        <v/>
      </c>
      <c r="Q219" s="1227" t="str">
        <f t="shared" si="297"/>
        <v/>
      </c>
      <c r="R219" s="1216"/>
      <c r="S219" s="1228" t="str">
        <f t="shared" si="298"/>
        <v/>
      </c>
      <c r="T219" s="1228" t="str">
        <f t="shared" si="299"/>
        <v/>
      </c>
      <c r="U219" s="1229" t="str">
        <f t="shared" si="291"/>
        <v/>
      </c>
      <c r="V219" s="1212"/>
      <c r="W219" s="723"/>
      <c r="X219" s="604"/>
      <c r="Y219" s="604"/>
      <c r="Z219" s="890" t="str">
        <f t="shared" si="292"/>
        <v/>
      </c>
      <c r="AA219" s="865">
        <f t="shared" si="300"/>
        <v>0.62</v>
      </c>
      <c r="AB219" s="891" t="e">
        <f t="shared" si="301"/>
        <v>#VALUE!</v>
      </c>
      <c r="AC219" s="891" t="e">
        <f t="shared" si="302"/>
        <v>#VALUE!</v>
      </c>
      <c r="AD219" s="891" t="e">
        <f t="shared" si="303"/>
        <v>#VALUE!</v>
      </c>
      <c r="AE219" s="892" t="e">
        <f t="shared" si="304"/>
        <v>#VALUE!</v>
      </c>
      <c r="AF219" s="893" t="e">
        <f t="shared" si="305"/>
        <v>#VALUE!</v>
      </c>
      <c r="AG219" s="865">
        <f>IF(H219&gt;8,tab!C$132,tab!C$134)</f>
        <v>0.5</v>
      </c>
      <c r="AH219" s="866">
        <f t="shared" si="306"/>
        <v>0</v>
      </c>
      <c r="AI219" s="864">
        <f t="shared" si="307"/>
        <v>0</v>
      </c>
      <c r="AJ219" s="894"/>
      <c r="AK219" s="837"/>
      <c r="AL219" s="837"/>
      <c r="AM219" s="837"/>
      <c r="AN219" s="895"/>
      <c r="AO219" s="837"/>
      <c r="AP219" s="837"/>
      <c r="AQ219" s="874"/>
      <c r="AR219" s="837"/>
      <c r="AS219" s="837"/>
      <c r="AT219" s="837"/>
      <c r="AU219" s="836"/>
      <c r="AV219" s="836"/>
      <c r="AW219" s="869"/>
      <c r="AX219" s="836"/>
      <c r="AY219" s="837"/>
      <c r="AZ219" s="713"/>
    </row>
    <row r="220" spans="3:52" s="526" customFormat="1" ht="12.75" customHeight="1" x14ac:dyDescent="0.2">
      <c r="C220" s="1037"/>
      <c r="D220" s="1219" t="str">
        <f t="shared" ref="D220:F220" si="326">IF(D188=0,"",D188)</f>
        <v/>
      </c>
      <c r="E220" s="1219" t="str">
        <f t="shared" si="326"/>
        <v/>
      </c>
      <c r="F220" s="1219" t="str">
        <f t="shared" si="326"/>
        <v/>
      </c>
      <c r="G220" s="1221" t="str">
        <f t="shared" si="287"/>
        <v/>
      </c>
      <c r="H220" s="1222" t="str">
        <f t="shared" si="288"/>
        <v/>
      </c>
      <c r="I220" s="1221" t="str">
        <f t="shared" si="288"/>
        <v/>
      </c>
      <c r="J220" s="1221" t="str">
        <f t="shared" si="289"/>
        <v/>
      </c>
      <c r="K220" s="1223" t="str">
        <f t="shared" si="290"/>
        <v/>
      </c>
      <c r="L220" s="1216"/>
      <c r="M220" s="1224" t="str">
        <f t="shared" ref="M220:N220" si="327">IF(M188="","",M188)</f>
        <v/>
      </c>
      <c r="N220" s="1225" t="str">
        <f t="shared" si="327"/>
        <v/>
      </c>
      <c r="O220" s="1226" t="str">
        <f t="shared" si="295"/>
        <v/>
      </c>
      <c r="P220" s="1226" t="str">
        <f t="shared" si="296"/>
        <v/>
      </c>
      <c r="Q220" s="1227" t="str">
        <f t="shared" si="297"/>
        <v/>
      </c>
      <c r="R220" s="1216"/>
      <c r="S220" s="1228" t="str">
        <f t="shared" si="298"/>
        <v/>
      </c>
      <c r="T220" s="1228" t="str">
        <f t="shared" si="299"/>
        <v/>
      </c>
      <c r="U220" s="1229" t="str">
        <f t="shared" si="291"/>
        <v/>
      </c>
      <c r="V220" s="1212"/>
      <c r="W220" s="723"/>
      <c r="X220" s="604"/>
      <c r="Y220" s="604"/>
      <c r="Z220" s="890" t="str">
        <f t="shared" si="292"/>
        <v/>
      </c>
      <c r="AA220" s="865">
        <f t="shared" si="300"/>
        <v>0.62</v>
      </c>
      <c r="AB220" s="891" t="e">
        <f t="shared" si="301"/>
        <v>#VALUE!</v>
      </c>
      <c r="AC220" s="891" t="e">
        <f t="shared" si="302"/>
        <v>#VALUE!</v>
      </c>
      <c r="AD220" s="891" t="e">
        <f t="shared" si="303"/>
        <v>#VALUE!</v>
      </c>
      <c r="AE220" s="892" t="e">
        <f t="shared" si="304"/>
        <v>#VALUE!</v>
      </c>
      <c r="AF220" s="893" t="e">
        <f t="shared" si="305"/>
        <v>#VALUE!</v>
      </c>
      <c r="AG220" s="865">
        <f>IF(H220&gt;8,tab!C$132,tab!C$134)</f>
        <v>0.5</v>
      </c>
      <c r="AH220" s="866">
        <f t="shared" si="306"/>
        <v>0</v>
      </c>
      <c r="AI220" s="864">
        <f t="shared" si="307"/>
        <v>0</v>
      </c>
      <c r="AJ220" s="894"/>
      <c r="AK220" s="837"/>
      <c r="AL220" s="837"/>
      <c r="AM220" s="837"/>
      <c r="AN220" s="895"/>
      <c r="AO220" s="837"/>
      <c r="AP220" s="837"/>
      <c r="AQ220" s="874"/>
      <c r="AR220" s="837"/>
      <c r="AS220" s="837"/>
      <c r="AT220" s="837"/>
      <c r="AU220" s="836"/>
      <c r="AV220" s="836"/>
      <c r="AW220" s="869"/>
      <c r="AX220" s="836"/>
      <c r="AY220" s="837"/>
      <c r="AZ220" s="713"/>
    </row>
    <row r="221" spans="3:52" s="526" customFormat="1" ht="12.75" customHeight="1" x14ac:dyDescent="0.2">
      <c r="C221" s="1037"/>
      <c r="D221" s="1219" t="str">
        <f t="shared" ref="D221:F221" si="328">IF(D189=0,"",D189)</f>
        <v/>
      </c>
      <c r="E221" s="1219" t="str">
        <f t="shared" si="328"/>
        <v/>
      </c>
      <c r="F221" s="1219" t="str">
        <f t="shared" si="328"/>
        <v/>
      </c>
      <c r="G221" s="1221" t="str">
        <f t="shared" si="287"/>
        <v/>
      </c>
      <c r="H221" s="1222" t="str">
        <f t="shared" si="288"/>
        <v/>
      </c>
      <c r="I221" s="1221" t="str">
        <f t="shared" si="288"/>
        <v/>
      </c>
      <c r="J221" s="1221" t="str">
        <f t="shared" si="289"/>
        <v/>
      </c>
      <c r="K221" s="1223" t="str">
        <f t="shared" si="290"/>
        <v/>
      </c>
      <c r="L221" s="1216"/>
      <c r="M221" s="1224" t="str">
        <f t="shared" ref="M221:N221" si="329">IF(M189="","",M189)</f>
        <v/>
      </c>
      <c r="N221" s="1225" t="str">
        <f t="shared" si="329"/>
        <v/>
      </c>
      <c r="O221" s="1226" t="str">
        <f t="shared" si="295"/>
        <v/>
      </c>
      <c r="P221" s="1226" t="str">
        <f t="shared" si="296"/>
        <v/>
      </c>
      <c r="Q221" s="1227" t="str">
        <f t="shared" si="297"/>
        <v/>
      </c>
      <c r="R221" s="1216"/>
      <c r="S221" s="1228" t="str">
        <f t="shared" si="298"/>
        <v/>
      </c>
      <c r="T221" s="1228" t="str">
        <f t="shared" si="299"/>
        <v/>
      </c>
      <c r="U221" s="1229" t="str">
        <f t="shared" si="291"/>
        <v/>
      </c>
      <c r="V221" s="1212"/>
      <c r="W221" s="723"/>
      <c r="X221" s="604"/>
      <c r="Y221" s="604"/>
      <c r="Z221" s="890" t="str">
        <f t="shared" si="292"/>
        <v/>
      </c>
      <c r="AA221" s="865">
        <f t="shared" si="300"/>
        <v>0.62</v>
      </c>
      <c r="AB221" s="891" t="e">
        <f t="shared" si="301"/>
        <v>#VALUE!</v>
      </c>
      <c r="AC221" s="891" t="e">
        <f t="shared" si="302"/>
        <v>#VALUE!</v>
      </c>
      <c r="AD221" s="891" t="e">
        <f t="shared" si="303"/>
        <v>#VALUE!</v>
      </c>
      <c r="AE221" s="892" t="e">
        <f t="shared" si="304"/>
        <v>#VALUE!</v>
      </c>
      <c r="AF221" s="893" t="e">
        <f t="shared" si="305"/>
        <v>#VALUE!</v>
      </c>
      <c r="AG221" s="865">
        <f>IF(H221&gt;8,tab!C$132,tab!C$134)</f>
        <v>0.5</v>
      </c>
      <c r="AH221" s="866">
        <f t="shared" si="306"/>
        <v>0</v>
      </c>
      <c r="AI221" s="864">
        <f t="shared" si="307"/>
        <v>0</v>
      </c>
      <c r="AJ221" s="894"/>
      <c r="AK221" s="837"/>
      <c r="AL221" s="837"/>
      <c r="AM221" s="837"/>
      <c r="AN221" s="895"/>
      <c r="AO221" s="837"/>
      <c r="AP221" s="837"/>
      <c r="AQ221" s="874"/>
      <c r="AR221" s="837"/>
      <c r="AS221" s="837"/>
      <c r="AT221" s="837"/>
      <c r="AU221" s="836"/>
      <c r="AV221" s="836"/>
      <c r="AW221" s="869"/>
      <c r="AX221" s="836"/>
      <c r="AY221" s="837"/>
      <c r="AZ221" s="713"/>
    </row>
    <row r="222" spans="3:52" s="526" customFormat="1" ht="12.75" customHeight="1" x14ac:dyDescent="0.2">
      <c r="C222" s="1037"/>
      <c r="D222" s="1219" t="str">
        <f t="shared" ref="D222:F222" si="330">IF(D190=0,"",D190)</f>
        <v/>
      </c>
      <c r="E222" s="1219" t="str">
        <f t="shared" si="330"/>
        <v/>
      </c>
      <c r="F222" s="1219" t="str">
        <f t="shared" si="330"/>
        <v/>
      </c>
      <c r="G222" s="1221" t="str">
        <f t="shared" si="287"/>
        <v/>
      </c>
      <c r="H222" s="1222" t="str">
        <f t="shared" si="288"/>
        <v/>
      </c>
      <c r="I222" s="1221" t="str">
        <f t="shared" si="288"/>
        <v/>
      </c>
      <c r="J222" s="1221" t="str">
        <f t="shared" si="289"/>
        <v/>
      </c>
      <c r="K222" s="1223" t="str">
        <f t="shared" si="290"/>
        <v/>
      </c>
      <c r="L222" s="1216"/>
      <c r="M222" s="1224" t="str">
        <f t="shared" ref="M222:N222" si="331">IF(M190="","",M190)</f>
        <v/>
      </c>
      <c r="N222" s="1225" t="str">
        <f t="shared" si="331"/>
        <v/>
      </c>
      <c r="O222" s="1226" t="str">
        <f t="shared" si="295"/>
        <v/>
      </c>
      <c r="P222" s="1226" t="str">
        <f t="shared" si="296"/>
        <v/>
      </c>
      <c r="Q222" s="1227" t="str">
        <f t="shared" si="297"/>
        <v/>
      </c>
      <c r="R222" s="1216"/>
      <c r="S222" s="1228" t="str">
        <f t="shared" si="298"/>
        <v/>
      </c>
      <c r="T222" s="1228" t="str">
        <f t="shared" si="299"/>
        <v/>
      </c>
      <c r="U222" s="1229" t="str">
        <f t="shared" si="291"/>
        <v/>
      </c>
      <c r="V222" s="1212"/>
      <c r="W222" s="723"/>
      <c r="X222" s="604"/>
      <c r="Y222" s="604"/>
      <c r="Z222" s="890" t="str">
        <f t="shared" si="292"/>
        <v/>
      </c>
      <c r="AA222" s="865">
        <f t="shared" si="300"/>
        <v>0.62</v>
      </c>
      <c r="AB222" s="891" t="e">
        <f t="shared" si="301"/>
        <v>#VALUE!</v>
      </c>
      <c r="AC222" s="891" t="e">
        <f t="shared" si="302"/>
        <v>#VALUE!</v>
      </c>
      <c r="AD222" s="891" t="e">
        <f t="shared" si="303"/>
        <v>#VALUE!</v>
      </c>
      <c r="AE222" s="892" t="e">
        <f t="shared" si="304"/>
        <v>#VALUE!</v>
      </c>
      <c r="AF222" s="893" t="e">
        <f t="shared" si="305"/>
        <v>#VALUE!</v>
      </c>
      <c r="AG222" s="865">
        <f>IF(H222&gt;8,tab!C$132,tab!C$134)</f>
        <v>0.5</v>
      </c>
      <c r="AH222" s="866">
        <f t="shared" si="306"/>
        <v>0</v>
      </c>
      <c r="AI222" s="864">
        <f t="shared" si="307"/>
        <v>0</v>
      </c>
      <c r="AJ222" s="894"/>
      <c r="AK222" s="837"/>
      <c r="AL222" s="837"/>
      <c r="AM222" s="837"/>
      <c r="AN222" s="895"/>
      <c r="AO222" s="837"/>
      <c r="AP222" s="837"/>
      <c r="AQ222" s="874"/>
      <c r="AR222" s="837"/>
      <c r="AS222" s="837"/>
      <c r="AT222" s="837"/>
      <c r="AU222" s="836"/>
      <c r="AV222" s="836"/>
      <c r="AW222" s="869"/>
      <c r="AX222" s="836"/>
      <c r="AY222" s="837"/>
      <c r="AZ222" s="713"/>
    </row>
    <row r="223" spans="3:52" s="526" customFormat="1" ht="12.75" customHeight="1" x14ac:dyDescent="0.2">
      <c r="C223" s="1037"/>
      <c r="D223" s="1219" t="str">
        <f t="shared" ref="D223:F223" si="332">IF(D191=0,"",D191)</f>
        <v/>
      </c>
      <c r="E223" s="1219" t="str">
        <f t="shared" si="332"/>
        <v/>
      </c>
      <c r="F223" s="1219" t="str">
        <f t="shared" si="332"/>
        <v/>
      </c>
      <c r="G223" s="1221" t="str">
        <f t="shared" si="287"/>
        <v/>
      </c>
      <c r="H223" s="1222" t="str">
        <f t="shared" si="288"/>
        <v/>
      </c>
      <c r="I223" s="1221" t="str">
        <f t="shared" si="288"/>
        <v/>
      </c>
      <c r="J223" s="1221" t="str">
        <f t="shared" si="289"/>
        <v/>
      </c>
      <c r="K223" s="1223" t="str">
        <f t="shared" si="290"/>
        <v/>
      </c>
      <c r="L223" s="1216"/>
      <c r="M223" s="1224" t="str">
        <f t="shared" ref="M223:N223" si="333">IF(M191="","",M191)</f>
        <v/>
      </c>
      <c r="N223" s="1225" t="str">
        <f t="shared" si="333"/>
        <v/>
      </c>
      <c r="O223" s="1226" t="str">
        <f t="shared" si="295"/>
        <v/>
      </c>
      <c r="P223" s="1226" t="str">
        <f t="shared" si="296"/>
        <v/>
      </c>
      <c r="Q223" s="1227" t="str">
        <f t="shared" si="297"/>
        <v/>
      </c>
      <c r="R223" s="1216"/>
      <c r="S223" s="1228" t="str">
        <f t="shared" si="298"/>
        <v/>
      </c>
      <c r="T223" s="1228" t="str">
        <f t="shared" si="299"/>
        <v/>
      </c>
      <c r="U223" s="1229" t="str">
        <f t="shared" si="291"/>
        <v/>
      </c>
      <c r="V223" s="1212"/>
      <c r="W223" s="723"/>
      <c r="X223" s="604"/>
      <c r="Y223" s="604"/>
      <c r="Z223" s="890" t="str">
        <f t="shared" si="292"/>
        <v/>
      </c>
      <c r="AA223" s="865">
        <f t="shared" si="300"/>
        <v>0.62</v>
      </c>
      <c r="AB223" s="891" t="e">
        <f t="shared" si="301"/>
        <v>#VALUE!</v>
      </c>
      <c r="AC223" s="891" t="e">
        <f t="shared" si="302"/>
        <v>#VALUE!</v>
      </c>
      <c r="AD223" s="891" t="e">
        <f t="shared" si="303"/>
        <v>#VALUE!</v>
      </c>
      <c r="AE223" s="892" t="e">
        <f t="shared" si="304"/>
        <v>#VALUE!</v>
      </c>
      <c r="AF223" s="893" t="e">
        <f t="shared" si="305"/>
        <v>#VALUE!</v>
      </c>
      <c r="AG223" s="865">
        <f>IF(H223&gt;8,tab!C$132,tab!C$134)</f>
        <v>0.5</v>
      </c>
      <c r="AH223" s="866">
        <f t="shared" si="306"/>
        <v>0</v>
      </c>
      <c r="AI223" s="864">
        <f t="shared" si="307"/>
        <v>0</v>
      </c>
      <c r="AJ223" s="894"/>
      <c r="AK223" s="837"/>
      <c r="AL223" s="837"/>
      <c r="AM223" s="837"/>
      <c r="AN223" s="895"/>
      <c r="AO223" s="837"/>
      <c r="AP223" s="837"/>
      <c r="AQ223" s="874"/>
      <c r="AR223" s="837"/>
      <c r="AS223" s="837"/>
      <c r="AT223" s="837"/>
      <c r="AU223" s="836"/>
      <c r="AV223" s="836"/>
      <c r="AW223" s="869"/>
      <c r="AX223" s="836"/>
      <c r="AY223" s="837"/>
      <c r="AZ223" s="713"/>
    </row>
    <row r="224" spans="3:52" s="526" customFormat="1" ht="12.75" customHeight="1" x14ac:dyDescent="0.2">
      <c r="C224" s="1037"/>
      <c r="D224" s="1219" t="str">
        <f t="shared" ref="D224:F224" si="334">IF(D192=0,"",D192)</f>
        <v/>
      </c>
      <c r="E224" s="1219" t="str">
        <f t="shared" si="334"/>
        <v/>
      </c>
      <c r="F224" s="1219" t="str">
        <f t="shared" si="334"/>
        <v/>
      </c>
      <c r="G224" s="1221" t="str">
        <f t="shared" si="287"/>
        <v/>
      </c>
      <c r="H224" s="1222" t="str">
        <f t="shared" si="288"/>
        <v/>
      </c>
      <c r="I224" s="1221" t="str">
        <f t="shared" si="288"/>
        <v/>
      </c>
      <c r="J224" s="1221" t="str">
        <f t="shared" si="289"/>
        <v/>
      </c>
      <c r="K224" s="1223" t="str">
        <f t="shared" si="290"/>
        <v/>
      </c>
      <c r="L224" s="1216"/>
      <c r="M224" s="1224" t="str">
        <f t="shared" ref="M224:N224" si="335">IF(M192="","",M192)</f>
        <v/>
      </c>
      <c r="N224" s="1225" t="str">
        <f t="shared" si="335"/>
        <v/>
      </c>
      <c r="O224" s="1226" t="str">
        <f t="shared" si="295"/>
        <v/>
      </c>
      <c r="P224" s="1226" t="str">
        <f t="shared" si="296"/>
        <v/>
      </c>
      <c r="Q224" s="1227" t="str">
        <f t="shared" si="297"/>
        <v/>
      </c>
      <c r="R224" s="1216"/>
      <c r="S224" s="1228" t="str">
        <f t="shared" si="298"/>
        <v/>
      </c>
      <c r="T224" s="1228" t="str">
        <f t="shared" si="299"/>
        <v/>
      </c>
      <c r="U224" s="1229" t="str">
        <f t="shared" si="291"/>
        <v/>
      </c>
      <c r="V224" s="1212"/>
      <c r="W224" s="723"/>
      <c r="X224" s="604"/>
      <c r="Y224" s="604"/>
      <c r="Z224" s="890" t="str">
        <f t="shared" si="292"/>
        <v/>
      </c>
      <c r="AA224" s="865">
        <f t="shared" si="300"/>
        <v>0.62</v>
      </c>
      <c r="AB224" s="891" t="e">
        <f t="shared" si="301"/>
        <v>#VALUE!</v>
      </c>
      <c r="AC224" s="891" t="e">
        <f t="shared" si="302"/>
        <v>#VALUE!</v>
      </c>
      <c r="AD224" s="891" t="e">
        <f t="shared" si="303"/>
        <v>#VALUE!</v>
      </c>
      <c r="AE224" s="892" t="e">
        <f t="shared" si="304"/>
        <v>#VALUE!</v>
      </c>
      <c r="AF224" s="893" t="e">
        <f t="shared" si="305"/>
        <v>#VALUE!</v>
      </c>
      <c r="AG224" s="865">
        <f>IF(H224&gt;8,tab!C$132,tab!C$134)</f>
        <v>0.5</v>
      </c>
      <c r="AH224" s="866">
        <f t="shared" si="306"/>
        <v>0</v>
      </c>
      <c r="AI224" s="864">
        <f t="shared" si="307"/>
        <v>0</v>
      </c>
      <c r="AJ224" s="894"/>
      <c r="AK224" s="837"/>
      <c r="AL224" s="837"/>
      <c r="AM224" s="837"/>
      <c r="AN224" s="895"/>
      <c r="AO224" s="837"/>
      <c r="AP224" s="837"/>
      <c r="AQ224" s="874"/>
      <c r="AR224" s="837"/>
      <c r="AS224" s="837"/>
      <c r="AT224" s="837"/>
      <c r="AU224" s="836"/>
      <c r="AV224" s="836"/>
      <c r="AW224" s="869"/>
      <c r="AX224" s="836"/>
      <c r="AY224" s="837"/>
      <c r="AZ224" s="713"/>
    </row>
    <row r="225" spans="3:52" s="526" customFormat="1" ht="12.75" customHeight="1" x14ac:dyDescent="0.2">
      <c r="C225" s="1037"/>
      <c r="D225" s="1219" t="str">
        <f t="shared" ref="D225:F225" si="336">IF(D193=0,"",D193)</f>
        <v/>
      </c>
      <c r="E225" s="1219" t="str">
        <f t="shared" si="336"/>
        <v/>
      </c>
      <c r="F225" s="1219" t="str">
        <f t="shared" si="336"/>
        <v/>
      </c>
      <c r="G225" s="1221" t="str">
        <f t="shared" si="287"/>
        <v/>
      </c>
      <c r="H225" s="1222" t="str">
        <f t="shared" ref="H225:I225" si="337">IF(H193=0,"",H193)</f>
        <v/>
      </c>
      <c r="I225" s="1221" t="str">
        <f t="shared" si="337"/>
        <v/>
      </c>
      <c r="J225" s="1221" t="str">
        <f t="shared" si="289"/>
        <v/>
      </c>
      <c r="K225" s="1223" t="str">
        <f t="shared" si="290"/>
        <v/>
      </c>
      <c r="L225" s="1216"/>
      <c r="M225" s="1224" t="str">
        <f t="shared" ref="M225:N225" si="338">IF(M193="","",M193)</f>
        <v/>
      </c>
      <c r="N225" s="1225" t="str">
        <f t="shared" si="338"/>
        <v/>
      </c>
      <c r="O225" s="1226" t="str">
        <f t="shared" si="295"/>
        <v/>
      </c>
      <c r="P225" s="1226" t="str">
        <f t="shared" si="296"/>
        <v/>
      </c>
      <c r="Q225" s="1227" t="str">
        <f t="shared" si="297"/>
        <v/>
      </c>
      <c r="R225" s="1216"/>
      <c r="S225" s="1228" t="str">
        <f t="shared" si="298"/>
        <v/>
      </c>
      <c r="T225" s="1228" t="str">
        <f t="shared" si="299"/>
        <v/>
      </c>
      <c r="U225" s="1229" t="str">
        <f t="shared" si="291"/>
        <v/>
      </c>
      <c r="V225" s="1212"/>
      <c r="W225" s="723"/>
      <c r="X225" s="604"/>
      <c r="Y225" s="604"/>
      <c r="Z225" s="890" t="str">
        <f t="shared" si="292"/>
        <v/>
      </c>
      <c r="AA225" s="865">
        <f t="shared" si="300"/>
        <v>0.62</v>
      </c>
      <c r="AB225" s="891" t="e">
        <f t="shared" si="301"/>
        <v>#VALUE!</v>
      </c>
      <c r="AC225" s="891" t="e">
        <f t="shared" si="302"/>
        <v>#VALUE!</v>
      </c>
      <c r="AD225" s="891" t="e">
        <f t="shared" si="303"/>
        <v>#VALUE!</v>
      </c>
      <c r="AE225" s="892" t="e">
        <f t="shared" si="304"/>
        <v>#VALUE!</v>
      </c>
      <c r="AF225" s="893" t="e">
        <f t="shared" si="305"/>
        <v>#VALUE!</v>
      </c>
      <c r="AG225" s="865">
        <f>IF(H225&gt;8,tab!C$132,tab!C$134)</f>
        <v>0.5</v>
      </c>
      <c r="AH225" s="866">
        <f t="shared" si="306"/>
        <v>0</v>
      </c>
      <c r="AI225" s="864">
        <f t="shared" si="307"/>
        <v>0</v>
      </c>
      <c r="AJ225" s="894"/>
      <c r="AK225" s="837"/>
      <c r="AL225" s="837"/>
      <c r="AM225" s="837"/>
      <c r="AN225" s="895"/>
      <c r="AO225" s="837"/>
      <c r="AP225" s="837"/>
      <c r="AQ225" s="874"/>
      <c r="AR225" s="837"/>
      <c r="AS225" s="837"/>
      <c r="AT225" s="837"/>
      <c r="AU225" s="836"/>
      <c r="AV225" s="836"/>
      <c r="AW225" s="869"/>
      <c r="AX225" s="836"/>
      <c r="AY225" s="837"/>
      <c r="AZ225" s="713"/>
    </row>
    <row r="226" spans="3:52" s="526" customFormat="1" ht="12.75" customHeight="1" x14ac:dyDescent="0.2">
      <c r="C226" s="1037"/>
      <c r="D226" s="1219" t="str">
        <f t="shared" ref="D226:F226" si="339">IF(D194=0,"",D194)</f>
        <v/>
      </c>
      <c r="E226" s="1219" t="str">
        <f t="shared" si="339"/>
        <v/>
      </c>
      <c r="F226" s="1219" t="str">
        <f t="shared" si="339"/>
        <v/>
      </c>
      <c r="G226" s="1221" t="str">
        <f t="shared" si="287"/>
        <v/>
      </c>
      <c r="H226" s="1222" t="str">
        <f t="shared" ref="H226:I226" si="340">IF(H194=0,"",H194)</f>
        <v/>
      </c>
      <c r="I226" s="1221" t="str">
        <f t="shared" si="340"/>
        <v/>
      </c>
      <c r="J226" s="1221" t="str">
        <f t="shared" si="289"/>
        <v/>
      </c>
      <c r="K226" s="1223" t="str">
        <f t="shared" si="290"/>
        <v/>
      </c>
      <c r="L226" s="1216"/>
      <c r="M226" s="1224" t="str">
        <f t="shared" ref="M226:N226" si="341">IF(M194="","",M194)</f>
        <v/>
      </c>
      <c r="N226" s="1225" t="str">
        <f t="shared" si="341"/>
        <v/>
      </c>
      <c r="O226" s="1226" t="str">
        <f t="shared" si="295"/>
        <v/>
      </c>
      <c r="P226" s="1226" t="str">
        <f t="shared" si="296"/>
        <v/>
      </c>
      <c r="Q226" s="1227" t="str">
        <f t="shared" si="297"/>
        <v/>
      </c>
      <c r="R226" s="1216"/>
      <c r="S226" s="1228" t="str">
        <f t="shared" si="298"/>
        <v/>
      </c>
      <c r="T226" s="1228" t="str">
        <f t="shared" si="299"/>
        <v/>
      </c>
      <c r="U226" s="1229" t="str">
        <f t="shared" si="291"/>
        <v/>
      </c>
      <c r="V226" s="1212"/>
      <c r="W226" s="723"/>
      <c r="X226" s="604"/>
      <c r="Y226" s="604"/>
      <c r="Z226" s="890" t="str">
        <f t="shared" si="292"/>
        <v/>
      </c>
      <c r="AA226" s="865">
        <f t="shared" si="300"/>
        <v>0.62</v>
      </c>
      <c r="AB226" s="891" t="e">
        <f t="shared" si="301"/>
        <v>#VALUE!</v>
      </c>
      <c r="AC226" s="891" t="e">
        <f t="shared" si="302"/>
        <v>#VALUE!</v>
      </c>
      <c r="AD226" s="891" t="e">
        <f t="shared" si="303"/>
        <v>#VALUE!</v>
      </c>
      <c r="AE226" s="892" t="e">
        <f t="shared" si="304"/>
        <v>#VALUE!</v>
      </c>
      <c r="AF226" s="893" t="e">
        <f t="shared" si="305"/>
        <v>#VALUE!</v>
      </c>
      <c r="AG226" s="865">
        <f>IF(H226&gt;8,tab!C$132,tab!C$134)</f>
        <v>0.5</v>
      </c>
      <c r="AH226" s="866">
        <f t="shared" si="306"/>
        <v>0</v>
      </c>
      <c r="AI226" s="864">
        <f t="shared" si="307"/>
        <v>0</v>
      </c>
      <c r="AJ226" s="894"/>
      <c r="AK226" s="837"/>
      <c r="AL226" s="837"/>
      <c r="AM226" s="837"/>
      <c r="AN226" s="895"/>
      <c r="AO226" s="837"/>
      <c r="AP226" s="837"/>
      <c r="AQ226" s="874"/>
      <c r="AR226" s="837"/>
      <c r="AS226" s="837"/>
      <c r="AT226" s="837"/>
      <c r="AU226" s="836"/>
      <c r="AV226" s="836"/>
      <c r="AW226" s="869"/>
      <c r="AX226" s="836"/>
      <c r="AY226" s="837"/>
      <c r="AZ226" s="713"/>
    </row>
    <row r="227" spans="3:52" s="526" customFormat="1" ht="12.75" customHeight="1" x14ac:dyDescent="0.2">
      <c r="C227" s="1037"/>
      <c r="D227" s="1219" t="str">
        <f t="shared" ref="D227:F227" si="342">IF(D195=0,"",D195)</f>
        <v/>
      </c>
      <c r="E227" s="1219" t="str">
        <f t="shared" si="342"/>
        <v/>
      </c>
      <c r="F227" s="1219" t="str">
        <f t="shared" si="342"/>
        <v/>
      </c>
      <c r="G227" s="1221" t="str">
        <f t="shared" si="287"/>
        <v/>
      </c>
      <c r="H227" s="1222" t="str">
        <f t="shared" ref="H227:I227" si="343">IF(H195=0,"",H195)</f>
        <v/>
      </c>
      <c r="I227" s="1221" t="str">
        <f t="shared" si="343"/>
        <v/>
      </c>
      <c r="J227" s="1221" t="str">
        <f t="shared" si="289"/>
        <v/>
      </c>
      <c r="K227" s="1223" t="str">
        <f t="shared" si="290"/>
        <v/>
      </c>
      <c r="L227" s="1216"/>
      <c r="M227" s="1224" t="str">
        <f t="shared" ref="M227:N227" si="344">IF(M195="","",M195)</f>
        <v/>
      </c>
      <c r="N227" s="1225" t="str">
        <f t="shared" si="344"/>
        <v/>
      </c>
      <c r="O227" s="1226" t="str">
        <f t="shared" si="295"/>
        <v/>
      </c>
      <c r="P227" s="1226" t="str">
        <f t="shared" si="296"/>
        <v/>
      </c>
      <c r="Q227" s="1227" t="str">
        <f t="shared" si="297"/>
        <v/>
      </c>
      <c r="R227" s="1216"/>
      <c r="S227" s="1228" t="str">
        <f t="shared" si="298"/>
        <v/>
      </c>
      <c r="T227" s="1228" t="str">
        <f t="shared" si="299"/>
        <v/>
      </c>
      <c r="U227" s="1229" t="str">
        <f t="shared" si="291"/>
        <v/>
      </c>
      <c r="V227" s="1212"/>
      <c r="W227" s="723"/>
      <c r="X227" s="604"/>
      <c r="Y227" s="604"/>
      <c r="Z227" s="890" t="str">
        <f t="shared" si="292"/>
        <v/>
      </c>
      <c r="AA227" s="865">
        <f t="shared" si="300"/>
        <v>0.62</v>
      </c>
      <c r="AB227" s="891" t="e">
        <f t="shared" si="301"/>
        <v>#VALUE!</v>
      </c>
      <c r="AC227" s="891" t="e">
        <f t="shared" si="302"/>
        <v>#VALUE!</v>
      </c>
      <c r="AD227" s="891" t="e">
        <f t="shared" si="303"/>
        <v>#VALUE!</v>
      </c>
      <c r="AE227" s="892" t="e">
        <f t="shared" si="304"/>
        <v>#VALUE!</v>
      </c>
      <c r="AF227" s="893" t="e">
        <f t="shared" si="305"/>
        <v>#VALUE!</v>
      </c>
      <c r="AG227" s="865">
        <f>IF(H227&gt;8,tab!C$132,tab!C$134)</f>
        <v>0.5</v>
      </c>
      <c r="AH227" s="866">
        <f t="shared" si="306"/>
        <v>0</v>
      </c>
      <c r="AI227" s="864">
        <f t="shared" si="307"/>
        <v>0</v>
      </c>
      <c r="AJ227" s="894"/>
      <c r="AK227" s="837"/>
      <c r="AL227" s="837"/>
      <c r="AM227" s="837"/>
      <c r="AN227" s="895"/>
      <c r="AO227" s="837"/>
      <c r="AP227" s="837"/>
      <c r="AQ227" s="874"/>
      <c r="AR227" s="837"/>
      <c r="AS227" s="837"/>
      <c r="AT227" s="837"/>
      <c r="AU227" s="836"/>
      <c r="AV227" s="836"/>
      <c r="AW227" s="869"/>
      <c r="AX227" s="836"/>
      <c r="AY227" s="837"/>
      <c r="AZ227" s="713"/>
    </row>
    <row r="228" spans="3:52" s="526" customFormat="1" ht="12.75" customHeight="1" x14ac:dyDescent="0.2">
      <c r="C228" s="1037"/>
      <c r="D228" s="1219" t="str">
        <f t="shared" ref="D228:F228" si="345">IF(D196=0,"",D196)</f>
        <v/>
      </c>
      <c r="E228" s="1219" t="str">
        <f t="shared" si="345"/>
        <v/>
      </c>
      <c r="F228" s="1219" t="str">
        <f t="shared" si="345"/>
        <v/>
      </c>
      <c r="G228" s="1221" t="str">
        <f t="shared" si="287"/>
        <v/>
      </c>
      <c r="H228" s="1222" t="str">
        <f t="shared" ref="H228:I228" si="346">IF(H196=0,"",H196)</f>
        <v/>
      </c>
      <c r="I228" s="1221" t="str">
        <f t="shared" si="346"/>
        <v/>
      </c>
      <c r="J228" s="1221" t="str">
        <f t="shared" si="289"/>
        <v/>
      </c>
      <c r="K228" s="1223" t="str">
        <f t="shared" si="290"/>
        <v/>
      </c>
      <c r="L228" s="1216"/>
      <c r="M228" s="1224" t="str">
        <f t="shared" ref="M228:N228" si="347">IF(M196="","",M196)</f>
        <v/>
      </c>
      <c r="N228" s="1225" t="str">
        <f t="shared" si="347"/>
        <v/>
      </c>
      <c r="O228" s="1226" t="str">
        <f t="shared" si="295"/>
        <v/>
      </c>
      <c r="P228" s="1226" t="str">
        <f t="shared" si="296"/>
        <v/>
      </c>
      <c r="Q228" s="1227" t="str">
        <f t="shared" si="297"/>
        <v/>
      </c>
      <c r="R228" s="1216"/>
      <c r="S228" s="1228" t="str">
        <f t="shared" si="298"/>
        <v/>
      </c>
      <c r="T228" s="1228" t="str">
        <f t="shared" si="299"/>
        <v/>
      </c>
      <c r="U228" s="1229" t="str">
        <f t="shared" si="291"/>
        <v/>
      </c>
      <c r="V228" s="1212"/>
      <c r="W228" s="723"/>
      <c r="X228" s="604"/>
      <c r="Y228" s="604"/>
      <c r="Z228" s="890" t="str">
        <f t="shared" si="292"/>
        <v/>
      </c>
      <c r="AA228" s="865">
        <f t="shared" si="300"/>
        <v>0.62</v>
      </c>
      <c r="AB228" s="891" t="e">
        <f t="shared" si="301"/>
        <v>#VALUE!</v>
      </c>
      <c r="AC228" s="891" t="e">
        <f t="shared" si="302"/>
        <v>#VALUE!</v>
      </c>
      <c r="AD228" s="891" t="e">
        <f t="shared" si="303"/>
        <v>#VALUE!</v>
      </c>
      <c r="AE228" s="892" t="e">
        <f t="shared" si="304"/>
        <v>#VALUE!</v>
      </c>
      <c r="AF228" s="893" t="e">
        <f t="shared" si="305"/>
        <v>#VALUE!</v>
      </c>
      <c r="AG228" s="865">
        <f>IF(H228&gt;8,tab!C$132,tab!C$134)</f>
        <v>0.5</v>
      </c>
      <c r="AH228" s="866">
        <f t="shared" si="306"/>
        <v>0</v>
      </c>
      <c r="AI228" s="864">
        <f t="shared" si="307"/>
        <v>0</v>
      </c>
      <c r="AJ228" s="894"/>
      <c r="AK228" s="837"/>
      <c r="AL228" s="837"/>
      <c r="AM228" s="837"/>
      <c r="AN228" s="895"/>
      <c r="AO228" s="837"/>
      <c r="AP228" s="837"/>
      <c r="AQ228" s="874"/>
      <c r="AR228" s="837"/>
      <c r="AS228" s="837"/>
      <c r="AT228" s="837"/>
      <c r="AU228" s="836"/>
      <c r="AV228" s="836"/>
      <c r="AW228" s="869"/>
      <c r="AX228" s="836"/>
      <c r="AY228" s="837"/>
      <c r="AZ228" s="713"/>
    </row>
    <row r="229" spans="3:52" s="526" customFormat="1" x14ac:dyDescent="0.2">
      <c r="C229" s="1037"/>
      <c r="D229" s="1474"/>
      <c r="E229" s="1474"/>
      <c r="F229" s="1474"/>
      <c r="G229" s="1475"/>
      <c r="H229" s="1476"/>
      <c r="I229" s="1475"/>
      <c r="J229" s="1477"/>
      <c r="K229" s="1478">
        <f>SUM(K209:K228)</f>
        <v>1</v>
      </c>
      <c r="L229" s="1218"/>
      <c r="M229" s="1479">
        <f>SUM(M209:M228)</f>
        <v>0</v>
      </c>
      <c r="N229" s="1479">
        <f>SUM(N209:N228)</f>
        <v>0</v>
      </c>
      <c r="O229" s="1232">
        <f t="shared" ref="O229:Q229" si="348">SUM(O209:O228)</f>
        <v>40</v>
      </c>
      <c r="P229" s="1232">
        <f t="shared" si="348"/>
        <v>0</v>
      </c>
      <c r="Q229" s="1232">
        <f t="shared" si="348"/>
        <v>40</v>
      </c>
      <c r="R229" s="1218"/>
      <c r="S229" s="1233">
        <f>SUM(S209:S228)</f>
        <v>84687.811356238701</v>
      </c>
      <c r="T229" s="1233">
        <f t="shared" ref="T229:U229" si="349">SUM(T209:T228)</f>
        <v>2092.3486437613019</v>
      </c>
      <c r="U229" s="1233">
        <f t="shared" si="349"/>
        <v>86780.160000000003</v>
      </c>
      <c r="V229" s="1213"/>
      <c r="W229" s="728"/>
      <c r="X229" s="604"/>
      <c r="Y229" s="604"/>
      <c r="Z229" s="873"/>
      <c r="AA229" s="873"/>
      <c r="AB229" s="873"/>
      <c r="AC229" s="873"/>
      <c r="AD229" s="873"/>
      <c r="AE229" s="873"/>
      <c r="AF229" s="873"/>
      <c r="AG229" s="873"/>
      <c r="AH229" s="867">
        <f t="shared" ref="AH229:AI229" si="350">SUM(AH209:AH228)</f>
        <v>0</v>
      </c>
      <c r="AI229" s="870">
        <f t="shared" si="350"/>
        <v>0</v>
      </c>
      <c r="AJ229" s="846"/>
      <c r="AK229" s="837"/>
      <c r="AL229" s="837"/>
      <c r="AM229" s="837"/>
      <c r="AN229" s="837"/>
      <c r="AO229" s="837"/>
      <c r="AP229" s="837"/>
      <c r="AQ229" s="874"/>
      <c r="AR229" s="837"/>
      <c r="AS229" s="837"/>
      <c r="AT229" s="837"/>
      <c r="AU229" s="836"/>
      <c r="AV229" s="836"/>
      <c r="AW229" s="836"/>
      <c r="AX229" s="836"/>
      <c r="AY229" s="837"/>
      <c r="AZ229" s="713"/>
    </row>
    <row r="230" spans="3:52" s="526" customFormat="1" x14ac:dyDescent="0.2">
      <c r="D230" s="708"/>
      <c r="E230" s="708"/>
      <c r="F230" s="708"/>
      <c r="G230" s="527"/>
      <c r="H230" s="709"/>
      <c r="I230" s="710"/>
      <c r="J230" s="710"/>
      <c r="K230" s="711"/>
      <c r="L230" s="711"/>
      <c r="M230" s="710"/>
      <c r="N230" s="711"/>
      <c r="O230" s="710"/>
      <c r="P230" s="527"/>
      <c r="Q230" s="527"/>
      <c r="R230" s="711"/>
      <c r="U230" s="712"/>
      <c r="V230" s="712"/>
      <c r="W230" s="712"/>
      <c r="X230" s="604"/>
      <c r="Y230" s="604"/>
      <c r="Z230" s="873"/>
      <c r="AA230" s="866"/>
      <c r="AB230" s="864"/>
      <c r="AC230" s="837"/>
      <c r="AD230" s="837"/>
      <c r="AE230" s="837"/>
      <c r="AF230" s="837"/>
      <c r="AG230" s="837"/>
      <c r="AH230" s="837"/>
      <c r="AI230" s="837"/>
      <c r="AJ230" s="874"/>
      <c r="AK230" s="837"/>
      <c r="AL230" s="837"/>
      <c r="AM230" s="837"/>
      <c r="AN230" s="837"/>
      <c r="AO230" s="837"/>
      <c r="AP230" s="837"/>
      <c r="AQ230" s="837"/>
      <c r="AR230" s="837"/>
      <c r="AS230" s="874"/>
      <c r="AT230" s="837"/>
      <c r="AU230" s="836"/>
      <c r="AV230" s="836"/>
      <c r="AW230" s="836"/>
      <c r="AX230" s="836"/>
      <c r="AY230" s="836"/>
    </row>
    <row r="231" spans="3:52" s="526" customFormat="1" x14ac:dyDescent="0.2">
      <c r="D231" s="708"/>
      <c r="E231" s="708"/>
      <c r="F231" s="708"/>
      <c r="G231" s="527"/>
      <c r="H231" s="709"/>
      <c r="I231" s="710"/>
      <c r="J231" s="710"/>
      <c r="K231" s="711"/>
      <c r="L231" s="711"/>
      <c r="M231" s="710"/>
      <c r="N231" s="711"/>
      <c r="O231" s="710"/>
      <c r="P231" s="527"/>
      <c r="Q231" s="527"/>
      <c r="R231" s="711"/>
      <c r="U231" s="712"/>
      <c r="V231" s="712"/>
      <c r="W231" s="712"/>
      <c r="X231" s="604"/>
      <c r="Y231" s="604"/>
      <c r="Z231" s="873"/>
      <c r="AA231" s="866"/>
      <c r="AB231" s="864"/>
      <c r="AC231" s="837"/>
      <c r="AD231" s="837"/>
      <c r="AE231" s="837"/>
      <c r="AF231" s="837"/>
      <c r="AG231" s="837"/>
      <c r="AH231" s="837"/>
      <c r="AI231" s="837"/>
      <c r="AJ231" s="874"/>
      <c r="AK231" s="837"/>
      <c r="AL231" s="837"/>
      <c r="AM231" s="837"/>
      <c r="AN231" s="837"/>
      <c r="AO231" s="837"/>
      <c r="AP231" s="837"/>
      <c r="AQ231" s="837"/>
      <c r="AR231" s="837"/>
      <c r="AS231" s="874"/>
      <c r="AT231" s="837"/>
      <c r="AU231" s="836"/>
      <c r="AV231" s="836"/>
      <c r="AW231" s="836"/>
      <c r="AX231" s="836"/>
      <c r="AY231" s="836"/>
    </row>
    <row r="232" spans="3:52" s="526" customFormat="1" x14ac:dyDescent="0.2">
      <c r="D232" s="708"/>
      <c r="E232" s="708"/>
      <c r="F232" s="708"/>
      <c r="G232" s="527"/>
      <c r="H232" s="709"/>
      <c r="I232" s="710"/>
      <c r="J232" s="710"/>
      <c r="K232" s="711"/>
      <c r="L232" s="711"/>
      <c r="M232" s="710"/>
      <c r="N232" s="711"/>
      <c r="O232" s="710"/>
      <c r="P232" s="527"/>
      <c r="Q232" s="527"/>
      <c r="R232" s="711"/>
      <c r="U232" s="712"/>
      <c r="V232" s="712"/>
      <c r="W232" s="712"/>
      <c r="X232" s="604"/>
      <c r="Y232" s="604"/>
      <c r="Z232" s="873"/>
      <c r="AA232" s="866"/>
      <c r="AB232" s="864"/>
      <c r="AC232" s="837"/>
      <c r="AD232" s="837"/>
      <c r="AE232" s="837"/>
      <c r="AF232" s="837"/>
      <c r="AG232" s="837"/>
      <c r="AH232" s="837"/>
      <c r="AI232" s="837"/>
      <c r="AJ232" s="874"/>
      <c r="AK232" s="837"/>
      <c r="AL232" s="837"/>
      <c r="AM232" s="837"/>
      <c r="AN232" s="837"/>
      <c r="AO232" s="837"/>
      <c r="AP232" s="837"/>
      <c r="AQ232" s="837"/>
      <c r="AR232" s="837"/>
      <c r="AS232" s="874"/>
      <c r="AT232" s="837"/>
      <c r="AU232" s="836"/>
      <c r="AV232" s="836"/>
      <c r="AW232" s="836"/>
      <c r="AX232" s="836"/>
      <c r="AY232" s="836"/>
    </row>
    <row r="233" spans="3:52" s="526" customFormat="1" x14ac:dyDescent="0.2">
      <c r="D233" s="708"/>
      <c r="E233" s="708"/>
      <c r="F233" s="708"/>
      <c r="G233" s="527"/>
      <c r="H233" s="709"/>
      <c r="I233" s="710"/>
      <c r="J233" s="710"/>
      <c r="K233" s="711"/>
      <c r="L233" s="711"/>
      <c r="M233" s="710"/>
      <c r="N233" s="711"/>
      <c r="O233" s="710"/>
      <c r="P233" s="527"/>
      <c r="Q233" s="527"/>
      <c r="R233" s="711"/>
      <c r="U233" s="712"/>
      <c r="V233" s="712"/>
      <c r="W233" s="712"/>
      <c r="X233" s="604"/>
      <c r="Y233" s="604"/>
      <c r="Z233" s="873"/>
      <c r="AA233" s="866"/>
      <c r="AB233" s="864"/>
      <c r="AC233" s="837"/>
      <c r="AD233" s="837"/>
      <c r="AE233" s="837"/>
      <c r="AF233" s="837"/>
      <c r="AG233" s="837"/>
      <c r="AH233" s="837"/>
      <c r="AI233" s="837"/>
      <c r="AJ233" s="874"/>
      <c r="AK233" s="837"/>
      <c r="AL233" s="837"/>
      <c r="AM233" s="837"/>
      <c r="AN233" s="837"/>
      <c r="AO233" s="837"/>
      <c r="AP233" s="837"/>
      <c r="AQ233" s="837"/>
      <c r="AR233" s="837"/>
      <c r="AS233" s="874"/>
      <c r="AT233" s="837"/>
      <c r="AU233" s="836"/>
      <c r="AV233" s="836"/>
      <c r="AW233" s="836"/>
      <c r="AX233" s="836"/>
      <c r="AY233" s="836"/>
    </row>
    <row r="234" spans="3:52" s="526" customFormat="1" x14ac:dyDescent="0.2">
      <c r="D234" s="708"/>
      <c r="E234" s="708"/>
      <c r="F234" s="708"/>
      <c r="G234" s="527"/>
      <c r="H234" s="709"/>
      <c r="I234" s="710"/>
      <c r="J234" s="710"/>
      <c r="K234" s="711"/>
      <c r="L234" s="711"/>
      <c r="M234" s="710"/>
      <c r="N234" s="711"/>
      <c r="O234" s="710"/>
      <c r="P234" s="527"/>
      <c r="Q234" s="527"/>
      <c r="R234" s="711"/>
      <c r="U234" s="712"/>
      <c r="V234" s="712"/>
      <c r="W234" s="712"/>
      <c r="X234" s="604"/>
      <c r="Y234" s="604"/>
      <c r="Z234" s="873"/>
      <c r="AA234" s="866"/>
      <c r="AB234" s="864"/>
      <c r="AC234" s="837"/>
      <c r="AD234" s="837"/>
      <c r="AE234" s="837"/>
      <c r="AF234" s="837"/>
      <c r="AG234" s="837"/>
      <c r="AH234" s="837"/>
      <c r="AI234" s="837"/>
      <c r="AJ234" s="874"/>
      <c r="AK234" s="837"/>
      <c r="AL234" s="837"/>
      <c r="AM234" s="837"/>
      <c r="AN234" s="837"/>
      <c r="AO234" s="837"/>
      <c r="AP234" s="837"/>
      <c r="AQ234" s="837"/>
      <c r="AR234" s="837"/>
      <c r="AS234" s="874"/>
      <c r="AT234" s="837"/>
      <c r="AU234" s="836"/>
      <c r="AV234" s="836"/>
      <c r="AW234" s="836"/>
      <c r="AX234" s="836"/>
      <c r="AY234" s="836"/>
    </row>
    <row r="235" spans="3:52" s="526" customFormat="1" x14ac:dyDescent="0.2">
      <c r="D235" s="708"/>
      <c r="E235" s="708"/>
      <c r="F235" s="708"/>
      <c r="G235" s="527"/>
      <c r="H235" s="709"/>
      <c r="I235" s="710"/>
      <c r="J235" s="710"/>
      <c r="K235" s="711"/>
      <c r="L235" s="711"/>
      <c r="M235" s="710"/>
      <c r="N235" s="711"/>
      <c r="O235" s="710"/>
      <c r="P235" s="527"/>
      <c r="Q235" s="527"/>
      <c r="R235" s="711"/>
      <c r="U235" s="712"/>
      <c r="V235" s="712"/>
      <c r="W235" s="712"/>
      <c r="X235" s="604"/>
      <c r="Y235" s="604"/>
      <c r="Z235" s="873"/>
      <c r="AA235" s="866"/>
      <c r="AB235" s="864"/>
      <c r="AC235" s="837"/>
      <c r="AD235" s="837"/>
      <c r="AE235" s="837"/>
      <c r="AF235" s="837"/>
      <c r="AG235" s="837"/>
      <c r="AH235" s="837"/>
      <c r="AI235" s="837"/>
      <c r="AJ235" s="874"/>
      <c r="AK235" s="837"/>
      <c r="AL235" s="837"/>
      <c r="AM235" s="837"/>
      <c r="AN235" s="837"/>
      <c r="AO235" s="837"/>
      <c r="AP235" s="837"/>
      <c r="AQ235" s="837"/>
      <c r="AR235" s="837"/>
      <c r="AS235" s="874"/>
      <c r="AT235" s="837"/>
      <c r="AU235" s="836"/>
      <c r="AV235" s="836"/>
      <c r="AW235" s="836"/>
      <c r="AX235" s="836"/>
      <c r="AY235" s="836"/>
    </row>
    <row r="236" spans="3:52" s="526" customFormat="1" x14ac:dyDescent="0.2">
      <c r="D236" s="708"/>
      <c r="E236" s="708"/>
      <c r="F236" s="708"/>
      <c r="G236" s="527"/>
      <c r="H236" s="709"/>
      <c r="I236" s="710"/>
      <c r="J236" s="710"/>
      <c r="K236" s="711"/>
      <c r="L236" s="711"/>
      <c r="M236" s="710"/>
      <c r="N236" s="711"/>
      <c r="O236" s="710"/>
      <c r="P236" s="527"/>
      <c r="Q236" s="527"/>
      <c r="R236" s="711"/>
      <c r="U236" s="712"/>
      <c r="V236" s="712"/>
      <c r="W236" s="712"/>
      <c r="X236" s="604"/>
      <c r="Y236" s="604"/>
      <c r="Z236" s="873"/>
      <c r="AA236" s="866"/>
      <c r="AB236" s="864"/>
      <c r="AC236" s="837"/>
      <c r="AD236" s="837"/>
      <c r="AE236" s="837"/>
      <c r="AF236" s="837"/>
      <c r="AG236" s="837"/>
      <c r="AH236" s="837"/>
      <c r="AI236" s="837"/>
      <c r="AJ236" s="874"/>
      <c r="AK236" s="837"/>
      <c r="AL236" s="837"/>
      <c r="AM236" s="837"/>
      <c r="AN236" s="837"/>
      <c r="AO236" s="837"/>
      <c r="AP236" s="837"/>
      <c r="AQ236" s="837"/>
      <c r="AR236" s="837"/>
      <c r="AS236" s="874"/>
      <c r="AT236" s="837"/>
      <c r="AU236" s="836"/>
      <c r="AV236" s="836"/>
      <c r="AW236" s="836"/>
      <c r="AX236" s="836"/>
      <c r="AY236" s="836"/>
    </row>
    <row r="237" spans="3:52" s="526" customFormat="1" x14ac:dyDescent="0.2">
      <c r="D237" s="708"/>
      <c r="E237" s="708"/>
      <c r="F237" s="708"/>
      <c r="G237" s="527"/>
      <c r="H237" s="709"/>
      <c r="I237" s="710"/>
      <c r="J237" s="710"/>
      <c r="K237" s="711"/>
      <c r="L237" s="711"/>
      <c r="M237" s="710"/>
      <c r="N237" s="711"/>
      <c r="O237" s="710"/>
      <c r="P237" s="527"/>
      <c r="Q237" s="527"/>
      <c r="R237" s="711"/>
      <c r="U237" s="712"/>
      <c r="V237" s="712"/>
      <c r="W237" s="712"/>
      <c r="X237" s="604"/>
      <c r="Y237" s="604"/>
      <c r="Z237" s="873"/>
      <c r="AA237" s="866"/>
      <c r="AB237" s="864"/>
      <c r="AC237" s="837"/>
      <c r="AD237" s="837"/>
      <c r="AE237" s="837"/>
      <c r="AF237" s="837"/>
      <c r="AG237" s="837"/>
      <c r="AH237" s="837"/>
      <c r="AI237" s="837"/>
      <c r="AJ237" s="874"/>
      <c r="AK237" s="837"/>
      <c r="AL237" s="837"/>
      <c r="AM237" s="837"/>
      <c r="AN237" s="837"/>
      <c r="AO237" s="837"/>
      <c r="AP237" s="837"/>
      <c r="AQ237" s="837"/>
      <c r="AR237" s="837"/>
      <c r="AS237" s="874"/>
      <c r="AT237" s="837"/>
      <c r="AU237" s="836"/>
      <c r="AV237" s="836"/>
      <c r="AW237" s="836"/>
      <c r="AX237" s="836"/>
      <c r="AY237" s="836"/>
    </row>
    <row r="238" spans="3:52" s="526" customFormat="1" x14ac:dyDescent="0.2">
      <c r="D238" s="708"/>
      <c r="E238" s="708"/>
      <c r="F238" s="708"/>
      <c r="G238" s="527"/>
      <c r="H238" s="709"/>
      <c r="I238" s="710"/>
      <c r="J238" s="710"/>
      <c r="K238" s="711"/>
      <c r="L238" s="711"/>
      <c r="M238" s="710"/>
      <c r="N238" s="711"/>
      <c r="O238" s="710"/>
      <c r="P238" s="527"/>
      <c r="Q238" s="527"/>
      <c r="R238" s="711"/>
      <c r="U238" s="712"/>
      <c r="V238" s="712"/>
      <c r="W238" s="712"/>
      <c r="X238" s="604"/>
      <c r="Y238" s="604"/>
      <c r="Z238" s="873"/>
      <c r="AA238" s="866"/>
      <c r="AB238" s="864"/>
      <c r="AC238" s="837"/>
      <c r="AD238" s="837"/>
      <c r="AE238" s="837"/>
      <c r="AF238" s="837"/>
      <c r="AG238" s="837"/>
      <c r="AH238" s="837"/>
      <c r="AI238" s="837"/>
      <c r="AJ238" s="874"/>
      <c r="AK238" s="837"/>
      <c r="AL238" s="837"/>
      <c r="AM238" s="837"/>
      <c r="AN238" s="837"/>
      <c r="AO238" s="837"/>
      <c r="AP238" s="837"/>
      <c r="AQ238" s="837"/>
      <c r="AR238" s="837"/>
      <c r="AS238" s="874"/>
      <c r="AT238" s="837"/>
      <c r="AU238" s="836"/>
      <c r="AV238" s="836"/>
      <c r="AW238" s="836"/>
      <c r="AX238" s="836"/>
      <c r="AY238" s="836"/>
    </row>
    <row r="239" spans="3:52" s="526" customFormat="1" x14ac:dyDescent="0.2">
      <c r="D239" s="708"/>
      <c r="E239" s="708"/>
      <c r="F239" s="708"/>
      <c r="G239" s="527"/>
      <c r="H239" s="709"/>
      <c r="I239" s="710"/>
      <c r="J239" s="710"/>
      <c r="K239" s="711"/>
      <c r="L239" s="711"/>
      <c r="M239" s="710"/>
      <c r="N239" s="711"/>
      <c r="O239" s="710"/>
      <c r="P239" s="527"/>
      <c r="Q239" s="527"/>
      <c r="R239" s="711"/>
      <c r="U239" s="712"/>
      <c r="V239" s="712"/>
      <c r="W239" s="712"/>
      <c r="X239" s="604"/>
      <c r="Y239" s="604"/>
      <c r="Z239" s="873"/>
      <c r="AA239" s="866"/>
      <c r="AB239" s="864"/>
      <c r="AC239" s="837"/>
      <c r="AD239" s="837"/>
      <c r="AE239" s="837"/>
      <c r="AF239" s="837"/>
      <c r="AG239" s="837"/>
      <c r="AH239" s="837"/>
      <c r="AI239" s="837"/>
      <c r="AJ239" s="874"/>
      <c r="AK239" s="837"/>
      <c r="AL239" s="837"/>
      <c r="AM239" s="837"/>
      <c r="AN239" s="837"/>
      <c r="AO239" s="837"/>
      <c r="AP239" s="837"/>
      <c r="AQ239" s="837"/>
      <c r="AR239" s="837"/>
      <c r="AS239" s="874"/>
      <c r="AT239" s="837"/>
      <c r="AU239" s="836"/>
      <c r="AV239" s="836"/>
      <c r="AW239" s="836"/>
      <c r="AX239" s="836"/>
      <c r="AY239" s="836"/>
    </row>
    <row r="240" spans="3:52" s="526" customFormat="1" x14ac:dyDescent="0.2">
      <c r="D240" s="735" t="s">
        <v>206</v>
      </c>
      <c r="E240" s="708"/>
      <c r="F240" s="708"/>
      <c r="G240" s="527"/>
      <c r="H240" s="709"/>
      <c r="I240" s="710"/>
      <c r="J240" s="710"/>
      <c r="K240" s="711"/>
      <c r="L240" s="711"/>
      <c r="M240" s="710"/>
      <c r="N240" s="711"/>
      <c r="O240" s="710"/>
      <c r="P240" s="527"/>
      <c r="Q240" s="527"/>
      <c r="R240" s="711"/>
      <c r="U240" s="712"/>
      <c r="V240" s="712"/>
      <c r="W240" s="712"/>
      <c r="X240" s="604"/>
      <c r="Y240" s="604"/>
      <c r="Z240" s="873"/>
      <c r="AA240" s="866"/>
      <c r="AB240" s="864"/>
      <c r="AC240" s="837"/>
      <c r="AD240" s="837"/>
      <c r="AE240" s="837"/>
      <c r="AF240" s="837"/>
      <c r="AG240" s="837"/>
      <c r="AH240" s="837"/>
      <c r="AI240" s="837"/>
      <c r="AJ240" s="874"/>
      <c r="AK240" s="837"/>
      <c r="AL240" s="837"/>
      <c r="AM240" s="837"/>
      <c r="AN240" s="837"/>
      <c r="AO240" s="837"/>
      <c r="AP240" s="837"/>
      <c r="AQ240" s="837"/>
      <c r="AR240" s="837"/>
      <c r="AS240" s="874"/>
      <c r="AT240" s="837"/>
      <c r="AU240" s="836"/>
      <c r="AV240" s="836"/>
      <c r="AW240" s="836"/>
      <c r="AX240" s="836"/>
      <c r="AY240" s="836"/>
    </row>
    <row r="241" spans="4:51" s="526" customFormat="1" x14ac:dyDescent="0.2">
      <c r="D241" s="735" t="s">
        <v>207</v>
      </c>
      <c r="E241" s="708"/>
      <c r="F241" s="708"/>
      <c r="G241" s="527"/>
      <c r="H241" s="709"/>
      <c r="I241" s="710"/>
      <c r="J241" s="710"/>
      <c r="K241" s="711"/>
      <c r="L241" s="711"/>
      <c r="M241" s="710"/>
      <c r="N241" s="711"/>
      <c r="O241" s="710"/>
      <c r="P241" s="527"/>
      <c r="Q241" s="527"/>
      <c r="R241" s="711"/>
      <c r="U241" s="712"/>
      <c r="V241" s="712"/>
      <c r="W241" s="712"/>
      <c r="X241" s="604"/>
      <c r="Y241" s="604"/>
      <c r="Z241" s="873"/>
      <c r="AA241" s="866"/>
      <c r="AB241" s="864"/>
      <c r="AC241" s="837"/>
      <c r="AD241" s="837"/>
      <c r="AE241" s="837"/>
      <c r="AF241" s="837"/>
      <c r="AG241" s="837"/>
      <c r="AH241" s="837"/>
      <c r="AI241" s="837"/>
      <c r="AJ241" s="874"/>
      <c r="AK241" s="837"/>
      <c r="AL241" s="837"/>
      <c r="AM241" s="837"/>
      <c r="AN241" s="837"/>
      <c r="AO241" s="837"/>
      <c r="AP241" s="837"/>
      <c r="AQ241" s="837"/>
      <c r="AR241" s="837"/>
      <c r="AS241" s="874"/>
      <c r="AT241" s="837"/>
      <c r="AU241" s="836"/>
      <c r="AV241" s="836"/>
      <c r="AW241" s="836"/>
      <c r="AX241" s="836"/>
      <c r="AY241" s="836"/>
    </row>
    <row r="242" spans="4:51" s="526" customFormat="1" x14ac:dyDescent="0.2">
      <c r="D242" s="735" t="s">
        <v>208</v>
      </c>
      <c r="E242" s="708"/>
      <c r="F242" s="708"/>
      <c r="G242" s="527"/>
      <c r="H242" s="709"/>
      <c r="I242" s="710"/>
      <c r="J242" s="710"/>
      <c r="K242" s="711"/>
      <c r="L242" s="711"/>
      <c r="M242" s="710"/>
      <c r="N242" s="711"/>
      <c r="O242" s="710"/>
      <c r="P242" s="527"/>
      <c r="Q242" s="527"/>
      <c r="R242" s="711"/>
      <c r="U242" s="712"/>
      <c r="V242" s="712"/>
      <c r="W242" s="712"/>
      <c r="X242" s="604"/>
      <c r="Y242" s="604"/>
      <c r="Z242" s="873"/>
      <c r="AA242" s="866"/>
      <c r="AB242" s="864"/>
      <c r="AC242" s="837"/>
      <c r="AD242" s="837"/>
      <c r="AE242" s="837"/>
      <c r="AF242" s="837"/>
      <c r="AG242" s="837"/>
      <c r="AH242" s="837"/>
      <c r="AI242" s="837"/>
      <c r="AJ242" s="874"/>
      <c r="AK242" s="837"/>
      <c r="AL242" s="837"/>
      <c r="AM242" s="837"/>
      <c r="AN242" s="837"/>
      <c r="AO242" s="837"/>
      <c r="AP242" s="837"/>
      <c r="AQ242" s="837"/>
      <c r="AR242" s="837"/>
      <c r="AS242" s="874"/>
      <c r="AT242" s="837"/>
      <c r="AU242" s="836"/>
      <c r="AV242" s="836"/>
      <c r="AW242" s="836"/>
      <c r="AX242" s="836"/>
      <c r="AY242" s="836"/>
    </row>
    <row r="243" spans="4:51" s="526" customFormat="1" x14ac:dyDescent="0.2">
      <c r="D243" s="735" t="s">
        <v>209</v>
      </c>
      <c r="E243" s="708"/>
      <c r="F243" s="708"/>
      <c r="G243" s="527"/>
      <c r="H243" s="709"/>
      <c r="I243" s="710"/>
      <c r="J243" s="710"/>
      <c r="K243" s="711"/>
      <c r="L243" s="711"/>
      <c r="M243" s="710"/>
      <c r="N243" s="711"/>
      <c r="O243" s="710"/>
      <c r="P243" s="527"/>
      <c r="Q243" s="527"/>
      <c r="R243" s="711"/>
      <c r="U243" s="712"/>
      <c r="V243" s="712"/>
      <c r="W243" s="712"/>
      <c r="X243" s="604"/>
      <c r="Y243" s="604"/>
      <c r="Z243" s="873"/>
      <c r="AA243" s="866"/>
      <c r="AB243" s="864"/>
      <c r="AC243" s="837"/>
      <c r="AD243" s="837"/>
      <c r="AE243" s="837"/>
      <c r="AF243" s="837"/>
      <c r="AG243" s="837"/>
      <c r="AH243" s="837"/>
      <c r="AI243" s="837"/>
      <c r="AJ243" s="874"/>
      <c r="AK243" s="837"/>
      <c r="AL243" s="837"/>
      <c r="AM243" s="837"/>
      <c r="AN243" s="837"/>
      <c r="AO243" s="837"/>
      <c r="AP243" s="837"/>
      <c r="AQ243" s="837"/>
      <c r="AR243" s="837"/>
      <c r="AS243" s="874"/>
      <c r="AT243" s="837"/>
      <c r="AU243" s="836"/>
      <c r="AV243" s="836"/>
      <c r="AW243" s="836"/>
      <c r="AX243" s="836"/>
      <c r="AY243" s="836"/>
    </row>
    <row r="244" spans="4:51" s="526" customFormat="1" x14ac:dyDescent="0.2">
      <c r="D244" s="735" t="s">
        <v>198</v>
      </c>
      <c r="E244" s="708"/>
      <c r="F244" s="708"/>
      <c r="G244" s="527"/>
      <c r="H244" s="709"/>
      <c r="I244" s="710"/>
      <c r="J244" s="710"/>
      <c r="K244" s="711"/>
      <c r="L244" s="711"/>
      <c r="M244" s="710"/>
      <c r="N244" s="711"/>
      <c r="O244" s="710"/>
      <c r="P244" s="527"/>
      <c r="Q244" s="527"/>
      <c r="R244" s="711"/>
      <c r="U244" s="712"/>
      <c r="V244" s="712"/>
      <c r="W244" s="712"/>
      <c r="X244" s="604"/>
      <c r="Y244" s="604"/>
      <c r="Z244" s="873"/>
      <c r="AA244" s="866"/>
      <c r="AB244" s="864"/>
      <c r="AC244" s="837"/>
      <c r="AD244" s="837"/>
      <c r="AE244" s="837"/>
      <c r="AF244" s="837"/>
      <c r="AG244" s="837"/>
      <c r="AH244" s="837"/>
      <c r="AI244" s="837"/>
      <c r="AJ244" s="874"/>
      <c r="AK244" s="837"/>
      <c r="AL244" s="837"/>
      <c r="AM244" s="837"/>
      <c r="AN244" s="837"/>
      <c r="AO244" s="837"/>
      <c r="AP244" s="837"/>
      <c r="AQ244" s="837"/>
      <c r="AR244" s="837"/>
      <c r="AS244" s="874"/>
      <c r="AT244" s="837"/>
      <c r="AU244" s="836"/>
      <c r="AV244" s="836"/>
      <c r="AW244" s="836"/>
      <c r="AX244" s="836"/>
      <c r="AY244" s="836"/>
    </row>
    <row r="245" spans="4:51" s="526" customFormat="1" x14ac:dyDescent="0.2">
      <c r="D245" s="735" t="s">
        <v>199</v>
      </c>
      <c r="E245" s="708"/>
      <c r="F245" s="708"/>
      <c r="G245" s="527"/>
      <c r="H245" s="709"/>
      <c r="I245" s="710"/>
      <c r="J245" s="710"/>
      <c r="K245" s="711"/>
      <c r="L245" s="711"/>
      <c r="M245" s="710"/>
      <c r="N245" s="711"/>
      <c r="O245" s="710"/>
      <c r="P245" s="527"/>
      <c r="Q245" s="527"/>
      <c r="R245" s="711"/>
      <c r="U245" s="712"/>
      <c r="V245" s="712"/>
      <c r="W245" s="712"/>
      <c r="X245" s="604"/>
      <c r="Y245" s="604"/>
      <c r="Z245" s="873"/>
      <c r="AA245" s="866"/>
      <c r="AB245" s="864"/>
      <c r="AC245" s="837"/>
      <c r="AD245" s="837"/>
      <c r="AE245" s="837"/>
      <c r="AF245" s="837"/>
      <c r="AG245" s="837"/>
      <c r="AH245" s="837"/>
      <c r="AI245" s="837"/>
      <c r="AJ245" s="874"/>
      <c r="AK245" s="837"/>
      <c r="AL245" s="837"/>
      <c r="AM245" s="837"/>
      <c r="AN245" s="837"/>
      <c r="AO245" s="837"/>
      <c r="AP245" s="837"/>
      <c r="AQ245" s="837"/>
      <c r="AR245" s="837"/>
      <c r="AS245" s="874"/>
      <c r="AT245" s="837"/>
      <c r="AU245" s="836"/>
      <c r="AV245" s="836"/>
      <c r="AW245" s="836"/>
      <c r="AX245" s="836"/>
      <c r="AY245" s="836"/>
    </row>
    <row r="246" spans="4:51" s="526" customFormat="1" x14ac:dyDescent="0.2">
      <c r="D246" s="735" t="s">
        <v>200</v>
      </c>
      <c r="E246" s="708"/>
      <c r="F246" s="708"/>
      <c r="G246" s="527"/>
      <c r="H246" s="709"/>
      <c r="I246" s="710"/>
      <c r="J246" s="710"/>
      <c r="K246" s="711"/>
      <c r="L246" s="711"/>
      <c r="M246" s="710"/>
      <c r="N246" s="711"/>
      <c r="O246" s="710"/>
      <c r="P246" s="527"/>
      <c r="Q246" s="527"/>
      <c r="R246" s="711"/>
      <c r="U246" s="712"/>
      <c r="V246" s="712"/>
      <c r="W246" s="712"/>
      <c r="X246" s="604"/>
      <c r="Y246" s="604"/>
      <c r="Z246" s="873"/>
      <c r="AA246" s="866"/>
      <c r="AB246" s="864"/>
      <c r="AC246" s="837"/>
      <c r="AD246" s="837"/>
      <c r="AE246" s="837"/>
      <c r="AF246" s="837"/>
      <c r="AG246" s="837"/>
      <c r="AH246" s="837"/>
      <c r="AI246" s="837"/>
      <c r="AJ246" s="874"/>
      <c r="AK246" s="837"/>
      <c r="AL246" s="837"/>
      <c r="AM246" s="837"/>
      <c r="AN246" s="837"/>
      <c r="AO246" s="837"/>
      <c r="AP246" s="837"/>
      <c r="AQ246" s="837"/>
      <c r="AR246" s="837"/>
      <c r="AS246" s="874"/>
      <c r="AT246" s="837"/>
      <c r="AU246" s="836"/>
      <c r="AV246" s="836"/>
      <c r="AW246" s="836"/>
      <c r="AX246" s="836"/>
      <c r="AY246" s="836"/>
    </row>
    <row r="247" spans="4:51" s="526" customFormat="1" x14ac:dyDescent="0.2">
      <c r="D247" s="735" t="s">
        <v>201</v>
      </c>
      <c r="E247" s="708"/>
      <c r="F247" s="708"/>
      <c r="G247" s="527"/>
      <c r="H247" s="709"/>
      <c r="I247" s="710"/>
      <c r="J247" s="710"/>
      <c r="K247" s="711"/>
      <c r="L247" s="711"/>
      <c r="M247" s="710"/>
      <c r="N247" s="711"/>
      <c r="O247" s="710"/>
      <c r="P247" s="527"/>
      <c r="Q247" s="527"/>
      <c r="R247" s="711"/>
      <c r="U247" s="712"/>
      <c r="V247" s="712"/>
      <c r="W247" s="712"/>
      <c r="X247" s="604"/>
      <c r="Y247" s="604"/>
      <c r="Z247" s="873"/>
      <c r="AA247" s="866"/>
      <c r="AB247" s="864"/>
      <c r="AC247" s="837"/>
      <c r="AD247" s="837"/>
      <c r="AE247" s="837"/>
      <c r="AF247" s="837"/>
      <c r="AG247" s="837"/>
      <c r="AH247" s="837"/>
      <c r="AI247" s="837"/>
      <c r="AJ247" s="874"/>
      <c r="AK247" s="837"/>
      <c r="AL247" s="837"/>
      <c r="AM247" s="837"/>
      <c r="AN247" s="837"/>
      <c r="AO247" s="837"/>
      <c r="AP247" s="837"/>
      <c r="AQ247" s="837"/>
      <c r="AR247" s="837"/>
      <c r="AS247" s="874"/>
      <c r="AT247" s="837"/>
      <c r="AU247" s="836"/>
      <c r="AV247" s="836"/>
      <c r="AW247" s="836"/>
      <c r="AX247" s="836"/>
      <c r="AY247" s="836"/>
    </row>
    <row r="248" spans="4:51" s="526" customFormat="1" x14ac:dyDescent="0.2">
      <c r="D248" s="735" t="s">
        <v>202</v>
      </c>
      <c r="E248" s="708"/>
      <c r="F248" s="708"/>
      <c r="G248" s="527"/>
      <c r="H248" s="709"/>
      <c r="I248" s="710"/>
      <c r="J248" s="710"/>
      <c r="K248" s="711"/>
      <c r="L248" s="711"/>
      <c r="M248" s="710"/>
      <c r="N248" s="711"/>
      <c r="O248" s="710"/>
      <c r="P248" s="527"/>
      <c r="Q248" s="527"/>
      <c r="R248" s="711"/>
      <c r="U248" s="712"/>
      <c r="V248" s="712"/>
      <c r="W248" s="712"/>
      <c r="X248" s="604"/>
      <c r="Y248" s="604"/>
      <c r="Z248" s="873"/>
      <c r="AA248" s="866"/>
      <c r="AB248" s="864"/>
      <c r="AC248" s="837"/>
      <c r="AD248" s="837"/>
      <c r="AE248" s="837"/>
      <c r="AF248" s="837"/>
      <c r="AG248" s="837"/>
      <c r="AH248" s="837"/>
      <c r="AI248" s="837"/>
      <c r="AJ248" s="874"/>
      <c r="AK248" s="837"/>
      <c r="AL248" s="837"/>
      <c r="AM248" s="837"/>
      <c r="AN248" s="837"/>
      <c r="AO248" s="837"/>
      <c r="AP248" s="837"/>
      <c r="AQ248" s="837"/>
      <c r="AR248" s="837"/>
      <c r="AS248" s="874"/>
      <c r="AT248" s="837"/>
      <c r="AU248" s="836"/>
      <c r="AV248" s="836"/>
      <c r="AW248" s="836"/>
      <c r="AX248" s="836"/>
      <c r="AY248" s="836"/>
    </row>
    <row r="249" spans="4:51" s="526" customFormat="1" x14ac:dyDescent="0.2">
      <c r="D249" s="735" t="s">
        <v>203</v>
      </c>
      <c r="E249" s="708"/>
      <c r="F249" s="708"/>
      <c r="G249" s="527"/>
      <c r="H249" s="709"/>
      <c r="I249" s="710"/>
      <c r="J249" s="710"/>
      <c r="K249" s="711"/>
      <c r="L249" s="711"/>
      <c r="M249" s="710"/>
      <c r="N249" s="711"/>
      <c r="O249" s="710"/>
      <c r="P249" s="527"/>
      <c r="Q249" s="527"/>
      <c r="R249" s="711"/>
      <c r="U249" s="712"/>
      <c r="V249" s="712"/>
      <c r="W249" s="712"/>
      <c r="X249" s="604"/>
      <c r="Y249" s="604"/>
      <c r="Z249" s="873"/>
      <c r="AA249" s="866"/>
      <c r="AB249" s="864"/>
      <c r="AC249" s="837"/>
      <c r="AD249" s="837"/>
      <c r="AE249" s="837"/>
      <c r="AF249" s="837"/>
      <c r="AG249" s="837"/>
      <c r="AH249" s="837"/>
      <c r="AI249" s="837"/>
      <c r="AJ249" s="874"/>
      <c r="AK249" s="837"/>
      <c r="AL249" s="837"/>
      <c r="AM249" s="837"/>
      <c r="AN249" s="837"/>
      <c r="AO249" s="837"/>
      <c r="AP249" s="837"/>
      <c r="AQ249" s="837"/>
      <c r="AR249" s="837"/>
      <c r="AS249" s="874"/>
      <c r="AT249" s="837"/>
      <c r="AU249" s="836"/>
      <c r="AV249" s="836"/>
      <c r="AW249" s="836"/>
      <c r="AX249" s="836"/>
      <c r="AY249" s="836"/>
    </row>
    <row r="250" spans="4:51" s="526" customFormat="1" x14ac:dyDescent="0.2">
      <c r="D250" s="735" t="s">
        <v>204</v>
      </c>
      <c r="E250" s="708"/>
      <c r="F250" s="708"/>
      <c r="G250" s="527"/>
      <c r="H250" s="709"/>
      <c r="I250" s="710"/>
      <c r="J250" s="710"/>
      <c r="K250" s="711"/>
      <c r="L250" s="711"/>
      <c r="M250" s="710"/>
      <c r="N250" s="711"/>
      <c r="O250" s="710"/>
      <c r="P250" s="527"/>
      <c r="Q250" s="527"/>
      <c r="R250" s="711"/>
      <c r="U250" s="712"/>
      <c r="V250" s="712"/>
      <c r="W250" s="712"/>
      <c r="X250" s="604"/>
      <c r="Y250" s="604"/>
      <c r="Z250" s="873"/>
      <c r="AA250" s="866"/>
      <c r="AB250" s="864"/>
      <c r="AC250" s="837"/>
      <c r="AD250" s="837"/>
      <c r="AE250" s="837"/>
      <c r="AF250" s="837"/>
      <c r="AG250" s="837"/>
      <c r="AH250" s="837"/>
      <c r="AI250" s="837"/>
      <c r="AJ250" s="874"/>
      <c r="AK250" s="837"/>
      <c r="AL250" s="837"/>
      <c r="AM250" s="837"/>
      <c r="AN250" s="837"/>
      <c r="AO250" s="837"/>
      <c r="AP250" s="837"/>
      <c r="AQ250" s="837"/>
      <c r="AR250" s="837"/>
      <c r="AS250" s="874"/>
      <c r="AT250" s="837"/>
      <c r="AU250" s="836"/>
      <c r="AV250" s="836"/>
      <c r="AW250" s="836"/>
      <c r="AX250" s="836"/>
      <c r="AY250" s="836"/>
    </row>
    <row r="251" spans="4:51" s="526" customFormat="1" x14ac:dyDescent="0.2">
      <c r="D251" s="735" t="s">
        <v>210</v>
      </c>
      <c r="E251" s="708"/>
      <c r="F251" s="708"/>
      <c r="G251" s="527"/>
      <c r="H251" s="709"/>
      <c r="I251" s="710"/>
      <c r="J251" s="710"/>
      <c r="K251" s="711"/>
      <c r="L251" s="711"/>
      <c r="M251" s="710"/>
      <c r="N251" s="711"/>
      <c r="O251" s="710"/>
      <c r="P251" s="527"/>
      <c r="Q251" s="527"/>
      <c r="R251" s="711"/>
      <c r="U251" s="712"/>
      <c r="V251" s="712"/>
      <c r="W251" s="712"/>
      <c r="X251" s="604"/>
      <c r="Y251" s="604"/>
      <c r="Z251" s="873"/>
      <c r="AA251" s="866"/>
      <c r="AB251" s="864"/>
      <c r="AC251" s="837"/>
      <c r="AD251" s="837"/>
      <c r="AE251" s="837"/>
      <c r="AF251" s="837"/>
      <c r="AG251" s="837"/>
      <c r="AH251" s="837"/>
      <c r="AI251" s="837"/>
      <c r="AJ251" s="874"/>
      <c r="AK251" s="837"/>
      <c r="AL251" s="837"/>
      <c r="AM251" s="837"/>
      <c r="AN251" s="837"/>
      <c r="AO251" s="837"/>
      <c r="AP251" s="837"/>
      <c r="AQ251" s="837"/>
      <c r="AR251" s="837"/>
      <c r="AS251" s="874"/>
      <c r="AT251" s="837"/>
      <c r="AU251" s="836"/>
      <c r="AV251" s="836"/>
      <c r="AW251" s="836"/>
      <c r="AX251" s="836"/>
      <c r="AY251" s="836"/>
    </row>
    <row r="252" spans="4:51" s="526" customFormat="1" x14ac:dyDescent="0.2">
      <c r="D252" s="735" t="s">
        <v>211</v>
      </c>
      <c r="E252" s="708"/>
      <c r="F252" s="708"/>
      <c r="G252" s="527"/>
      <c r="H252" s="709"/>
      <c r="I252" s="710"/>
      <c r="J252" s="710"/>
      <c r="K252" s="711"/>
      <c r="L252" s="711"/>
      <c r="M252" s="710"/>
      <c r="N252" s="711"/>
      <c r="O252" s="710"/>
      <c r="P252" s="527"/>
      <c r="Q252" s="527"/>
      <c r="R252" s="711"/>
      <c r="U252" s="712"/>
      <c r="V252" s="712"/>
      <c r="W252" s="712"/>
      <c r="X252" s="604"/>
      <c r="Y252" s="604"/>
      <c r="Z252" s="873"/>
      <c r="AA252" s="866"/>
      <c r="AB252" s="864"/>
      <c r="AC252" s="837"/>
      <c r="AD252" s="837"/>
      <c r="AE252" s="837"/>
      <c r="AF252" s="837"/>
      <c r="AG252" s="837"/>
      <c r="AH252" s="837"/>
      <c r="AI252" s="837"/>
      <c r="AJ252" s="874"/>
      <c r="AK252" s="837"/>
      <c r="AL252" s="837"/>
      <c r="AM252" s="837"/>
      <c r="AN252" s="837"/>
      <c r="AO252" s="837"/>
      <c r="AP252" s="837"/>
      <c r="AQ252" s="837"/>
      <c r="AR252" s="837"/>
      <c r="AS252" s="874"/>
      <c r="AT252" s="837"/>
      <c r="AU252" s="836"/>
      <c r="AV252" s="836"/>
      <c r="AW252" s="836"/>
      <c r="AX252" s="836"/>
      <c r="AY252" s="836"/>
    </row>
    <row r="253" spans="4:51" s="526" customFormat="1" x14ac:dyDescent="0.2">
      <c r="D253" s="735" t="s">
        <v>212</v>
      </c>
      <c r="E253" s="708"/>
      <c r="F253" s="708"/>
      <c r="G253" s="527"/>
      <c r="H253" s="709"/>
      <c r="I253" s="710"/>
      <c r="J253" s="710"/>
      <c r="K253" s="711"/>
      <c r="L253" s="711"/>
      <c r="M253" s="710"/>
      <c r="N253" s="711"/>
      <c r="O253" s="710"/>
      <c r="P253" s="527"/>
      <c r="Q253" s="527"/>
      <c r="R253" s="711"/>
      <c r="U253" s="712"/>
      <c r="V253" s="712"/>
      <c r="W253" s="712"/>
      <c r="X253" s="604"/>
      <c r="Y253" s="604"/>
      <c r="Z253" s="873"/>
      <c r="AA253" s="866"/>
      <c r="AB253" s="864"/>
      <c r="AC253" s="837"/>
      <c r="AD253" s="837"/>
      <c r="AE253" s="837"/>
      <c r="AF253" s="837"/>
      <c r="AG253" s="837"/>
      <c r="AH253" s="837"/>
      <c r="AI253" s="837"/>
      <c r="AJ253" s="874"/>
      <c r="AK253" s="837"/>
      <c r="AL253" s="837"/>
      <c r="AM253" s="837"/>
      <c r="AN253" s="837"/>
      <c r="AO253" s="837"/>
      <c r="AP253" s="837"/>
      <c r="AQ253" s="837"/>
      <c r="AR253" s="837"/>
      <c r="AS253" s="874"/>
      <c r="AT253" s="837"/>
      <c r="AU253" s="836"/>
      <c r="AV253" s="836"/>
      <c r="AW253" s="836"/>
      <c r="AX253" s="836"/>
      <c r="AY253" s="836"/>
    </row>
    <row r="254" spans="4:51" s="526" customFormat="1" x14ac:dyDescent="0.2">
      <c r="D254" s="735" t="s">
        <v>213</v>
      </c>
      <c r="E254" s="708"/>
      <c r="F254" s="708"/>
      <c r="G254" s="527"/>
      <c r="H254" s="709"/>
      <c r="I254" s="710"/>
      <c r="J254" s="710"/>
      <c r="K254" s="711"/>
      <c r="L254" s="711"/>
      <c r="M254" s="710"/>
      <c r="N254" s="711"/>
      <c r="O254" s="710"/>
      <c r="P254" s="527"/>
      <c r="Q254" s="527"/>
      <c r="R254" s="711"/>
      <c r="U254" s="712"/>
      <c r="V254" s="712"/>
      <c r="W254" s="712"/>
      <c r="X254" s="604"/>
      <c r="Y254" s="604"/>
      <c r="Z254" s="873"/>
      <c r="AA254" s="866"/>
      <c r="AB254" s="864"/>
      <c r="AC254" s="837"/>
      <c r="AD254" s="837"/>
      <c r="AE254" s="837"/>
      <c r="AF254" s="837"/>
      <c r="AG254" s="837"/>
      <c r="AH254" s="837"/>
      <c r="AI254" s="837"/>
      <c r="AJ254" s="874"/>
      <c r="AK254" s="837"/>
      <c r="AL254" s="837"/>
      <c r="AM254" s="837"/>
      <c r="AN254" s="837"/>
      <c r="AO254" s="837"/>
      <c r="AP254" s="837"/>
      <c r="AQ254" s="837"/>
      <c r="AR254" s="837"/>
      <c r="AS254" s="874"/>
      <c r="AT254" s="837"/>
      <c r="AU254" s="836"/>
      <c r="AV254" s="836"/>
      <c r="AW254" s="836"/>
      <c r="AX254" s="836"/>
      <c r="AY254" s="836"/>
    </row>
    <row r="255" spans="4:51" s="526" customFormat="1" x14ac:dyDescent="0.2">
      <c r="D255" s="708" t="s">
        <v>215</v>
      </c>
      <c r="E255" s="708"/>
      <c r="F255" s="708"/>
      <c r="G255" s="527"/>
      <c r="H255" s="709"/>
      <c r="I255" s="710"/>
      <c r="J255" s="710"/>
      <c r="K255" s="711"/>
      <c r="L255" s="711"/>
      <c r="M255" s="710"/>
      <c r="N255" s="711"/>
      <c r="O255" s="710"/>
      <c r="P255" s="527"/>
      <c r="Q255" s="527"/>
      <c r="R255" s="711"/>
      <c r="U255" s="712"/>
      <c r="V255" s="712"/>
      <c r="W255" s="712"/>
      <c r="X255" s="604"/>
      <c r="Y255" s="604"/>
      <c r="Z255" s="873"/>
      <c r="AA255" s="866"/>
      <c r="AB255" s="864"/>
      <c r="AC255" s="837"/>
      <c r="AD255" s="837"/>
      <c r="AE255" s="837"/>
      <c r="AF255" s="837"/>
      <c r="AG255" s="837"/>
      <c r="AH255" s="837"/>
      <c r="AI255" s="837"/>
      <c r="AJ255" s="874"/>
      <c r="AK255" s="837"/>
      <c r="AL255" s="837"/>
      <c r="AM255" s="837"/>
      <c r="AN255" s="837"/>
      <c r="AO255" s="837"/>
      <c r="AP255" s="837"/>
      <c r="AQ255" s="837"/>
      <c r="AR255" s="837"/>
      <c r="AS255" s="874"/>
      <c r="AT255" s="837"/>
      <c r="AU255" s="836"/>
      <c r="AV255" s="836"/>
      <c r="AW255" s="836"/>
      <c r="AX255" s="836"/>
      <c r="AY255" s="836"/>
    </row>
    <row r="256" spans="4:51" s="526" customFormat="1" x14ac:dyDescent="0.2">
      <c r="D256" s="708" t="s">
        <v>216</v>
      </c>
      <c r="E256" s="708"/>
      <c r="F256" s="708"/>
      <c r="G256" s="527"/>
      <c r="H256" s="709"/>
      <c r="I256" s="710"/>
      <c r="J256" s="710"/>
      <c r="K256" s="711"/>
      <c r="L256" s="711"/>
      <c r="M256" s="710"/>
      <c r="N256" s="711"/>
      <c r="O256" s="710"/>
      <c r="P256" s="527"/>
      <c r="Q256" s="527"/>
      <c r="R256" s="711"/>
      <c r="U256" s="712"/>
      <c r="V256" s="712"/>
      <c r="W256" s="712"/>
      <c r="X256" s="604"/>
      <c r="Y256" s="604"/>
      <c r="Z256" s="873"/>
      <c r="AA256" s="866"/>
      <c r="AB256" s="864"/>
      <c r="AC256" s="837"/>
      <c r="AD256" s="837"/>
      <c r="AE256" s="837"/>
      <c r="AF256" s="837"/>
      <c r="AG256" s="837"/>
      <c r="AH256" s="837"/>
      <c r="AI256" s="837"/>
      <c r="AJ256" s="874"/>
      <c r="AK256" s="837"/>
      <c r="AL256" s="837"/>
      <c r="AM256" s="837"/>
      <c r="AN256" s="837"/>
      <c r="AO256" s="837"/>
      <c r="AP256" s="837"/>
      <c r="AQ256" s="837"/>
      <c r="AR256" s="837"/>
      <c r="AS256" s="874"/>
      <c r="AT256" s="837"/>
      <c r="AU256" s="836"/>
      <c r="AV256" s="836"/>
      <c r="AW256" s="836"/>
      <c r="AX256" s="836"/>
      <c r="AY256" s="836"/>
    </row>
    <row r="257" spans="4:51" s="526" customFormat="1" x14ac:dyDescent="0.2">
      <c r="D257" s="736" t="s">
        <v>250</v>
      </c>
      <c r="E257" s="708"/>
      <c r="F257" s="708"/>
      <c r="G257" s="527"/>
      <c r="H257" s="709"/>
      <c r="I257" s="710"/>
      <c r="J257" s="710"/>
      <c r="K257" s="711"/>
      <c r="L257" s="711"/>
      <c r="M257" s="710"/>
      <c r="N257" s="711"/>
      <c r="O257" s="710"/>
      <c r="P257" s="527"/>
      <c r="Q257" s="527"/>
      <c r="R257" s="711"/>
      <c r="U257" s="712"/>
      <c r="V257" s="712"/>
      <c r="W257" s="712"/>
      <c r="X257" s="604"/>
      <c r="Y257" s="604"/>
      <c r="Z257" s="873"/>
      <c r="AA257" s="866"/>
      <c r="AB257" s="864"/>
      <c r="AC257" s="837"/>
      <c r="AD257" s="837"/>
      <c r="AE257" s="837"/>
      <c r="AF257" s="837"/>
      <c r="AG257" s="837"/>
      <c r="AH257" s="837"/>
      <c r="AI257" s="837"/>
      <c r="AJ257" s="874"/>
      <c r="AK257" s="837"/>
      <c r="AL257" s="837"/>
      <c r="AM257" s="837"/>
      <c r="AN257" s="837"/>
      <c r="AO257" s="837"/>
      <c r="AP257" s="837"/>
      <c r="AQ257" s="837"/>
      <c r="AR257" s="837"/>
      <c r="AS257" s="874"/>
      <c r="AT257" s="837"/>
      <c r="AU257" s="836"/>
      <c r="AV257" s="836"/>
      <c r="AW257" s="836"/>
      <c r="AX257" s="836"/>
      <c r="AY257" s="836"/>
    </row>
    <row r="258" spans="4:51" s="526" customFormat="1" x14ac:dyDescent="0.2">
      <c r="D258" s="736" t="s">
        <v>251</v>
      </c>
      <c r="E258" s="708"/>
      <c r="F258" s="708"/>
      <c r="G258" s="527"/>
      <c r="H258" s="709"/>
      <c r="I258" s="710"/>
      <c r="J258" s="710"/>
      <c r="K258" s="711"/>
      <c r="L258" s="711"/>
      <c r="M258" s="710"/>
      <c r="N258" s="711"/>
      <c r="O258" s="710"/>
      <c r="P258" s="527"/>
      <c r="Q258" s="527"/>
      <c r="R258" s="711"/>
      <c r="U258" s="712"/>
      <c r="V258" s="712"/>
      <c r="W258" s="712"/>
      <c r="X258" s="604"/>
      <c r="Y258" s="604"/>
      <c r="Z258" s="873"/>
      <c r="AA258" s="866"/>
      <c r="AB258" s="864"/>
      <c r="AC258" s="837"/>
      <c r="AD258" s="837"/>
      <c r="AE258" s="837"/>
      <c r="AF258" s="837"/>
      <c r="AG258" s="837"/>
      <c r="AH258" s="837"/>
      <c r="AI258" s="837"/>
      <c r="AJ258" s="874"/>
      <c r="AK258" s="837"/>
      <c r="AL258" s="837"/>
      <c r="AM258" s="837"/>
      <c r="AN258" s="837"/>
      <c r="AO258" s="837"/>
      <c r="AP258" s="837"/>
      <c r="AQ258" s="837"/>
      <c r="AR258" s="837"/>
      <c r="AS258" s="874"/>
      <c r="AT258" s="837"/>
      <c r="AU258" s="836"/>
      <c r="AV258" s="836"/>
      <c r="AW258" s="836"/>
      <c r="AX258" s="836"/>
      <c r="AY258" s="836"/>
    </row>
    <row r="259" spans="4:51" s="526" customFormat="1" x14ac:dyDescent="0.2">
      <c r="D259" s="736" t="s">
        <v>252</v>
      </c>
      <c r="E259" s="708"/>
      <c r="F259" s="708"/>
      <c r="G259" s="527"/>
      <c r="H259" s="709"/>
      <c r="I259" s="710"/>
      <c r="J259" s="710"/>
      <c r="K259" s="711"/>
      <c r="L259" s="711"/>
      <c r="M259" s="710"/>
      <c r="N259" s="711"/>
      <c r="O259" s="710"/>
      <c r="P259" s="527"/>
      <c r="Q259" s="527"/>
      <c r="R259" s="711"/>
      <c r="U259" s="712"/>
      <c r="V259" s="712"/>
      <c r="W259" s="712"/>
      <c r="X259" s="604"/>
      <c r="Y259" s="604"/>
      <c r="Z259" s="873"/>
      <c r="AA259" s="866"/>
      <c r="AB259" s="864"/>
      <c r="AC259" s="837"/>
      <c r="AD259" s="837"/>
      <c r="AE259" s="837"/>
      <c r="AF259" s="837"/>
      <c r="AG259" s="837"/>
      <c r="AH259" s="837"/>
      <c r="AI259" s="837"/>
      <c r="AJ259" s="874"/>
      <c r="AK259" s="837"/>
      <c r="AL259" s="837"/>
      <c r="AM259" s="837"/>
      <c r="AN259" s="837"/>
      <c r="AO259" s="837"/>
      <c r="AP259" s="837"/>
      <c r="AQ259" s="837"/>
      <c r="AR259" s="837"/>
      <c r="AS259" s="874"/>
      <c r="AT259" s="837"/>
      <c r="AU259" s="836"/>
      <c r="AV259" s="836"/>
      <c r="AW259" s="836"/>
      <c r="AX259" s="836"/>
      <c r="AY259" s="836"/>
    </row>
    <row r="260" spans="4:51" s="526" customFormat="1" x14ac:dyDescent="0.2">
      <c r="D260" s="708">
        <v>1</v>
      </c>
      <c r="E260" s="708"/>
      <c r="F260" s="708"/>
      <c r="G260" s="527"/>
      <c r="H260" s="709"/>
      <c r="I260" s="710"/>
      <c r="J260" s="710"/>
      <c r="K260" s="711"/>
      <c r="L260" s="711"/>
      <c r="M260" s="710"/>
      <c r="N260" s="711"/>
      <c r="O260" s="710"/>
      <c r="P260" s="527"/>
      <c r="Q260" s="527"/>
      <c r="R260" s="711"/>
      <c r="U260" s="712"/>
      <c r="V260" s="712"/>
      <c r="W260" s="712"/>
      <c r="X260" s="604"/>
      <c r="Y260" s="604"/>
      <c r="Z260" s="873"/>
      <c r="AA260" s="866"/>
      <c r="AB260" s="864"/>
      <c r="AC260" s="837"/>
      <c r="AD260" s="837"/>
      <c r="AE260" s="837"/>
      <c r="AF260" s="837"/>
      <c r="AG260" s="837"/>
      <c r="AH260" s="837"/>
      <c r="AI260" s="837"/>
      <c r="AJ260" s="874"/>
      <c r="AK260" s="837"/>
      <c r="AL260" s="837"/>
      <c r="AM260" s="837"/>
      <c r="AN260" s="837"/>
      <c r="AO260" s="837"/>
      <c r="AP260" s="837"/>
      <c r="AQ260" s="837"/>
      <c r="AR260" s="837"/>
      <c r="AS260" s="874"/>
      <c r="AT260" s="837"/>
      <c r="AU260" s="836"/>
      <c r="AV260" s="836"/>
      <c r="AW260" s="836"/>
      <c r="AX260" s="836"/>
      <c r="AY260" s="836"/>
    </row>
    <row r="261" spans="4:51" s="526" customFormat="1" x14ac:dyDescent="0.2">
      <c r="D261" s="708">
        <v>2</v>
      </c>
      <c r="E261" s="708"/>
      <c r="F261" s="708"/>
      <c r="G261" s="527"/>
      <c r="H261" s="709"/>
      <c r="I261" s="710"/>
      <c r="J261" s="710"/>
      <c r="K261" s="711"/>
      <c r="L261" s="711"/>
      <c r="M261" s="710"/>
      <c r="N261" s="711"/>
      <c r="O261" s="710"/>
      <c r="P261" s="527"/>
      <c r="Q261" s="527"/>
      <c r="R261" s="711"/>
      <c r="U261" s="712"/>
      <c r="V261" s="712"/>
      <c r="W261" s="712"/>
      <c r="X261" s="604"/>
      <c r="Y261" s="604"/>
      <c r="Z261" s="873"/>
      <c r="AA261" s="866"/>
      <c r="AB261" s="864"/>
      <c r="AC261" s="837"/>
      <c r="AD261" s="837"/>
      <c r="AE261" s="837"/>
      <c r="AF261" s="837"/>
      <c r="AG261" s="837"/>
      <c r="AH261" s="837"/>
      <c r="AI261" s="837"/>
      <c r="AJ261" s="874"/>
      <c r="AK261" s="837"/>
      <c r="AL261" s="837"/>
      <c r="AM261" s="837"/>
      <c r="AN261" s="837"/>
      <c r="AO261" s="837"/>
      <c r="AP261" s="837"/>
      <c r="AQ261" s="837"/>
      <c r="AR261" s="837"/>
      <c r="AS261" s="874"/>
      <c r="AT261" s="837"/>
      <c r="AU261" s="836"/>
      <c r="AV261" s="836"/>
      <c r="AW261" s="836"/>
      <c r="AX261" s="836"/>
      <c r="AY261" s="836"/>
    </row>
    <row r="262" spans="4:51" s="526" customFormat="1" x14ac:dyDescent="0.2">
      <c r="D262" s="708">
        <v>3</v>
      </c>
      <c r="E262" s="708"/>
      <c r="F262" s="708"/>
      <c r="G262" s="527"/>
      <c r="H262" s="709"/>
      <c r="I262" s="710"/>
      <c r="J262" s="710"/>
      <c r="K262" s="711"/>
      <c r="L262" s="711"/>
      <c r="M262" s="710"/>
      <c r="N262" s="711"/>
      <c r="O262" s="710"/>
      <c r="P262" s="527"/>
      <c r="Q262" s="527"/>
      <c r="R262" s="711"/>
      <c r="U262" s="712"/>
      <c r="V262" s="712"/>
      <c r="W262" s="712"/>
      <c r="X262" s="604"/>
      <c r="Y262" s="604"/>
      <c r="Z262" s="873"/>
      <c r="AA262" s="866"/>
      <c r="AB262" s="864"/>
      <c r="AC262" s="837"/>
      <c r="AD262" s="837"/>
      <c r="AE262" s="837"/>
      <c r="AF262" s="837"/>
      <c r="AG262" s="837"/>
      <c r="AH262" s="837"/>
      <c r="AI262" s="837"/>
      <c r="AJ262" s="874"/>
      <c r="AK262" s="837"/>
      <c r="AL262" s="837"/>
      <c r="AM262" s="837"/>
      <c r="AN262" s="837"/>
      <c r="AO262" s="837"/>
      <c r="AP262" s="837"/>
      <c r="AQ262" s="837"/>
      <c r="AR262" s="837"/>
      <c r="AS262" s="874"/>
      <c r="AT262" s="837"/>
      <c r="AU262" s="836"/>
      <c r="AV262" s="836"/>
      <c r="AW262" s="836"/>
      <c r="AX262" s="836"/>
      <c r="AY262" s="836"/>
    </row>
    <row r="263" spans="4:51" s="526" customFormat="1" x14ac:dyDescent="0.2">
      <c r="D263" s="708">
        <v>4</v>
      </c>
      <c r="E263" s="708"/>
      <c r="F263" s="708"/>
      <c r="G263" s="527"/>
      <c r="H263" s="709"/>
      <c r="I263" s="710"/>
      <c r="J263" s="710"/>
      <c r="K263" s="711"/>
      <c r="L263" s="711"/>
      <c r="M263" s="710"/>
      <c r="N263" s="711"/>
      <c r="O263" s="710"/>
      <c r="P263" s="527"/>
      <c r="Q263" s="527"/>
      <c r="R263" s="711"/>
      <c r="U263" s="712"/>
      <c r="V263" s="712"/>
      <c r="W263" s="712"/>
      <c r="X263" s="604"/>
      <c r="Y263" s="604"/>
      <c r="Z263" s="873"/>
      <c r="AA263" s="866"/>
      <c r="AB263" s="864"/>
      <c r="AC263" s="837"/>
      <c r="AD263" s="837"/>
      <c r="AE263" s="837"/>
      <c r="AF263" s="837"/>
      <c r="AG263" s="837"/>
      <c r="AH263" s="837"/>
      <c r="AI263" s="837"/>
      <c r="AJ263" s="874"/>
      <c r="AK263" s="837"/>
      <c r="AL263" s="837"/>
      <c r="AM263" s="837"/>
      <c r="AN263" s="837"/>
      <c r="AO263" s="837"/>
      <c r="AP263" s="837"/>
      <c r="AQ263" s="837"/>
      <c r="AR263" s="837"/>
      <c r="AS263" s="874"/>
      <c r="AT263" s="837"/>
      <c r="AU263" s="836"/>
      <c r="AV263" s="836"/>
      <c r="AW263" s="836"/>
      <c r="AX263" s="836"/>
      <c r="AY263" s="836"/>
    </row>
    <row r="264" spans="4:51" s="526" customFormat="1" x14ac:dyDescent="0.2">
      <c r="D264" s="708">
        <v>5</v>
      </c>
      <c r="E264" s="708"/>
      <c r="F264" s="708"/>
      <c r="G264" s="527"/>
      <c r="H264" s="709"/>
      <c r="I264" s="710"/>
      <c r="J264" s="710"/>
      <c r="K264" s="711"/>
      <c r="L264" s="711"/>
      <c r="M264" s="710"/>
      <c r="N264" s="711"/>
      <c r="O264" s="710"/>
      <c r="P264" s="527"/>
      <c r="Q264" s="527"/>
      <c r="R264" s="711"/>
      <c r="U264" s="712"/>
      <c r="V264" s="712"/>
      <c r="W264" s="712"/>
      <c r="X264" s="604"/>
      <c r="Y264" s="604"/>
      <c r="Z264" s="873"/>
      <c r="AA264" s="866"/>
      <c r="AB264" s="864"/>
      <c r="AC264" s="837"/>
      <c r="AD264" s="837"/>
      <c r="AE264" s="837"/>
      <c r="AF264" s="837"/>
      <c r="AG264" s="837"/>
      <c r="AH264" s="837"/>
      <c r="AI264" s="837"/>
      <c r="AJ264" s="874"/>
      <c r="AK264" s="837"/>
      <c r="AL264" s="837"/>
      <c r="AM264" s="837"/>
      <c r="AN264" s="837"/>
      <c r="AO264" s="837"/>
      <c r="AP264" s="837"/>
      <c r="AQ264" s="837"/>
      <c r="AR264" s="837"/>
      <c r="AS264" s="874"/>
      <c r="AT264" s="837"/>
      <c r="AU264" s="836"/>
      <c r="AV264" s="836"/>
      <c r="AW264" s="836"/>
      <c r="AX264" s="836"/>
      <c r="AY264" s="836"/>
    </row>
    <row r="265" spans="4:51" s="526" customFormat="1" x14ac:dyDescent="0.2">
      <c r="D265" s="708">
        <v>6</v>
      </c>
      <c r="E265" s="708"/>
      <c r="F265" s="708"/>
      <c r="G265" s="527"/>
      <c r="H265" s="709"/>
      <c r="I265" s="710"/>
      <c r="J265" s="710"/>
      <c r="K265" s="711"/>
      <c r="L265" s="711"/>
      <c r="M265" s="710"/>
      <c r="N265" s="711"/>
      <c r="O265" s="710"/>
      <c r="P265" s="527"/>
      <c r="Q265" s="527"/>
      <c r="R265" s="711"/>
      <c r="U265" s="712"/>
      <c r="V265" s="712"/>
      <c r="W265" s="712"/>
      <c r="X265" s="604"/>
      <c r="Y265" s="604"/>
      <c r="Z265" s="873"/>
      <c r="AA265" s="866"/>
      <c r="AB265" s="864"/>
      <c r="AC265" s="837"/>
      <c r="AD265" s="837"/>
      <c r="AE265" s="837"/>
      <c r="AF265" s="837"/>
      <c r="AG265" s="837"/>
      <c r="AH265" s="837"/>
      <c r="AI265" s="837"/>
      <c r="AJ265" s="874"/>
      <c r="AK265" s="837"/>
      <c r="AL265" s="837"/>
      <c r="AM265" s="837"/>
      <c r="AN265" s="837"/>
      <c r="AO265" s="837"/>
      <c r="AP265" s="837"/>
      <c r="AQ265" s="837"/>
      <c r="AR265" s="837"/>
      <c r="AS265" s="874"/>
      <c r="AT265" s="837"/>
      <c r="AU265" s="836"/>
      <c r="AV265" s="836"/>
      <c r="AW265" s="836"/>
      <c r="AX265" s="836"/>
      <c r="AY265" s="836"/>
    </row>
    <row r="266" spans="4:51" s="526" customFormat="1" x14ac:dyDescent="0.2">
      <c r="D266" s="708">
        <v>7</v>
      </c>
      <c r="E266" s="708"/>
      <c r="F266" s="708"/>
      <c r="G266" s="527"/>
      <c r="H266" s="709"/>
      <c r="I266" s="710"/>
      <c r="J266" s="710"/>
      <c r="K266" s="711"/>
      <c r="L266" s="711"/>
      <c r="M266" s="710"/>
      <c r="N266" s="711"/>
      <c r="O266" s="710"/>
      <c r="P266" s="527"/>
      <c r="Q266" s="527"/>
      <c r="R266" s="711"/>
      <c r="U266" s="712"/>
      <c r="V266" s="712"/>
      <c r="W266" s="712"/>
      <c r="X266" s="604"/>
      <c r="Y266" s="604"/>
      <c r="Z266" s="873"/>
      <c r="AA266" s="866"/>
      <c r="AB266" s="864"/>
      <c r="AC266" s="837"/>
      <c r="AD266" s="837"/>
      <c r="AE266" s="837"/>
      <c r="AF266" s="837"/>
      <c r="AG266" s="837"/>
      <c r="AH266" s="837"/>
      <c r="AI266" s="837"/>
      <c r="AJ266" s="874"/>
      <c r="AK266" s="837"/>
      <c r="AL266" s="837"/>
      <c r="AM266" s="837"/>
      <c r="AN266" s="837"/>
      <c r="AO266" s="837"/>
      <c r="AP266" s="837"/>
      <c r="AQ266" s="837"/>
      <c r="AR266" s="837"/>
      <c r="AS266" s="874"/>
      <c r="AT266" s="837"/>
      <c r="AU266" s="836"/>
      <c r="AV266" s="836"/>
      <c r="AW266" s="836"/>
      <c r="AX266" s="836"/>
      <c r="AY266" s="836"/>
    </row>
    <row r="267" spans="4:51" s="526" customFormat="1" x14ac:dyDescent="0.2">
      <c r="D267" s="708">
        <v>8</v>
      </c>
      <c r="E267" s="708"/>
      <c r="F267" s="708"/>
      <c r="G267" s="527"/>
      <c r="H267" s="709"/>
      <c r="I267" s="710"/>
      <c r="J267" s="710"/>
      <c r="K267" s="711"/>
      <c r="L267" s="711"/>
      <c r="M267" s="710"/>
      <c r="N267" s="711"/>
      <c r="O267" s="710"/>
      <c r="P267" s="527"/>
      <c r="Q267" s="527"/>
      <c r="R267" s="711"/>
      <c r="U267" s="712"/>
      <c r="V267" s="712"/>
      <c r="W267" s="712"/>
      <c r="X267" s="604"/>
      <c r="Y267" s="604"/>
      <c r="Z267" s="873"/>
      <c r="AA267" s="866"/>
      <c r="AB267" s="864"/>
      <c r="AC267" s="837"/>
      <c r="AD267" s="837"/>
      <c r="AE267" s="837"/>
      <c r="AF267" s="837"/>
      <c r="AG267" s="837"/>
      <c r="AH267" s="837"/>
      <c r="AI267" s="837"/>
      <c r="AJ267" s="874"/>
      <c r="AK267" s="837"/>
      <c r="AL267" s="837"/>
      <c r="AM267" s="837"/>
      <c r="AN267" s="837"/>
      <c r="AO267" s="837"/>
      <c r="AP267" s="837"/>
      <c r="AQ267" s="837"/>
      <c r="AR267" s="837"/>
      <c r="AS267" s="874"/>
      <c r="AT267" s="837"/>
      <c r="AU267" s="836"/>
      <c r="AV267" s="836"/>
      <c r="AW267" s="836"/>
      <c r="AX267" s="836"/>
      <c r="AY267" s="836"/>
    </row>
    <row r="268" spans="4:51" s="526" customFormat="1" x14ac:dyDescent="0.2">
      <c r="D268" s="708">
        <v>9</v>
      </c>
      <c r="E268" s="708"/>
      <c r="F268" s="708"/>
      <c r="G268" s="527"/>
      <c r="H268" s="709"/>
      <c r="I268" s="710"/>
      <c r="J268" s="710"/>
      <c r="K268" s="711"/>
      <c r="L268" s="711"/>
      <c r="M268" s="710"/>
      <c r="N268" s="711"/>
      <c r="O268" s="710"/>
      <c r="P268" s="527"/>
      <c r="Q268" s="527"/>
      <c r="R268" s="711"/>
      <c r="U268" s="712"/>
      <c r="V268" s="712"/>
      <c r="W268" s="712"/>
      <c r="X268" s="604"/>
      <c r="Y268" s="604"/>
      <c r="Z268" s="873"/>
      <c r="AA268" s="866"/>
      <c r="AB268" s="864"/>
      <c r="AC268" s="837"/>
      <c r="AD268" s="837"/>
      <c r="AE268" s="837"/>
      <c r="AF268" s="837"/>
      <c r="AG268" s="837"/>
      <c r="AH268" s="837"/>
      <c r="AI268" s="837"/>
      <c r="AJ268" s="874"/>
      <c r="AK268" s="837"/>
      <c r="AL268" s="837"/>
      <c r="AM268" s="837"/>
      <c r="AN268" s="837"/>
      <c r="AO268" s="837"/>
      <c r="AP268" s="837"/>
      <c r="AQ268" s="837"/>
      <c r="AR268" s="837"/>
      <c r="AS268" s="874"/>
      <c r="AT268" s="837"/>
      <c r="AU268" s="836"/>
      <c r="AV268" s="836"/>
      <c r="AW268" s="836"/>
      <c r="AX268" s="836"/>
      <c r="AY268" s="836"/>
    </row>
    <row r="269" spans="4:51" s="526" customFormat="1" x14ac:dyDescent="0.2">
      <c r="D269" s="708">
        <v>10</v>
      </c>
      <c r="E269" s="708"/>
      <c r="F269" s="708"/>
      <c r="G269" s="527"/>
      <c r="H269" s="709"/>
      <c r="I269" s="710"/>
      <c r="J269" s="710"/>
      <c r="K269" s="711"/>
      <c r="L269" s="711"/>
      <c r="M269" s="710"/>
      <c r="N269" s="711"/>
      <c r="O269" s="710"/>
      <c r="P269" s="527"/>
      <c r="Q269" s="527"/>
      <c r="R269" s="711"/>
      <c r="U269" s="712"/>
      <c r="V269" s="712"/>
      <c r="W269" s="712"/>
      <c r="X269" s="604"/>
      <c r="Y269" s="604"/>
      <c r="Z269" s="873"/>
      <c r="AA269" s="866"/>
      <c r="AB269" s="864"/>
      <c r="AC269" s="837"/>
      <c r="AD269" s="837"/>
      <c r="AE269" s="837"/>
      <c r="AF269" s="837"/>
      <c r="AG269" s="837"/>
      <c r="AH269" s="837"/>
      <c r="AI269" s="837"/>
      <c r="AJ269" s="874"/>
      <c r="AK269" s="837"/>
      <c r="AL269" s="837"/>
      <c r="AM269" s="837"/>
      <c r="AN269" s="837"/>
      <c r="AO269" s="837"/>
      <c r="AP269" s="837"/>
      <c r="AQ269" s="837"/>
      <c r="AR269" s="837"/>
      <c r="AS269" s="874"/>
      <c r="AT269" s="837"/>
      <c r="AU269" s="836"/>
      <c r="AV269" s="836"/>
      <c r="AW269" s="836"/>
      <c r="AX269" s="836"/>
      <c r="AY269" s="836"/>
    </row>
    <row r="270" spans="4:51" s="526" customFormat="1" x14ac:dyDescent="0.2">
      <c r="D270" s="708">
        <v>11</v>
      </c>
      <c r="E270" s="708"/>
      <c r="F270" s="708"/>
      <c r="G270" s="527"/>
      <c r="H270" s="709"/>
      <c r="I270" s="710"/>
      <c r="J270" s="710"/>
      <c r="K270" s="711"/>
      <c r="L270" s="711"/>
      <c r="M270" s="710"/>
      <c r="N270" s="711"/>
      <c r="O270" s="710"/>
      <c r="P270" s="527"/>
      <c r="Q270" s="527"/>
      <c r="R270" s="711"/>
      <c r="U270" s="712"/>
      <c r="V270" s="712"/>
      <c r="W270" s="712"/>
      <c r="X270" s="604"/>
      <c r="Y270" s="604"/>
      <c r="Z270" s="873"/>
      <c r="AA270" s="866"/>
      <c r="AB270" s="864"/>
      <c r="AC270" s="837"/>
      <c r="AD270" s="837"/>
      <c r="AE270" s="837"/>
      <c r="AF270" s="837"/>
      <c r="AG270" s="837"/>
      <c r="AH270" s="837"/>
      <c r="AI270" s="837"/>
      <c r="AJ270" s="874"/>
      <c r="AK270" s="837"/>
      <c r="AL270" s="837"/>
      <c r="AM270" s="837"/>
      <c r="AN270" s="837"/>
      <c r="AO270" s="837"/>
      <c r="AP270" s="837"/>
      <c r="AQ270" s="837"/>
      <c r="AR270" s="837"/>
      <c r="AS270" s="874"/>
      <c r="AT270" s="837"/>
      <c r="AU270" s="836"/>
      <c r="AV270" s="836"/>
      <c r="AW270" s="836"/>
      <c r="AX270" s="836"/>
      <c r="AY270" s="836"/>
    </row>
    <row r="271" spans="4:51" s="526" customFormat="1" x14ac:dyDescent="0.2">
      <c r="D271" s="708">
        <v>12</v>
      </c>
      <c r="E271" s="708"/>
      <c r="F271" s="708"/>
      <c r="G271" s="527"/>
      <c r="H271" s="709"/>
      <c r="I271" s="710"/>
      <c r="J271" s="710"/>
      <c r="K271" s="711"/>
      <c r="L271" s="711"/>
      <c r="M271" s="710"/>
      <c r="N271" s="711"/>
      <c r="O271" s="710"/>
      <c r="P271" s="527"/>
      <c r="Q271" s="527"/>
      <c r="R271" s="711"/>
      <c r="U271" s="712"/>
      <c r="V271" s="712"/>
      <c r="W271" s="712"/>
      <c r="X271" s="604"/>
      <c r="Y271" s="604"/>
      <c r="Z271" s="873"/>
      <c r="AA271" s="866"/>
      <c r="AB271" s="864"/>
      <c r="AC271" s="837"/>
      <c r="AD271" s="837"/>
      <c r="AE271" s="837"/>
      <c r="AF271" s="837"/>
      <c r="AG271" s="837"/>
      <c r="AH271" s="837"/>
      <c r="AI271" s="837"/>
      <c r="AJ271" s="874"/>
      <c r="AK271" s="837"/>
      <c r="AL271" s="837"/>
      <c r="AM271" s="837"/>
      <c r="AN271" s="837"/>
      <c r="AO271" s="837"/>
      <c r="AP271" s="837"/>
      <c r="AQ271" s="837"/>
      <c r="AR271" s="837"/>
      <c r="AS271" s="874"/>
      <c r="AT271" s="837"/>
      <c r="AU271" s="836"/>
      <c r="AV271" s="836"/>
      <c r="AW271" s="836"/>
      <c r="AX271" s="836"/>
      <c r="AY271" s="836"/>
    </row>
    <row r="272" spans="4:51" s="526" customFormat="1" x14ac:dyDescent="0.2">
      <c r="D272" s="708">
        <v>13</v>
      </c>
      <c r="E272" s="708"/>
      <c r="F272" s="708"/>
      <c r="G272" s="527"/>
      <c r="H272" s="709"/>
      <c r="I272" s="710"/>
      <c r="J272" s="710"/>
      <c r="K272" s="711"/>
      <c r="L272" s="711"/>
      <c r="M272" s="710"/>
      <c r="N272" s="711"/>
      <c r="O272" s="710"/>
      <c r="P272" s="527"/>
      <c r="Q272" s="527"/>
      <c r="R272" s="711"/>
      <c r="U272" s="712"/>
      <c r="V272" s="712"/>
      <c r="W272" s="712"/>
      <c r="X272" s="604"/>
      <c r="Y272" s="604"/>
      <c r="Z272" s="873"/>
      <c r="AA272" s="866"/>
      <c r="AB272" s="864"/>
      <c r="AC272" s="837"/>
      <c r="AD272" s="837"/>
      <c r="AE272" s="837"/>
      <c r="AF272" s="837"/>
      <c r="AG272" s="837"/>
      <c r="AH272" s="837"/>
      <c r="AI272" s="837"/>
      <c r="AJ272" s="874"/>
      <c r="AK272" s="837"/>
      <c r="AL272" s="837"/>
      <c r="AM272" s="837"/>
      <c r="AN272" s="837"/>
      <c r="AO272" s="837"/>
      <c r="AP272" s="837"/>
      <c r="AQ272" s="837"/>
      <c r="AR272" s="837"/>
      <c r="AS272" s="874"/>
      <c r="AT272" s="837"/>
      <c r="AU272" s="836"/>
      <c r="AV272" s="836"/>
      <c r="AW272" s="836"/>
      <c r="AX272" s="836"/>
      <c r="AY272" s="836"/>
    </row>
    <row r="273" spans="4:51" s="526" customFormat="1" x14ac:dyDescent="0.2">
      <c r="D273" s="708">
        <v>14</v>
      </c>
      <c r="E273" s="708"/>
      <c r="F273" s="708"/>
      <c r="G273" s="527"/>
      <c r="H273" s="709"/>
      <c r="I273" s="710"/>
      <c r="J273" s="710"/>
      <c r="K273" s="711"/>
      <c r="L273" s="711"/>
      <c r="M273" s="710"/>
      <c r="N273" s="711"/>
      <c r="O273" s="710"/>
      <c r="P273" s="527"/>
      <c r="Q273" s="527"/>
      <c r="R273" s="711"/>
      <c r="U273" s="712"/>
      <c r="V273" s="712"/>
      <c r="W273" s="712"/>
      <c r="X273" s="604"/>
      <c r="Y273" s="604"/>
      <c r="Z273" s="873"/>
      <c r="AA273" s="866"/>
      <c r="AB273" s="864"/>
      <c r="AC273" s="837"/>
      <c r="AD273" s="837"/>
      <c r="AE273" s="837"/>
      <c r="AF273" s="837"/>
      <c r="AG273" s="837"/>
      <c r="AH273" s="837"/>
      <c r="AI273" s="837"/>
      <c r="AJ273" s="874"/>
      <c r="AK273" s="837"/>
      <c r="AL273" s="837"/>
      <c r="AM273" s="837"/>
      <c r="AN273" s="837"/>
      <c r="AO273" s="837"/>
      <c r="AP273" s="837"/>
      <c r="AQ273" s="837"/>
      <c r="AR273" s="837"/>
      <c r="AS273" s="874"/>
      <c r="AT273" s="837"/>
      <c r="AU273" s="836"/>
      <c r="AV273" s="836"/>
      <c r="AW273" s="836"/>
      <c r="AX273" s="836"/>
      <c r="AY273" s="836"/>
    </row>
    <row r="274" spans="4:51" s="526" customFormat="1" x14ac:dyDescent="0.2">
      <c r="D274" s="708">
        <v>15</v>
      </c>
      <c r="E274" s="708"/>
      <c r="F274" s="708"/>
      <c r="G274" s="527"/>
      <c r="H274" s="709"/>
      <c r="I274" s="710"/>
      <c r="J274" s="710"/>
      <c r="K274" s="711"/>
      <c r="L274" s="711"/>
      <c r="M274" s="710"/>
      <c r="N274" s="711"/>
      <c r="O274" s="710"/>
      <c r="P274" s="527"/>
      <c r="Q274" s="527"/>
      <c r="R274" s="711"/>
      <c r="U274" s="712"/>
      <c r="V274" s="712"/>
      <c r="W274" s="712"/>
      <c r="X274" s="604"/>
      <c r="Y274" s="604"/>
      <c r="Z274" s="873"/>
      <c r="AA274" s="866"/>
      <c r="AB274" s="864"/>
      <c r="AC274" s="837"/>
      <c r="AD274" s="837"/>
      <c r="AE274" s="837"/>
      <c r="AF274" s="837"/>
      <c r="AG274" s="837"/>
      <c r="AH274" s="837"/>
      <c r="AI274" s="837"/>
      <c r="AJ274" s="874"/>
      <c r="AK274" s="837"/>
      <c r="AL274" s="837"/>
      <c r="AM274" s="837"/>
      <c r="AN274" s="837"/>
      <c r="AO274" s="837"/>
      <c r="AP274" s="837"/>
      <c r="AQ274" s="837"/>
      <c r="AR274" s="837"/>
      <c r="AS274" s="874"/>
      <c r="AT274" s="837"/>
      <c r="AU274" s="836"/>
      <c r="AV274" s="836"/>
      <c r="AW274" s="836"/>
      <c r="AX274" s="836"/>
      <c r="AY274" s="836"/>
    </row>
    <row r="275" spans="4:51" s="526" customFormat="1" x14ac:dyDescent="0.2">
      <c r="D275" s="708">
        <v>16</v>
      </c>
      <c r="E275" s="708"/>
      <c r="F275" s="708"/>
      <c r="G275" s="527"/>
      <c r="H275" s="709"/>
      <c r="I275" s="710"/>
      <c r="J275" s="710"/>
      <c r="K275" s="711"/>
      <c r="L275" s="711"/>
      <c r="M275" s="710"/>
      <c r="N275" s="711"/>
      <c r="O275" s="710"/>
      <c r="P275" s="527"/>
      <c r="Q275" s="527"/>
      <c r="R275" s="711"/>
      <c r="U275" s="712"/>
      <c r="V275" s="712"/>
      <c r="W275" s="712"/>
      <c r="X275" s="604"/>
      <c r="Y275" s="604"/>
      <c r="Z275" s="873"/>
      <c r="AA275" s="866"/>
      <c r="AB275" s="864"/>
      <c r="AC275" s="837"/>
      <c r="AD275" s="837"/>
      <c r="AE275" s="837"/>
      <c r="AF275" s="837"/>
      <c r="AG275" s="837"/>
      <c r="AH275" s="837"/>
      <c r="AI275" s="837"/>
      <c r="AJ275" s="874"/>
      <c r="AK275" s="837"/>
      <c r="AL275" s="837"/>
      <c r="AM275" s="837"/>
      <c r="AN275" s="837"/>
      <c r="AO275" s="837"/>
      <c r="AP275" s="837"/>
      <c r="AQ275" s="837"/>
      <c r="AR275" s="837"/>
      <c r="AS275" s="874"/>
      <c r="AT275" s="837"/>
      <c r="AU275" s="836"/>
      <c r="AV275" s="836"/>
      <c r="AW275" s="836"/>
      <c r="AX275" s="836"/>
      <c r="AY275" s="836"/>
    </row>
    <row r="276" spans="4:51" s="526" customFormat="1" x14ac:dyDescent="0.2">
      <c r="D276" s="708"/>
      <c r="E276" s="708"/>
      <c r="F276" s="708"/>
      <c r="G276" s="527"/>
      <c r="H276" s="709"/>
      <c r="I276" s="710"/>
      <c r="J276" s="710"/>
      <c r="K276" s="711"/>
      <c r="L276" s="711"/>
      <c r="M276" s="710"/>
      <c r="N276" s="711"/>
      <c r="O276" s="710"/>
      <c r="P276" s="527"/>
      <c r="Q276" s="527"/>
      <c r="R276" s="711"/>
      <c r="U276" s="712"/>
      <c r="V276" s="712"/>
      <c r="W276" s="712"/>
      <c r="X276" s="604"/>
      <c r="Y276" s="604"/>
      <c r="Z276" s="873"/>
      <c r="AA276" s="866"/>
      <c r="AB276" s="864"/>
      <c r="AC276" s="837"/>
      <c r="AD276" s="837"/>
      <c r="AE276" s="837"/>
      <c r="AF276" s="837"/>
      <c r="AG276" s="837"/>
      <c r="AH276" s="837"/>
      <c r="AI276" s="837"/>
      <c r="AJ276" s="874"/>
      <c r="AK276" s="837"/>
      <c r="AL276" s="837"/>
      <c r="AM276" s="837"/>
      <c r="AN276" s="837"/>
      <c r="AO276" s="837"/>
      <c r="AP276" s="837"/>
      <c r="AQ276" s="837"/>
      <c r="AR276" s="837"/>
      <c r="AS276" s="874"/>
      <c r="AT276" s="837"/>
      <c r="AU276" s="836"/>
      <c r="AV276" s="836"/>
      <c r="AW276" s="836"/>
      <c r="AX276" s="836"/>
      <c r="AY276" s="836"/>
    </row>
    <row r="277" spans="4:51" s="526" customFormat="1" x14ac:dyDescent="0.2">
      <c r="D277" s="708"/>
      <c r="E277" s="708"/>
      <c r="F277" s="708"/>
      <c r="G277" s="527"/>
      <c r="H277" s="709"/>
      <c r="I277" s="710"/>
      <c r="J277" s="710"/>
      <c r="K277" s="711"/>
      <c r="L277" s="711"/>
      <c r="M277" s="710"/>
      <c r="N277" s="711"/>
      <c r="O277" s="710"/>
      <c r="P277" s="527"/>
      <c r="Q277" s="527"/>
      <c r="R277" s="711"/>
      <c r="U277" s="712"/>
      <c r="V277" s="712"/>
      <c r="W277" s="712"/>
      <c r="X277" s="604"/>
      <c r="Y277" s="604"/>
      <c r="Z277" s="873"/>
      <c r="AA277" s="866"/>
      <c r="AB277" s="864"/>
      <c r="AC277" s="837"/>
      <c r="AD277" s="837"/>
      <c r="AE277" s="837"/>
      <c r="AF277" s="837"/>
      <c r="AG277" s="837"/>
      <c r="AH277" s="837"/>
      <c r="AI277" s="837"/>
      <c r="AJ277" s="874"/>
      <c r="AK277" s="837"/>
      <c r="AL277" s="837"/>
      <c r="AM277" s="837"/>
      <c r="AN277" s="837"/>
      <c r="AO277" s="837"/>
      <c r="AP277" s="837"/>
      <c r="AQ277" s="837"/>
      <c r="AR277" s="837"/>
      <c r="AS277" s="874"/>
      <c r="AT277" s="837"/>
      <c r="AU277" s="836"/>
      <c r="AV277" s="836"/>
      <c r="AW277" s="836"/>
      <c r="AX277" s="836"/>
      <c r="AY277" s="836"/>
    </row>
    <row r="278" spans="4:51" s="526" customFormat="1" x14ac:dyDescent="0.2">
      <c r="D278" s="708"/>
      <c r="E278" s="708"/>
      <c r="F278" s="708"/>
      <c r="G278" s="527"/>
      <c r="H278" s="709"/>
      <c r="I278" s="710"/>
      <c r="J278" s="710"/>
      <c r="K278" s="711"/>
      <c r="L278" s="711"/>
      <c r="M278" s="710"/>
      <c r="N278" s="711"/>
      <c r="O278" s="710"/>
      <c r="P278" s="527"/>
      <c r="Q278" s="527"/>
      <c r="R278" s="711"/>
      <c r="U278" s="712"/>
      <c r="V278" s="712"/>
      <c r="W278" s="712"/>
      <c r="X278" s="604"/>
      <c r="Y278" s="604"/>
      <c r="Z278" s="873"/>
      <c r="AA278" s="866"/>
      <c r="AB278" s="864"/>
      <c r="AC278" s="837"/>
      <c r="AD278" s="837"/>
      <c r="AE278" s="837"/>
      <c r="AF278" s="837"/>
      <c r="AG278" s="837"/>
      <c r="AH278" s="837"/>
      <c r="AI278" s="837"/>
      <c r="AJ278" s="874"/>
      <c r="AK278" s="837"/>
      <c r="AL278" s="837"/>
      <c r="AM278" s="837"/>
      <c r="AN278" s="837"/>
      <c r="AO278" s="837"/>
      <c r="AP278" s="837"/>
      <c r="AQ278" s="837"/>
      <c r="AR278" s="837"/>
      <c r="AS278" s="874"/>
      <c r="AT278" s="837"/>
      <c r="AU278" s="836"/>
      <c r="AV278" s="836"/>
      <c r="AW278" s="836"/>
      <c r="AX278" s="836"/>
      <c r="AY278" s="836"/>
    </row>
    <row r="279" spans="4:51" s="526" customFormat="1" x14ac:dyDescent="0.2">
      <c r="D279" s="708"/>
      <c r="E279" s="708"/>
      <c r="F279" s="708"/>
      <c r="G279" s="527"/>
      <c r="H279" s="709"/>
      <c r="I279" s="710"/>
      <c r="J279" s="710"/>
      <c r="K279" s="711"/>
      <c r="L279" s="711"/>
      <c r="M279" s="710"/>
      <c r="N279" s="711"/>
      <c r="O279" s="710"/>
      <c r="P279" s="527"/>
      <c r="Q279" s="527"/>
      <c r="R279" s="711"/>
      <c r="U279" s="712"/>
      <c r="V279" s="712"/>
      <c r="W279" s="712"/>
      <c r="X279" s="604"/>
      <c r="Y279" s="604"/>
      <c r="Z279" s="873"/>
      <c r="AA279" s="866"/>
      <c r="AB279" s="864"/>
      <c r="AC279" s="837"/>
      <c r="AD279" s="837"/>
      <c r="AE279" s="837"/>
      <c r="AF279" s="837"/>
      <c r="AG279" s="837"/>
      <c r="AH279" s="837"/>
      <c r="AI279" s="837"/>
      <c r="AJ279" s="874"/>
      <c r="AK279" s="837"/>
      <c r="AL279" s="837"/>
      <c r="AM279" s="837"/>
      <c r="AN279" s="837"/>
      <c r="AO279" s="837"/>
      <c r="AP279" s="837"/>
      <c r="AQ279" s="837"/>
      <c r="AR279" s="837"/>
      <c r="AS279" s="874"/>
      <c r="AT279" s="837"/>
      <c r="AU279" s="836"/>
      <c r="AV279" s="836"/>
      <c r="AW279" s="836"/>
      <c r="AX279" s="836"/>
      <c r="AY279" s="836"/>
    </row>
    <row r="280" spans="4:51" s="526" customFormat="1" x14ac:dyDescent="0.2">
      <c r="D280" s="708"/>
      <c r="E280" s="708"/>
      <c r="F280" s="708"/>
      <c r="G280" s="527"/>
      <c r="H280" s="709"/>
      <c r="I280" s="710"/>
      <c r="J280" s="710"/>
      <c r="K280" s="711"/>
      <c r="L280" s="711"/>
      <c r="M280" s="710"/>
      <c r="N280" s="711"/>
      <c r="O280" s="710"/>
      <c r="P280" s="527"/>
      <c r="Q280" s="527"/>
      <c r="R280" s="711"/>
      <c r="U280" s="712"/>
      <c r="V280" s="712"/>
      <c r="W280" s="712"/>
      <c r="X280" s="604"/>
      <c r="Y280" s="604"/>
      <c r="Z280" s="873"/>
      <c r="AA280" s="866"/>
      <c r="AB280" s="864"/>
      <c r="AC280" s="837"/>
      <c r="AD280" s="837"/>
      <c r="AE280" s="837"/>
      <c r="AF280" s="837"/>
      <c r="AG280" s="837"/>
      <c r="AH280" s="837"/>
      <c r="AI280" s="837"/>
      <c r="AJ280" s="874"/>
      <c r="AK280" s="837"/>
      <c r="AL280" s="837"/>
      <c r="AM280" s="837"/>
      <c r="AN280" s="837"/>
      <c r="AO280" s="837"/>
      <c r="AP280" s="837"/>
      <c r="AQ280" s="837"/>
      <c r="AR280" s="837"/>
      <c r="AS280" s="874"/>
      <c r="AT280" s="837"/>
      <c r="AU280" s="836"/>
      <c r="AV280" s="836"/>
      <c r="AW280" s="836"/>
      <c r="AX280" s="836"/>
      <c r="AY280" s="836"/>
    </row>
    <row r="281" spans="4:51" s="526" customFormat="1" x14ac:dyDescent="0.2">
      <c r="D281" s="708"/>
      <c r="E281" s="708"/>
      <c r="F281" s="708"/>
      <c r="G281" s="527"/>
      <c r="H281" s="709"/>
      <c r="I281" s="710"/>
      <c r="J281" s="710"/>
      <c r="K281" s="711"/>
      <c r="L281" s="711"/>
      <c r="M281" s="710"/>
      <c r="N281" s="711"/>
      <c r="O281" s="710"/>
      <c r="P281" s="527"/>
      <c r="Q281" s="527"/>
      <c r="R281" s="711"/>
      <c r="U281" s="712"/>
      <c r="V281" s="712"/>
      <c r="W281" s="712"/>
      <c r="X281" s="604"/>
      <c r="Y281" s="604"/>
      <c r="Z281" s="873"/>
      <c r="AA281" s="866"/>
      <c r="AB281" s="864"/>
      <c r="AC281" s="837"/>
      <c r="AD281" s="837"/>
      <c r="AE281" s="837"/>
      <c r="AF281" s="837"/>
      <c r="AG281" s="837"/>
      <c r="AH281" s="837"/>
      <c r="AI281" s="837"/>
      <c r="AJ281" s="874"/>
      <c r="AK281" s="837"/>
      <c r="AL281" s="837"/>
      <c r="AM281" s="837"/>
      <c r="AN281" s="837"/>
      <c r="AO281" s="837"/>
      <c r="AP281" s="837"/>
      <c r="AQ281" s="837"/>
      <c r="AR281" s="837"/>
      <c r="AS281" s="874"/>
      <c r="AT281" s="837"/>
      <c r="AU281" s="836"/>
      <c r="AV281" s="836"/>
      <c r="AW281" s="836"/>
      <c r="AX281" s="836"/>
      <c r="AY281" s="836"/>
    </row>
    <row r="282" spans="4:51" s="526" customFormat="1" x14ac:dyDescent="0.2">
      <c r="D282" s="708"/>
      <c r="E282" s="708"/>
      <c r="F282" s="708"/>
      <c r="G282" s="527"/>
      <c r="H282" s="709"/>
      <c r="I282" s="710"/>
      <c r="J282" s="710"/>
      <c r="K282" s="711"/>
      <c r="L282" s="711"/>
      <c r="M282" s="710"/>
      <c r="N282" s="711"/>
      <c r="O282" s="710"/>
      <c r="P282" s="527"/>
      <c r="Q282" s="527"/>
      <c r="R282" s="711"/>
      <c r="U282" s="712"/>
      <c r="V282" s="712"/>
      <c r="W282" s="712"/>
      <c r="X282" s="604"/>
      <c r="Y282" s="604"/>
      <c r="Z282" s="873"/>
      <c r="AA282" s="866"/>
      <c r="AB282" s="864"/>
      <c r="AC282" s="837"/>
      <c r="AD282" s="837"/>
      <c r="AE282" s="837"/>
      <c r="AF282" s="837"/>
      <c r="AG282" s="837"/>
      <c r="AH282" s="837"/>
      <c r="AI282" s="837"/>
      <c r="AJ282" s="874"/>
      <c r="AK282" s="837"/>
      <c r="AL282" s="837"/>
      <c r="AM282" s="837"/>
      <c r="AN282" s="837"/>
      <c r="AO282" s="837"/>
      <c r="AP282" s="837"/>
      <c r="AQ282" s="837"/>
      <c r="AR282" s="837"/>
      <c r="AS282" s="874"/>
      <c r="AT282" s="837"/>
      <c r="AU282" s="836"/>
      <c r="AV282" s="836"/>
      <c r="AW282" s="836"/>
      <c r="AX282" s="836"/>
      <c r="AY282" s="836"/>
    </row>
    <row r="283" spans="4:51" s="526" customFormat="1" x14ac:dyDescent="0.2">
      <c r="D283" s="708"/>
      <c r="E283" s="708"/>
      <c r="F283" s="708"/>
      <c r="G283" s="527"/>
      <c r="H283" s="709"/>
      <c r="I283" s="710"/>
      <c r="J283" s="710"/>
      <c r="K283" s="711"/>
      <c r="L283" s="711"/>
      <c r="M283" s="710"/>
      <c r="N283" s="711"/>
      <c r="O283" s="710"/>
      <c r="P283" s="527"/>
      <c r="Q283" s="527"/>
      <c r="R283" s="711"/>
      <c r="U283" s="712"/>
      <c r="V283" s="712"/>
      <c r="W283" s="712"/>
      <c r="X283" s="604"/>
      <c r="Y283" s="604"/>
      <c r="Z283" s="873"/>
      <c r="AA283" s="866"/>
      <c r="AB283" s="864"/>
      <c r="AC283" s="837"/>
      <c r="AD283" s="837"/>
      <c r="AE283" s="837"/>
      <c r="AF283" s="837"/>
      <c r="AG283" s="837"/>
      <c r="AH283" s="837"/>
      <c r="AI283" s="837"/>
      <c r="AJ283" s="874"/>
      <c r="AK283" s="837"/>
      <c r="AL283" s="837"/>
      <c r="AM283" s="837"/>
      <c r="AN283" s="837"/>
      <c r="AO283" s="837"/>
      <c r="AP283" s="837"/>
      <c r="AQ283" s="837"/>
      <c r="AR283" s="837"/>
      <c r="AS283" s="874"/>
      <c r="AT283" s="837"/>
      <c r="AU283" s="836"/>
      <c r="AV283" s="836"/>
      <c r="AW283" s="836"/>
      <c r="AX283" s="836"/>
      <c r="AY283" s="836"/>
    </row>
    <row r="284" spans="4:51" s="526" customFormat="1" x14ac:dyDescent="0.2">
      <c r="D284" s="708"/>
      <c r="E284" s="708"/>
      <c r="F284" s="708"/>
      <c r="G284" s="527"/>
      <c r="H284" s="709"/>
      <c r="I284" s="710"/>
      <c r="J284" s="710"/>
      <c r="K284" s="711"/>
      <c r="L284" s="711"/>
      <c r="M284" s="710"/>
      <c r="N284" s="711"/>
      <c r="O284" s="710"/>
      <c r="P284" s="527"/>
      <c r="Q284" s="527"/>
      <c r="R284" s="711"/>
      <c r="U284" s="712"/>
      <c r="V284" s="712"/>
      <c r="W284" s="712"/>
      <c r="X284" s="604"/>
      <c r="Y284" s="604"/>
      <c r="Z284" s="873"/>
      <c r="AA284" s="866"/>
      <c r="AB284" s="864"/>
      <c r="AC284" s="837"/>
      <c r="AD284" s="837"/>
      <c r="AE284" s="837"/>
      <c r="AF284" s="837"/>
      <c r="AG284" s="837"/>
      <c r="AH284" s="837"/>
      <c r="AI284" s="837"/>
      <c r="AJ284" s="874"/>
      <c r="AK284" s="837"/>
      <c r="AL284" s="837"/>
      <c r="AM284" s="837"/>
      <c r="AN284" s="837"/>
      <c r="AO284" s="837"/>
      <c r="AP284" s="837"/>
      <c r="AQ284" s="837"/>
      <c r="AR284" s="837"/>
      <c r="AS284" s="874"/>
      <c r="AT284" s="837"/>
      <c r="AU284" s="836"/>
      <c r="AV284" s="836"/>
      <c r="AW284" s="836"/>
      <c r="AX284" s="836"/>
      <c r="AY284" s="836"/>
    </row>
    <row r="285" spans="4:51" s="526" customFormat="1" x14ac:dyDescent="0.2">
      <c r="D285" s="708"/>
      <c r="E285" s="708"/>
      <c r="F285" s="708"/>
      <c r="G285" s="527"/>
      <c r="H285" s="709"/>
      <c r="I285" s="710"/>
      <c r="J285" s="710"/>
      <c r="K285" s="711"/>
      <c r="L285" s="711"/>
      <c r="M285" s="710"/>
      <c r="N285" s="711"/>
      <c r="O285" s="710"/>
      <c r="P285" s="527"/>
      <c r="Q285" s="527"/>
      <c r="R285" s="711"/>
      <c r="U285" s="712"/>
      <c r="V285" s="712"/>
      <c r="W285" s="712"/>
      <c r="X285" s="604"/>
      <c r="Y285" s="604"/>
      <c r="Z285" s="873"/>
      <c r="AA285" s="866"/>
      <c r="AB285" s="864"/>
      <c r="AC285" s="837"/>
      <c r="AD285" s="837"/>
      <c r="AE285" s="837"/>
      <c r="AF285" s="837"/>
      <c r="AG285" s="837"/>
      <c r="AH285" s="837"/>
      <c r="AI285" s="837"/>
      <c r="AJ285" s="874"/>
      <c r="AK285" s="837"/>
      <c r="AL285" s="837"/>
      <c r="AM285" s="837"/>
      <c r="AN285" s="837"/>
      <c r="AO285" s="837"/>
      <c r="AP285" s="837"/>
      <c r="AQ285" s="837"/>
      <c r="AR285" s="837"/>
      <c r="AS285" s="874"/>
      <c r="AT285" s="837"/>
      <c r="AU285" s="836"/>
      <c r="AV285" s="836"/>
      <c r="AW285" s="836"/>
      <c r="AX285" s="836"/>
      <c r="AY285" s="836"/>
    </row>
    <row r="286" spans="4:51" s="526" customFormat="1" x14ac:dyDescent="0.2">
      <c r="D286" s="708"/>
      <c r="E286" s="708"/>
      <c r="F286" s="708"/>
      <c r="G286" s="527"/>
      <c r="H286" s="709"/>
      <c r="I286" s="710"/>
      <c r="J286" s="710"/>
      <c r="K286" s="711"/>
      <c r="L286" s="711"/>
      <c r="M286" s="710"/>
      <c r="N286" s="711"/>
      <c r="O286" s="710"/>
      <c r="P286" s="527"/>
      <c r="Q286" s="527"/>
      <c r="R286" s="711"/>
      <c r="U286" s="712"/>
      <c r="V286" s="712"/>
      <c r="W286" s="712"/>
      <c r="X286" s="604"/>
      <c r="Y286" s="604"/>
      <c r="Z286" s="873"/>
      <c r="AA286" s="866"/>
      <c r="AB286" s="864"/>
      <c r="AC286" s="837"/>
      <c r="AD286" s="837"/>
      <c r="AE286" s="837"/>
      <c r="AF286" s="837"/>
      <c r="AG286" s="837"/>
      <c r="AH286" s="837"/>
      <c r="AI286" s="837"/>
      <c r="AJ286" s="874"/>
      <c r="AK286" s="837"/>
      <c r="AL286" s="837"/>
      <c r="AM286" s="837"/>
      <c r="AN286" s="837"/>
      <c r="AO286" s="837"/>
      <c r="AP286" s="837"/>
      <c r="AQ286" s="837"/>
      <c r="AR286" s="837"/>
      <c r="AS286" s="874"/>
      <c r="AT286" s="837"/>
      <c r="AU286" s="836"/>
      <c r="AV286" s="836"/>
      <c r="AW286" s="836"/>
      <c r="AX286" s="836"/>
      <c r="AY286" s="836"/>
    </row>
    <row r="287" spans="4:51" s="526" customFormat="1" x14ac:dyDescent="0.2">
      <c r="D287" s="708"/>
      <c r="E287" s="708"/>
      <c r="F287" s="708"/>
      <c r="G287" s="527"/>
      <c r="H287" s="709"/>
      <c r="I287" s="710"/>
      <c r="J287" s="710"/>
      <c r="K287" s="711"/>
      <c r="L287" s="711"/>
      <c r="M287" s="710"/>
      <c r="N287" s="711"/>
      <c r="O287" s="710"/>
      <c r="P287" s="527"/>
      <c r="Q287" s="527"/>
      <c r="R287" s="711"/>
      <c r="U287" s="712"/>
      <c r="V287" s="712"/>
      <c r="W287" s="712"/>
      <c r="X287" s="604"/>
      <c r="Y287" s="604"/>
      <c r="Z287" s="873"/>
      <c r="AA287" s="866"/>
      <c r="AB287" s="864"/>
      <c r="AC287" s="837"/>
      <c r="AD287" s="837"/>
      <c r="AE287" s="837"/>
      <c r="AF287" s="837"/>
      <c r="AG287" s="837"/>
      <c r="AH287" s="837"/>
      <c r="AI287" s="837"/>
      <c r="AJ287" s="874"/>
      <c r="AK287" s="837"/>
      <c r="AL287" s="837"/>
      <c r="AM287" s="837"/>
      <c r="AN287" s="837"/>
      <c r="AO287" s="837"/>
      <c r="AP287" s="837"/>
      <c r="AQ287" s="837"/>
      <c r="AR287" s="837"/>
      <c r="AS287" s="874"/>
      <c r="AT287" s="837"/>
      <c r="AU287" s="836"/>
      <c r="AV287" s="836"/>
      <c r="AW287" s="836"/>
      <c r="AX287" s="836"/>
      <c r="AY287" s="836"/>
    </row>
    <row r="288" spans="4:51" s="526" customFormat="1" x14ac:dyDescent="0.2">
      <c r="D288" s="708"/>
      <c r="E288" s="708"/>
      <c r="F288" s="708"/>
      <c r="G288" s="527"/>
      <c r="H288" s="709"/>
      <c r="I288" s="710"/>
      <c r="J288" s="710"/>
      <c r="K288" s="711"/>
      <c r="L288" s="711"/>
      <c r="M288" s="710"/>
      <c r="N288" s="711"/>
      <c r="O288" s="710"/>
      <c r="P288" s="527"/>
      <c r="Q288" s="527"/>
      <c r="R288" s="711"/>
      <c r="U288" s="712"/>
      <c r="V288" s="712"/>
      <c r="W288" s="712"/>
      <c r="X288" s="604"/>
      <c r="Y288" s="604"/>
      <c r="Z288" s="873"/>
      <c r="AA288" s="866"/>
      <c r="AB288" s="864"/>
      <c r="AC288" s="837"/>
      <c r="AD288" s="837"/>
      <c r="AE288" s="837"/>
      <c r="AF288" s="837"/>
      <c r="AG288" s="837"/>
      <c r="AH288" s="837"/>
      <c r="AI288" s="837"/>
      <c r="AJ288" s="874"/>
      <c r="AK288" s="837"/>
      <c r="AL288" s="837"/>
      <c r="AM288" s="837"/>
      <c r="AN288" s="837"/>
      <c r="AO288" s="837"/>
      <c r="AP288" s="837"/>
      <c r="AQ288" s="837"/>
      <c r="AR288" s="837"/>
      <c r="AS288" s="874"/>
      <c r="AT288" s="837"/>
      <c r="AU288" s="836"/>
      <c r="AV288" s="836"/>
      <c r="AW288" s="836"/>
      <c r="AX288" s="836"/>
      <c r="AY288" s="836"/>
    </row>
    <row r="289" spans="4:51" s="526" customFormat="1" x14ac:dyDescent="0.2">
      <c r="D289" s="708"/>
      <c r="E289" s="708"/>
      <c r="F289" s="708"/>
      <c r="G289" s="527"/>
      <c r="H289" s="709"/>
      <c r="I289" s="710"/>
      <c r="J289" s="710"/>
      <c r="K289" s="711"/>
      <c r="L289" s="711"/>
      <c r="M289" s="710"/>
      <c r="N289" s="711"/>
      <c r="O289" s="710"/>
      <c r="P289" s="527"/>
      <c r="Q289" s="527"/>
      <c r="R289" s="711"/>
      <c r="U289" s="712"/>
      <c r="V289" s="712"/>
      <c r="W289" s="712"/>
      <c r="X289" s="604"/>
      <c r="Y289" s="604"/>
      <c r="Z289" s="873"/>
      <c r="AA289" s="866"/>
      <c r="AB289" s="864"/>
      <c r="AC289" s="837"/>
      <c r="AD289" s="837"/>
      <c r="AE289" s="837"/>
      <c r="AF289" s="837"/>
      <c r="AG289" s="837"/>
      <c r="AH289" s="837"/>
      <c r="AI289" s="837"/>
      <c r="AJ289" s="874"/>
      <c r="AK289" s="837"/>
      <c r="AL289" s="837"/>
      <c r="AM289" s="837"/>
      <c r="AN289" s="837"/>
      <c r="AO289" s="837"/>
      <c r="AP289" s="837"/>
      <c r="AQ289" s="837"/>
      <c r="AR289" s="837"/>
      <c r="AS289" s="874"/>
      <c r="AT289" s="837"/>
      <c r="AU289" s="836"/>
      <c r="AV289" s="836"/>
      <c r="AW289" s="836"/>
      <c r="AX289" s="836"/>
      <c r="AY289" s="836"/>
    </row>
    <row r="290" spans="4:51" s="526" customFormat="1" x14ac:dyDescent="0.2">
      <c r="D290" s="708"/>
      <c r="E290" s="708"/>
      <c r="F290" s="708"/>
      <c r="G290" s="527"/>
      <c r="H290" s="709"/>
      <c r="I290" s="710"/>
      <c r="J290" s="710"/>
      <c r="K290" s="711"/>
      <c r="L290" s="711"/>
      <c r="M290" s="710"/>
      <c r="N290" s="711"/>
      <c r="O290" s="710"/>
      <c r="P290" s="527"/>
      <c r="Q290" s="527"/>
      <c r="R290" s="711"/>
      <c r="U290" s="712"/>
      <c r="V290" s="712"/>
      <c r="W290" s="712"/>
      <c r="X290" s="604"/>
      <c r="Y290" s="604"/>
      <c r="Z290" s="873"/>
      <c r="AA290" s="866"/>
      <c r="AB290" s="864"/>
      <c r="AC290" s="837"/>
      <c r="AD290" s="837"/>
      <c r="AE290" s="837"/>
      <c r="AF290" s="837"/>
      <c r="AG290" s="837"/>
      <c r="AH290" s="837"/>
      <c r="AI290" s="837"/>
      <c r="AJ290" s="874"/>
      <c r="AK290" s="837"/>
      <c r="AL290" s="837"/>
      <c r="AM290" s="837"/>
      <c r="AN290" s="837"/>
      <c r="AO290" s="837"/>
      <c r="AP290" s="837"/>
      <c r="AQ290" s="837"/>
      <c r="AR290" s="837"/>
      <c r="AS290" s="874"/>
      <c r="AT290" s="837"/>
      <c r="AU290" s="836"/>
      <c r="AV290" s="836"/>
      <c r="AW290" s="836"/>
      <c r="AX290" s="836"/>
      <c r="AY290" s="836"/>
    </row>
    <row r="291" spans="4:51" s="526" customFormat="1" x14ac:dyDescent="0.2">
      <c r="D291" s="708"/>
      <c r="E291" s="708"/>
      <c r="F291" s="708"/>
      <c r="G291" s="527"/>
      <c r="H291" s="709"/>
      <c r="I291" s="710"/>
      <c r="J291" s="710"/>
      <c r="K291" s="711"/>
      <c r="L291" s="711"/>
      <c r="M291" s="710"/>
      <c r="N291" s="711"/>
      <c r="O291" s="710"/>
      <c r="P291" s="527"/>
      <c r="Q291" s="527"/>
      <c r="R291" s="711"/>
      <c r="U291" s="712"/>
      <c r="V291" s="712"/>
      <c r="W291" s="712"/>
      <c r="X291" s="604"/>
      <c r="Y291" s="604"/>
      <c r="Z291" s="873"/>
      <c r="AA291" s="866"/>
      <c r="AB291" s="864"/>
      <c r="AC291" s="837"/>
      <c r="AD291" s="837"/>
      <c r="AE291" s="837"/>
      <c r="AF291" s="837"/>
      <c r="AG291" s="837"/>
      <c r="AH291" s="837"/>
      <c r="AI291" s="837"/>
      <c r="AJ291" s="874"/>
      <c r="AK291" s="837"/>
      <c r="AL291" s="837"/>
      <c r="AM291" s="837"/>
      <c r="AN291" s="837"/>
      <c r="AO291" s="837"/>
      <c r="AP291" s="837"/>
      <c r="AQ291" s="837"/>
      <c r="AR291" s="837"/>
      <c r="AS291" s="874"/>
      <c r="AT291" s="837"/>
      <c r="AU291" s="836"/>
      <c r="AV291" s="836"/>
      <c r="AW291" s="836"/>
      <c r="AX291" s="836"/>
      <c r="AY291" s="836"/>
    </row>
    <row r="292" spans="4:51" s="526" customFormat="1" x14ac:dyDescent="0.2">
      <c r="D292" s="708"/>
      <c r="E292" s="708"/>
      <c r="F292" s="708"/>
      <c r="G292" s="527"/>
      <c r="H292" s="709"/>
      <c r="I292" s="710"/>
      <c r="J292" s="710"/>
      <c r="K292" s="711"/>
      <c r="L292" s="711"/>
      <c r="M292" s="710"/>
      <c r="N292" s="711"/>
      <c r="O292" s="710"/>
      <c r="P292" s="527"/>
      <c r="Q292" s="527"/>
      <c r="R292" s="711"/>
      <c r="U292" s="712"/>
      <c r="V292" s="712"/>
      <c r="W292" s="712"/>
      <c r="X292" s="604"/>
      <c r="Y292" s="604"/>
      <c r="Z292" s="873"/>
      <c r="AA292" s="866"/>
      <c r="AB292" s="864"/>
      <c r="AC292" s="837"/>
      <c r="AD292" s="837"/>
      <c r="AE292" s="837"/>
      <c r="AF292" s="837"/>
      <c r="AG292" s="837"/>
      <c r="AH292" s="837"/>
      <c r="AI292" s="837"/>
      <c r="AJ292" s="874"/>
      <c r="AK292" s="837"/>
      <c r="AL292" s="837"/>
      <c r="AM292" s="837"/>
      <c r="AN292" s="837"/>
      <c r="AO292" s="837"/>
      <c r="AP292" s="837"/>
      <c r="AQ292" s="837"/>
      <c r="AR292" s="837"/>
      <c r="AS292" s="874"/>
      <c r="AT292" s="837"/>
      <c r="AU292" s="836"/>
      <c r="AV292" s="836"/>
      <c r="AW292" s="836"/>
      <c r="AX292" s="836"/>
      <c r="AY292" s="836"/>
    </row>
    <row r="293" spans="4:51" s="526" customFormat="1" x14ac:dyDescent="0.2">
      <c r="D293" s="708"/>
      <c r="E293" s="708"/>
      <c r="F293" s="708"/>
      <c r="G293" s="527"/>
      <c r="H293" s="709"/>
      <c r="I293" s="710"/>
      <c r="J293" s="710"/>
      <c r="K293" s="711"/>
      <c r="L293" s="711"/>
      <c r="M293" s="710"/>
      <c r="N293" s="711"/>
      <c r="O293" s="710"/>
      <c r="P293" s="527"/>
      <c r="Q293" s="527"/>
      <c r="R293" s="711"/>
      <c r="U293" s="712"/>
      <c r="V293" s="712"/>
      <c r="W293" s="712"/>
      <c r="X293" s="604"/>
      <c r="Y293" s="604"/>
      <c r="Z293" s="873"/>
      <c r="AA293" s="866"/>
      <c r="AB293" s="864"/>
      <c r="AC293" s="837"/>
      <c r="AD293" s="837"/>
      <c r="AE293" s="837"/>
      <c r="AF293" s="837"/>
      <c r="AG293" s="837"/>
      <c r="AH293" s="837"/>
      <c r="AI293" s="837"/>
      <c r="AJ293" s="874"/>
      <c r="AK293" s="837"/>
      <c r="AL293" s="837"/>
      <c r="AM293" s="837"/>
      <c r="AN293" s="837"/>
      <c r="AO293" s="837"/>
      <c r="AP293" s="837"/>
      <c r="AQ293" s="837"/>
      <c r="AR293" s="837"/>
      <c r="AS293" s="874"/>
      <c r="AT293" s="837"/>
      <c r="AU293" s="836"/>
      <c r="AV293" s="836"/>
      <c r="AW293" s="836"/>
      <c r="AX293" s="836"/>
      <c r="AY293" s="836"/>
    </row>
    <row r="294" spans="4:51" s="526" customFormat="1" x14ac:dyDescent="0.2">
      <c r="D294" s="708"/>
      <c r="E294" s="708"/>
      <c r="F294" s="708"/>
      <c r="G294" s="527"/>
      <c r="H294" s="709"/>
      <c r="I294" s="710"/>
      <c r="J294" s="710"/>
      <c r="K294" s="711"/>
      <c r="L294" s="711"/>
      <c r="M294" s="710"/>
      <c r="N294" s="711"/>
      <c r="O294" s="710"/>
      <c r="P294" s="527"/>
      <c r="Q294" s="527"/>
      <c r="R294" s="711"/>
      <c r="U294" s="712"/>
      <c r="V294" s="712"/>
      <c r="W294" s="712"/>
      <c r="X294" s="604"/>
      <c r="Y294" s="604"/>
      <c r="Z294" s="873"/>
      <c r="AA294" s="866"/>
      <c r="AB294" s="864"/>
      <c r="AC294" s="837"/>
      <c r="AD294" s="837"/>
      <c r="AE294" s="837"/>
      <c r="AF294" s="837"/>
      <c r="AG294" s="837"/>
      <c r="AH294" s="837"/>
      <c r="AI294" s="837"/>
      <c r="AJ294" s="874"/>
      <c r="AK294" s="837"/>
      <c r="AL294" s="837"/>
      <c r="AM294" s="837"/>
      <c r="AN294" s="837"/>
      <c r="AO294" s="837"/>
      <c r="AP294" s="837"/>
      <c r="AQ294" s="837"/>
      <c r="AR294" s="837"/>
      <c r="AS294" s="874"/>
      <c r="AT294" s="837"/>
      <c r="AU294" s="836"/>
      <c r="AV294" s="836"/>
      <c r="AW294" s="836"/>
      <c r="AX294" s="836"/>
      <c r="AY294" s="836"/>
    </row>
    <row r="295" spans="4:51" s="526" customFormat="1" x14ac:dyDescent="0.2">
      <c r="D295" s="708"/>
      <c r="E295" s="708"/>
      <c r="F295" s="708"/>
      <c r="G295" s="527"/>
      <c r="H295" s="709"/>
      <c r="I295" s="710"/>
      <c r="J295" s="710"/>
      <c r="K295" s="711"/>
      <c r="L295" s="711"/>
      <c r="M295" s="710"/>
      <c r="N295" s="711"/>
      <c r="O295" s="710"/>
      <c r="P295" s="527"/>
      <c r="Q295" s="527"/>
      <c r="R295" s="711"/>
      <c r="U295" s="712"/>
      <c r="V295" s="712"/>
      <c r="W295" s="712"/>
      <c r="X295" s="604"/>
      <c r="Y295" s="604"/>
      <c r="Z295" s="873"/>
      <c r="AA295" s="866"/>
      <c r="AB295" s="864"/>
      <c r="AC295" s="837"/>
      <c r="AD295" s="837"/>
      <c r="AE295" s="837"/>
      <c r="AF295" s="837"/>
      <c r="AG295" s="837"/>
      <c r="AH295" s="837"/>
      <c r="AI295" s="837"/>
      <c r="AJ295" s="874"/>
      <c r="AK295" s="837"/>
      <c r="AL295" s="837"/>
      <c r="AM295" s="837"/>
      <c r="AN295" s="837"/>
      <c r="AO295" s="837"/>
      <c r="AP295" s="837"/>
      <c r="AQ295" s="837"/>
      <c r="AR295" s="837"/>
      <c r="AS295" s="874"/>
      <c r="AT295" s="837"/>
      <c r="AU295" s="836"/>
      <c r="AV295" s="836"/>
      <c r="AW295" s="836"/>
      <c r="AX295" s="836"/>
      <c r="AY295" s="836"/>
    </row>
    <row r="296" spans="4:51" s="526" customFormat="1" x14ac:dyDescent="0.2">
      <c r="D296" s="708"/>
      <c r="E296" s="708"/>
      <c r="F296" s="708"/>
      <c r="G296" s="527"/>
      <c r="H296" s="709"/>
      <c r="I296" s="710"/>
      <c r="J296" s="710"/>
      <c r="K296" s="711"/>
      <c r="L296" s="711"/>
      <c r="M296" s="710"/>
      <c r="N296" s="711"/>
      <c r="O296" s="710"/>
      <c r="P296" s="527"/>
      <c r="Q296" s="527"/>
      <c r="R296" s="711"/>
      <c r="U296" s="712"/>
      <c r="V296" s="712"/>
      <c r="W296" s="712"/>
      <c r="X296" s="604"/>
      <c r="Y296" s="604"/>
      <c r="Z296" s="873"/>
      <c r="AA296" s="866"/>
      <c r="AB296" s="864"/>
      <c r="AC296" s="837"/>
      <c r="AD296" s="837"/>
      <c r="AE296" s="837"/>
      <c r="AF296" s="837"/>
      <c r="AG296" s="837"/>
      <c r="AH296" s="837"/>
      <c r="AI296" s="837"/>
      <c r="AJ296" s="874"/>
      <c r="AK296" s="837"/>
      <c r="AL296" s="837"/>
      <c r="AM296" s="837"/>
      <c r="AN296" s="837"/>
      <c r="AO296" s="837"/>
      <c r="AP296" s="837"/>
      <c r="AQ296" s="837"/>
      <c r="AR296" s="837"/>
      <c r="AS296" s="874"/>
      <c r="AT296" s="837"/>
      <c r="AU296" s="836"/>
      <c r="AV296" s="836"/>
      <c r="AW296" s="836"/>
      <c r="AX296" s="836"/>
      <c r="AY296" s="836"/>
    </row>
    <row r="297" spans="4:51" s="526" customFormat="1" x14ac:dyDescent="0.2">
      <c r="D297" s="708"/>
      <c r="E297" s="708"/>
      <c r="F297" s="708"/>
      <c r="G297" s="527"/>
      <c r="H297" s="709"/>
      <c r="I297" s="710"/>
      <c r="J297" s="710"/>
      <c r="K297" s="711"/>
      <c r="L297" s="711"/>
      <c r="M297" s="710"/>
      <c r="N297" s="711"/>
      <c r="O297" s="710"/>
      <c r="P297" s="527"/>
      <c r="Q297" s="527"/>
      <c r="R297" s="711"/>
      <c r="U297" s="712"/>
      <c r="V297" s="712"/>
      <c r="W297" s="712"/>
      <c r="X297" s="604"/>
      <c r="Y297" s="604"/>
      <c r="Z297" s="873"/>
      <c r="AA297" s="866"/>
      <c r="AB297" s="864"/>
      <c r="AC297" s="837"/>
      <c r="AD297" s="837"/>
      <c r="AE297" s="837"/>
      <c r="AF297" s="837"/>
      <c r="AG297" s="837"/>
      <c r="AH297" s="837"/>
      <c r="AI297" s="837"/>
      <c r="AJ297" s="874"/>
      <c r="AK297" s="837"/>
      <c r="AL297" s="837"/>
      <c r="AM297" s="837"/>
      <c r="AN297" s="837"/>
      <c r="AO297" s="837"/>
      <c r="AP297" s="837"/>
      <c r="AQ297" s="837"/>
      <c r="AR297" s="837"/>
      <c r="AS297" s="874"/>
      <c r="AT297" s="837"/>
      <c r="AU297" s="836"/>
      <c r="AV297" s="836"/>
      <c r="AW297" s="836"/>
      <c r="AX297" s="836"/>
      <c r="AY297" s="836"/>
    </row>
    <row r="298" spans="4:51" s="526" customFormat="1" x14ac:dyDescent="0.2">
      <c r="D298" s="708"/>
      <c r="E298" s="708"/>
      <c r="F298" s="708"/>
      <c r="G298" s="527"/>
      <c r="H298" s="709"/>
      <c r="I298" s="710"/>
      <c r="J298" s="710"/>
      <c r="K298" s="711"/>
      <c r="L298" s="711"/>
      <c r="M298" s="710"/>
      <c r="N298" s="711"/>
      <c r="O298" s="710"/>
      <c r="P298" s="527"/>
      <c r="Q298" s="527"/>
      <c r="R298" s="711"/>
      <c r="U298" s="712"/>
      <c r="V298" s="712"/>
      <c r="W298" s="712"/>
      <c r="X298" s="604"/>
      <c r="Y298" s="604"/>
      <c r="Z298" s="873"/>
      <c r="AA298" s="866"/>
      <c r="AB298" s="864"/>
      <c r="AC298" s="837"/>
      <c r="AD298" s="837"/>
      <c r="AE298" s="837"/>
      <c r="AF298" s="837"/>
      <c r="AG298" s="837"/>
      <c r="AH298" s="837"/>
      <c r="AI298" s="837"/>
      <c r="AJ298" s="874"/>
      <c r="AK298" s="837"/>
      <c r="AL298" s="837"/>
      <c r="AM298" s="837"/>
      <c r="AN298" s="837"/>
      <c r="AO298" s="837"/>
      <c r="AP298" s="837"/>
      <c r="AQ298" s="837"/>
      <c r="AR298" s="837"/>
      <c r="AS298" s="874"/>
      <c r="AT298" s="837"/>
      <c r="AU298" s="836"/>
      <c r="AV298" s="836"/>
      <c r="AW298" s="836"/>
      <c r="AX298" s="836"/>
      <c r="AY298" s="836"/>
    </row>
    <row r="299" spans="4:51" s="526" customFormat="1" x14ac:dyDescent="0.2">
      <c r="D299" s="708"/>
      <c r="E299" s="708"/>
      <c r="F299" s="708"/>
      <c r="G299" s="527"/>
      <c r="H299" s="709"/>
      <c r="I299" s="710"/>
      <c r="J299" s="710"/>
      <c r="K299" s="711"/>
      <c r="L299" s="711"/>
      <c r="M299" s="710"/>
      <c r="N299" s="711"/>
      <c r="O299" s="710"/>
      <c r="P299" s="527"/>
      <c r="Q299" s="527"/>
      <c r="R299" s="711"/>
      <c r="U299" s="712"/>
      <c r="V299" s="712"/>
      <c r="W299" s="712"/>
      <c r="X299" s="604"/>
      <c r="Y299" s="604"/>
      <c r="Z299" s="873"/>
      <c r="AA299" s="866"/>
      <c r="AB299" s="864"/>
      <c r="AC299" s="837"/>
      <c r="AD299" s="837"/>
      <c r="AE299" s="837"/>
      <c r="AF299" s="837"/>
      <c r="AG299" s="837"/>
      <c r="AH299" s="837"/>
      <c r="AI299" s="837"/>
      <c r="AJ299" s="874"/>
      <c r="AK299" s="837"/>
      <c r="AL299" s="837"/>
      <c r="AM299" s="837"/>
      <c r="AN299" s="837"/>
      <c r="AO299" s="837"/>
      <c r="AP299" s="837"/>
      <c r="AQ299" s="837"/>
      <c r="AR299" s="837"/>
      <c r="AS299" s="874"/>
      <c r="AT299" s="837"/>
      <c r="AU299" s="836"/>
      <c r="AV299" s="836"/>
      <c r="AW299" s="836"/>
      <c r="AX299" s="836"/>
      <c r="AY299" s="836"/>
    </row>
    <row r="300" spans="4:51" s="526" customFormat="1" x14ac:dyDescent="0.2">
      <c r="D300" s="708"/>
      <c r="E300" s="708"/>
      <c r="F300" s="708"/>
      <c r="G300" s="527"/>
      <c r="H300" s="709"/>
      <c r="I300" s="710"/>
      <c r="J300" s="710"/>
      <c r="K300" s="711"/>
      <c r="L300" s="711"/>
      <c r="M300" s="710"/>
      <c r="N300" s="711"/>
      <c r="O300" s="710"/>
      <c r="P300" s="527"/>
      <c r="Q300" s="527"/>
      <c r="R300" s="711"/>
      <c r="U300" s="712"/>
      <c r="V300" s="712"/>
      <c r="W300" s="712"/>
      <c r="X300" s="604"/>
      <c r="Y300" s="604"/>
      <c r="Z300" s="873"/>
      <c r="AA300" s="866"/>
      <c r="AB300" s="864"/>
      <c r="AC300" s="837"/>
      <c r="AD300" s="837"/>
      <c r="AE300" s="837"/>
      <c r="AF300" s="837"/>
      <c r="AG300" s="837"/>
      <c r="AH300" s="837"/>
      <c r="AI300" s="837"/>
      <c r="AJ300" s="874"/>
      <c r="AK300" s="837"/>
      <c r="AL300" s="837"/>
      <c r="AM300" s="837"/>
      <c r="AN300" s="837"/>
      <c r="AO300" s="837"/>
      <c r="AP300" s="837"/>
      <c r="AQ300" s="837"/>
      <c r="AR300" s="837"/>
      <c r="AS300" s="874"/>
      <c r="AT300" s="837"/>
      <c r="AU300" s="836"/>
      <c r="AV300" s="836"/>
      <c r="AW300" s="836"/>
      <c r="AX300" s="836"/>
      <c r="AY300" s="836"/>
    </row>
    <row r="301" spans="4:51" s="526" customFormat="1" x14ac:dyDescent="0.2">
      <c r="D301" s="708"/>
      <c r="E301" s="708"/>
      <c r="F301" s="708"/>
      <c r="G301" s="527"/>
      <c r="H301" s="709"/>
      <c r="I301" s="710"/>
      <c r="J301" s="710"/>
      <c r="K301" s="711"/>
      <c r="L301" s="711"/>
      <c r="M301" s="710"/>
      <c r="N301" s="711"/>
      <c r="O301" s="710"/>
      <c r="P301" s="527"/>
      <c r="Q301" s="527"/>
      <c r="R301" s="711"/>
      <c r="U301" s="712"/>
      <c r="V301" s="712"/>
      <c r="W301" s="712"/>
      <c r="X301" s="604"/>
      <c r="Y301" s="604"/>
      <c r="Z301" s="873"/>
      <c r="AA301" s="866"/>
      <c r="AB301" s="864"/>
      <c r="AC301" s="837"/>
      <c r="AD301" s="837"/>
      <c r="AE301" s="837"/>
      <c r="AF301" s="837"/>
      <c r="AG301" s="837"/>
      <c r="AH301" s="837"/>
      <c r="AI301" s="837"/>
      <c r="AJ301" s="874"/>
      <c r="AK301" s="837"/>
      <c r="AL301" s="837"/>
      <c r="AM301" s="837"/>
      <c r="AN301" s="837"/>
      <c r="AO301" s="837"/>
      <c r="AP301" s="837"/>
      <c r="AQ301" s="837"/>
      <c r="AR301" s="837"/>
      <c r="AS301" s="874"/>
      <c r="AT301" s="837"/>
      <c r="AU301" s="836"/>
      <c r="AV301" s="836"/>
      <c r="AW301" s="836"/>
      <c r="AX301" s="836"/>
      <c r="AY301" s="836"/>
    </row>
    <row r="302" spans="4:51" s="526" customFormat="1" x14ac:dyDescent="0.2">
      <c r="D302" s="708"/>
      <c r="E302" s="708"/>
      <c r="F302" s="708"/>
      <c r="G302" s="527"/>
      <c r="H302" s="709"/>
      <c r="I302" s="710"/>
      <c r="J302" s="710"/>
      <c r="K302" s="711"/>
      <c r="L302" s="711"/>
      <c r="M302" s="710"/>
      <c r="N302" s="711"/>
      <c r="O302" s="710"/>
      <c r="P302" s="527"/>
      <c r="Q302" s="527"/>
      <c r="R302" s="711"/>
      <c r="U302" s="712"/>
      <c r="V302" s="712"/>
      <c r="W302" s="712"/>
      <c r="X302" s="604"/>
      <c r="Y302" s="604"/>
      <c r="Z302" s="873"/>
      <c r="AA302" s="866"/>
      <c r="AB302" s="864"/>
      <c r="AC302" s="837"/>
      <c r="AD302" s="837"/>
      <c r="AE302" s="837"/>
      <c r="AF302" s="837"/>
      <c r="AG302" s="837"/>
      <c r="AH302" s="837"/>
      <c r="AI302" s="837"/>
      <c r="AJ302" s="874"/>
      <c r="AK302" s="837"/>
      <c r="AL302" s="837"/>
      <c r="AM302" s="837"/>
      <c r="AN302" s="837"/>
      <c r="AO302" s="837"/>
      <c r="AP302" s="837"/>
      <c r="AQ302" s="837"/>
      <c r="AR302" s="837"/>
      <c r="AS302" s="874"/>
      <c r="AT302" s="837"/>
      <c r="AU302" s="836"/>
      <c r="AV302" s="836"/>
      <c r="AW302" s="836"/>
      <c r="AX302" s="836"/>
      <c r="AY302" s="836"/>
    </row>
    <row r="303" spans="4:51" s="526" customFormat="1" x14ac:dyDescent="0.2">
      <c r="D303" s="708"/>
      <c r="E303" s="708"/>
      <c r="F303" s="708"/>
      <c r="G303" s="527"/>
      <c r="H303" s="709"/>
      <c r="I303" s="710"/>
      <c r="J303" s="710"/>
      <c r="K303" s="711"/>
      <c r="L303" s="711"/>
      <c r="M303" s="710"/>
      <c r="N303" s="711"/>
      <c r="O303" s="710"/>
      <c r="P303" s="527"/>
      <c r="Q303" s="527"/>
      <c r="R303" s="711"/>
      <c r="U303" s="712"/>
      <c r="V303" s="712"/>
      <c r="W303" s="712"/>
      <c r="X303" s="604"/>
      <c r="Y303" s="604"/>
      <c r="Z303" s="873"/>
      <c r="AA303" s="866"/>
      <c r="AB303" s="864"/>
      <c r="AC303" s="837"/>
      <c r="AD303" s="837"/>
      <c r="AE303" s="837"/>
      <c r="AF303" s="837"/>
      <c r="AG303" s="837"/>
      <c r="AH303" s="837"/>
      <c r="AI303" s="837"/>
      <c r="AJ303" s="874"/>
      <c r="AK303" s="837"/>
      <c r="AL303" s="837"/>
      <c r="AM303" s="837"/>
      <c r="AN303" s="837"/>
      <c r="AO303" s="837"/>
      <c r="AP303" s="837"/>
      <c r="AQ303" s="837"/>
      <c r="AR303" s="837"/>
      <c r="AS303" s="874"/>
      <c r="AT303" s="837"/>
      <c r="AU303" s="836"/>
      <c r="AV303" s="836"/>
      <c r="AW303" s="836"/>
      <c r="AX303" s="836"/>
      <c r="AY303" s="836"/>
    </row>
    <row r="304" spans="4:51" s="526" customFormat="1" x14ac:dyDescent="0.2">
      <c r="D304" s="708"/>
      <c r="E304" s="708"/>
      <c r="F304" s="708"/>
      <c r="G304" s="527"/>
      <c r="H304" s="709"/>
      <c r="I304" s="710"/>
      <c r="J304" s="710"/>
      <c r="K304" s="711"/>
      <c r="L304" s="711"/>
      <c r="M304" s="710"/>
      <c r="N304" s="711"/>
      <c r="O304" s="710"/>
      <c r="P304" s="527"/>
      <c r="Q304" s="527"/>
      <c r="R304" s="711"/>
      <c r="U304" s="712"/>
      <c r="V304" s="712"/>
      <c r="W304" s="712"/>
      <c r="X304" s="604"/>
      <c r="Y304" s="604"/>
      <c r="Z304" s="873"/>
      <c r="AA304" s="866"/>
      <c r="AB304" s="864"/>
      <c r="AC304" s="837"/>
      <c r="AD304" s="837"/>
      <c r="AE304" s="837"/>
      <c r="AF304" s="837"/>
      <c r="AG304" s="837"/>
      <c r="AH304" s="837"/>
      <c r="AI304" s="837"/>
      <c r="AJ304" s="874"/>
      <c r="AK304" s="837"/>
      <c r="AL304" s="837"/>
      <c r="AM304" s="837"/>
      <c r="AN304" s="837"/>
      <c r="AO304" s="837"/>
      <c r="AP304" s="837"/>
      <c r="AQ304" s="837"/>
      <c r="AR304" s="837"/>
      <c r="AS304" s="874"/>
      <c r="AT304" s="837"/>
      <c r="AU304" s="836"/>
      <c r="AV304" s="836"/>
      <c r="AW304" s="836"/>
      <c r="AX304" s="836"/>
      <c r="AY304" s="836"/>
    </row>
    <row r="305" spans="4:51" s="526" customFormat="1" x14ac:dyDescent="0.2">
      <c r="D305" s="708"/>
      <c r="E305" s="708"/>
      <c r="F305" s="708"/>
      <c r="G305" s="527"/>
      <c r="H305" s="709"/>
      <c r="I305" s="710"/>
      <c r="J305" s="710"/>
      <c r="K305" s="711"/>
      <c r="L305" s="711"/>
      <c r="M305" s="710"/>
      <c r="N305" s="711"/>
      <c r="O305" s="710"/>
      <c r="P305" s="527"/>
      <c r="Q305" s="527"/>
      <c r="R305" s="711"/>
      <c r="U305" s="712"/>
      <c r="V305" s="712"/>
      <c r="W305" s="712"/>
      <c r="X305" s="604"/>
      <c r="Y305" s="604"/>
      <c r="Z305" s="873"/>
      <c r="AA305" s="866"/>
      <c r="AB305" s="864"/>
      <c r="AC305" s="837"/>
      <c r="AD305" s="837"/>
      <c r="AE305" s="837"/>
      <c r="AF305" s="837"/>
      <c r="AG305" s="837"/>
      <c r="AH305" s="837"/>
      <c r="AI305" s="837"/>
      <c r="AJ305" s="874"/>
      <c r="AK305" s="837"/>
      <c r="AL305" s="837"/>
      <c r="AM305" s="837"/>
      <c r="AN305" s="837"/>
      <c r="AO305" s="837"/>
      <c r="AP305" s="837"/>
      <c r="AQ305" s="837"/>
      <c r="AR305" s="837"/>
      <c r="AS305" s="874"/>
      <c r="AT305" s="837"/>
      <c r="AU305" s="836"/>
      <c r="AV305" s="836"/>
      <c r="AW305" s="836"/>
      <c r="AX305" s="836"/>
      <c r="AY305" s="836"/>
    </row>
    <row r="306" spans="4:51" s="526" customFormat="1" x14ac:dyDescent="0.2">
      <c r="D306" s="708"/>
      <c r="E306" s="708"/>
      <c r="F306" s="708"/>
      <c r="G306" s="527"/>
      <c r="H306" s="709"/>
      <c r="I306" s="710"/>
      <c r="J306" s="710"/>
      <c r="K306" s="711"/>
      <c r="L306" s="711"/>
      <c r="M306" s="710"/>
      <c r="N306" s="711"/>
      <c r="O306" s="710"/>
      <c r="P306" s="527"/>
      <c r="Q306" s="527"/>
      <c r="R306" s="711"/>
      <c r="U306" s="712"/>
      <c r="V306" s="712"/>
      <c r="W306" s="712"/>
      <c r="X306" s="604"/>
      <c r="Y306" s="604"/>
      <c r="Z306" s="873"/>
      <c r="AA306" s="866"/>
      <c r="AB306" s="864"/>
      <c r="AC306" s="837"/>
      <c r="AD306" s="837"/>
      <c r="AE306" s="837"/>
      <c r="AF306" s="837"/>
      <c r="AG306" s="837"/>
      <c r="AH306" s="837"/>
      <c r="AI306" s="837"/>
      <c r="AJ306" s="874"/>
      <c r="AK306" s="837"/>
      <c r="AL306" s="837"/>
      <c r="AM306" s="837"/>
      <c r="AN306" s="837"/>
      <c r="AO306" s="837"/>
      <c r="AP306" s="837"/>
      <c r="AQ306" s="837"/>
      <c r="AR306" s="837"/>
      <c r="AS306" s="874"/>
      <c r="AT306" s="837"/>
      <c r="AU306" s="836"/>
      <c r="AV306" s="836"/>
      <c r="AW306" s="836"/>
      <c r="AX306" s="836"/>
      <c r="AY306" s="836"/>
    </row>
    <row r="307" spans="4:51" s="526" customFormat="1" x14ac:dyDescent="0.2">
      <c r="D307" s="708"/>
      <c r="E307" s="708"/>
      <c r="F307" s="708"/>
      <c r="G307" s="527"/>
      <c r="H307" s="709"/>
      <c r="I307" s="710"/>
      <c r="J307" s="710"/>
      <c r="K307" s="711"/>
      <c r="L307" s="711"/>
      <c r="M307" s="710"/>
      <c r="N307" s="711"/>
      <c r="O307" s="710"/>
      <c r="P307" s="527"/>
      <c r="Q307" s="527"/>
      <c r="R307" s="711"/>
      <c r="U307" s="712"/>
      <c r="V307" s="712"/>
      <c r="W307" s="712"/>
      <c r="X307" s="604"/>
      <c r="Y307" s="604"/>
      <c r="Z307" s="873"/>
      <c r="AA307" s="866"/>
      <c r="AB307" s="864"/>
      <c r="AC307" s="837"/>
      <c r="AD307" s="837"/>
      <c r="AE307" s="837"/>
      <c r="AF307" s="837"/>
      <c r="AG307" s="837"/>
      <c r="AH307" s="837"/>
      <c r="AI307" s="837"/>
      <c r="AJ307" s="874"/>
      <c r="AK307" s="837"/>
      <c r="AL307" s="837"/>
      <c r="AM307" s="837"/>
      <c r="AN307" s="837"/>
      <c r="AO307" s="837"/>
      <c r="AP307" s="837"/>
      <c r="AQ307" s="837"/>
      <c r="AR307" s="837"/>
      <c r="AS307" s="874"/>
      <c r="AT307" s="837"/>
      <c r="AU307" s="836"/>
      <c r="AV307" s="836"/>
      <c r="AW307" s="836"/>
      <c r="AX307" s="836"/>
      <c r="AY307" s="836"/>
    </row>
    <row r="308" spans="4:51" s="526" customFormat="1" x14ac:dyDescent="0.2">
      <c r="D308" s="708"/>
      <c r="E308" s="708"/>
      <c r="F308" s="708"/>
      <c r="G308" s="527"/>
      <c r="H308" s="709"/>
      <c r="I308" s="710"/>
      <c r="J308" s="710"/>
      <c r="K308" s="711"/>
      <c r="L308" s="711"/>
      <c r="M308" s="710"/>
      <c r="N308" s="711"/>
      <c r="O308" s="710"/>
      <c r="P308" s="527"/>
      <c r="Q308" s="527"/>
      <c r="R308" s="711"/>
      <c r="U308" s="712"/>
      <c r="V308" s="712"/>
      <c r="W308" s="712"/>
      <c r="X308" s="604"/>
      <c r="Y308" s="604"/>
      <c r="Z308" s="873"/>
      <c r="AA308" s="866"/>
      <c r="AB308" s="864"/>
      <c r="AC308" s="837"/>
      <c r="AD308" s="837"/>
      <c r="AE308" s="837"/>
      <c r="AF308" s="837"/>
      <c r="AG308" s="837"/>
      <c r="AH308" s="837"/>
      <c r="AI308" s="837"/>
      <c r="AJ308" s="874"/>
      <c r="AK308" s="837"/>
      <c r="AL308" s="837"/>
      <c r="AM308" s="837"/>
      <c r="AN308" s="837"/>
      <c r="AO308" s="837"/>
      <c r="AP308" s="837"/>
      <c r="AQ308" s="837"/>
      <c r="AR308" s="837"/>
      <c r="AS308" s="874"/>
      <c r="AT308" s="837"/>
      <c r="AU308" s="836"/>
      <c r="AV308" s="836"/>
      <c r="AW308" s="836"/>
      <c r="AX308" s="836"/>
      <c r="AY308" s="836"/>
    </row>
    <row r="309" spans="4:51" s="526" customFormat="1" x14ac:dyDescent="0.2">
      <c r="D309" s="708"/>
      <c r="E309" s="708"/>
      <c r="F309" s="708"/>
      <c r="G309" s="527"/>
      <c r="H309" s="709"/>
      <c r="I309" s="710"/>
      <c r="J309" s="710"/>
      <c r="K309" s="711"/>
      <c r="L309" s="711"/>
      <c r="M309" s="710"/>
      <c r="N309" s="711"/>
      <c r="O309" s="710"/>
      <c r="P309" s="527"/>
      <c r="Q309" s="527"/>
      <c r="R309" s="711"/>
      <c r="U309" s="712"/>
      <c r="V309" s="712"/>
      <c r="W309" s="712"/>
      <c r="X309" s="604"/>
      <c r="Y309" s="604"/>
      <c r="Z309" s="873"/>
      <c r="AA309" s="866"/>
      <c r="AB309" s="864"/>
      <c r="AC309" s="837"/>
      <c r="AD309" s="837"/>
      <c r="AE309" s="837"/>
      <c r="AF309" s="837"/>
      <c r="AG309" s="837"/>
      <c r="AH309" s="837"/>
      <c r="AI309" s="837"/>
      <c r="AJ309" s="874"/>
      <c r="AK309" s="837"/>
      <c r="AL309" s="837"/>
      <c r="AM309" s="837"/>
      <c r="AN309" s="837"/>
      <c r="AO309" s="837"/>
      <c r="AP309" s="837"/>
      <c r="AQ309" s="837"/>
      <c r="AR309" s="837"/>
      <c r="AS309" s="874"/>
      <c r="AT309" s="837"/>
      <c r="AU309" s="836"/>
      <c r="AV309" s="836"/>
      <c r="AW309" s="836"/>
      <c r="AX309" s="836"/>
      <c r="AY309" s="836"/>
    </row>
    <row r="310" spans="4:51" s="526" customFormat="1" x14ac:dyDescent="0.2">
      <c r="D310" s="708"/>
      <c r="E310" s="708"/>
      <c r="F310" s="708"/>
      <c r="G310" s="527"/>
      <c r="H310" s="709"/>
      <c r="I310" s="710"/>
      <c r="J310" s="710"/>
      <c r="K310" s="711"/>
      <c r="L310" s="711"/>
      <c r="M310" s="710"/>
      <c r="N310" s="711"/>
      <c r="O310" s="710"/>
      <c r="P310" s="527"/>
      <c r="Q310" s="527"/>
      <c r="R310" s="711"/>
      <c r="U310" s="712"/>
      <c r="V310" s="712"/>
      <c r="W310" s="712"/>
      <c r="X310" s="604"/>
      <c r="Y310" s="604"/>
      <c r="Z310" s="873"/>
      <c r="AA310" s="866"/>
      <c r="AB310" s="864"/>
      <c r="AC310" s="837"/>
      <c r="AD310" s="837"/>
      <c r="AE310" s="837"/>
      <c r="AF310" s="837"/>
      <c r="AG310" s="837"/>
      <c r="AH310" s="837"/>
      <c r="AI310" s="837"/>
      <c r="AJ310" s="874"/>
      <c r="AK310" s="837"/>
      <c r="AL310" s="837"/>
      <c r="AM310" s="837"/>
      <c r="AN310" s="837"/>
      <c r="AO310" s="837"/>
      <c r="AP310" s="837"/>
      <c r="AQ310" s="837"/>
      <c r="AR310" s="837"/>
      <c r="AS310" s="874"/>
      <c r="AT310" s="837"/>
      <c r="AU310" s="836"/>
      <c r="AV310" s="836"/>
      <c r="AW310" s="836"/>
      <c r="AX310" s="836"/>
      <c r="AY310" s="836"/>
    </row>
    <row r="311" spans="4:51" s="526" customFormat="1" x14ac:dyDescent="0.2">
      <c r="D311" s="708"/>
      <c r="E311" s="708"/>
      <c r="F311" s="708"/>
      <c r="G311" s="527"/>
      <c r="H311" s="709"/>
      <c r="I311" s="710"/>
      <c r="J311" s="710"/>
      <c r="K311" s="711"/>
      <c r="L311" s="711"/>
      <c r="M311" s="710"/>
      <c r="N311" s="711"/>
      <c r="O311" s="710"/>
      <c r="P311" s="527"/>
      <c r="Q311" s="527"/>
      <c r="R311" s="711"/>
      <c r="U311" s="712"/>
      <c r="V311" s="712"/>
      <c r="W311" s="712"/>
      <c r="X311" s="604"/>
      <c r="Y311" s="604"/>
      <c r="Z311" s="873"/>
      <c r="AA311" s="866"/>
      <c r="AB311" s="864"/>
      <c r="AC311" s="837"/>
      <c r="AD311" s="837"/>
      <c r="AE311" s="837"/>
      <c r="AF311" s="837"/>
      <c r="AG311" s="837"/>
      <c r="AH311" s="837"/>
      <c r="AI311" s="837"/>
      <c r="AJ311" s="874"/>
      <c r="AK311" s="837"/>
      <c r="AL311" s="837"/>
      <c r="AM311" s="837"/>
      <c r="AN311" s="837"/>
      <c r="AO311" s="837"/>
      <c r="AP311" s="837"/>
      <c r="AQ311" s="837"/>
      <c r="AR311" s="837"/>
      <c r="AS311" s="874"/>
      <c r="AT311" s="837"/>
      <c r="AU311" s="836"/>
      <c r="AV311" s="836"/>
      <c r="AW311" s="836"/>
      <c r="AX311" s="836"/>
      <c r="AY311" s="836"/>
    </row>
    <row r="312" spans="4:51" s="526" customFormat="1" x14ac:dyDescent="0.2">
      <c r="D312" s="708"/>
      <c r="E312" s="708"/>
      <c r="F312" s="708"/>
      <c r="G312" s="527"/>
      <c r="H312" s="709"/>
      <c r="I312" s="710"/>
      <c r="J312" s="710"/>
      <c r="K312" s="711"/>
      <c r="L312" s="711"/>
      <c r="M312" s="710"/>
      <c r="N312" s="711"/>
      <c r="O312" s="710"/>
      <c r="P312" s="527"/>
      <c r="Q312" s="527"/>
      <c r="R312" s="711"/>
      <c r="U312" s="712"/>
      <c r="V312" s="712"/>
      <c r="W312" s="712"/>
      <c r="X312" s="604"/>
      <c r="Y312" s="604"/>
      <c r="Z312" s="873"/>
      <c r="AA312" s="866"/>
      <c r="AB312" s="864"/>
      <c r="AC312" s="837"/>
      <c r="AD312" s="837"/>
      <c r="AE312" s="837"/>
      <c r="AF312" s="837"/>
      <c r="AG312" s="837"/>
      <c r="AH312" s="837"/>
      <c r="AI312" s="837"/>
      <c r="AJ312" s="874"/>
      <c r="AK312" s="837"/>
      <c r="AL312" s="837"/>
      <c r="AM312" s="837"/>
      <c r="AN312" s="837"/>
      <c r="AO312" s="837"/>
      <c r="AP312" s="837"/>
      <c r="AQ312" s="837"/>
      <c r="AR312" s="837"/>
      <c r="AS312" s="874"/>
      <c r="AT312" s="837"/>
      <c r="AU312" s="836"/>
      <c r="AV312" s="836"/>
      <c r="AW312" s="836"/>
      <c r="AX312" s="836"/>
      <c r="AY312" s="836"/>
    </row>
    <row r="313" spans="4:51" s="526" customFormat="1" x14ac:dyDescent="0.2">
      <c r="D313" s="708"/>
      <c r="E313" s="708"/>
      <c r="F313" s="708"/>
      <c r="G313" s="527"/>
      <c r="H313" s="709"/>
      <c r="I313" s="710"/>
      <c r="J313" s="710"/>
      <c r="K313" s="711"/>
      <c r="L313" s="711"/>
      <c r="M313" s="710"/>
      <c r="N313" s="711"/>
      <c r="O313" s="710"/>
      <c r="P313" s="527"/>
      <c r="Q313" s="527"/>
      <c r="R313" s="711"/>
      <c r="U313" s="712"/>
      <c r="V313" s="712"/>
      <c r="W313" s="712"/>
      <c r="X313" s="604"/>
      <c r="Y313" s="604"/>
      <c r="Z313" s="873"/>
      <c r="AA313" s="866"/>
      <c r="AB313" s="864"/>
      <c r="AC313" s="837"/>
      <c r="AD313" s="837"/>
      <c r="AE313" s="837"/>
      <c r="AF313" s="837"/>
      <c r="AG313" s="837"/>
      <c r="AH313" s="837"/>
      <c r="AI313" s="837"/>
      <c r="AJ313" s="874"/>
      <c r="AK313" s="837"/>
      <c r="AL313" s="837"/>
      <c r="AM313" s="837"/>
      <c r="AN313" s="837"/>
      <c r="AO313" s="837"/>
      <c r="AP313" s="837"/>
      <c r="AQ313" s="837"/>
      <c r="AR313" s="837"/>
      <c r="AS313" s="874"/>
      <c r="AT313" s="837"/>
      <c r="AU313" s="836"/>
      <c r="AV313" s="836"/>
      <c r="AW313" s="836"/>
      <c r="AX313" s="836"/>
      <c r="AY313" s="836"/>
    </row>
    <row r="314" spans="4:51" s="526" customFormat="1" x14ac:dyDescent="0.2">
      <c r="D314" s="708"/>
      <c r="E314" s="708"/>
      <c r="F314" s="708"/>
      <c r="G314" s="527"/>
      <c r="H314" s="709"/>
      <c r="I314" s="710"/>
      <c r="J314" s="710"/>
      <c r="K314" s="711"/>
      <c r="L314" s="711"/>
      <c r="M314" s="710"/>
      <c r="N314" s="711"/>
      <c r="O314" s="710"/>
      <c r="P314" s="527"/>
      <c r="Q314" s="527"/>
      <c r="R314" s="711"/>
      <c r="U314" s="712"/>
      <c r="V314" s="712"/>
      <c r="W314" s="712"/>
      <c r="X314" s="604"/>
      <c r="Y314" s="604"/>
      <c r="Z314" s="873"/>
      <c r="AA314" s="866"/>
      <c r="AB314" s="864"/>
      <c r="AC314" s="837"/>
      <c r="AD314" s="837"/>
      <c r="AE314" s="837"/>
      <c r="AF314" s="837"/>
      <c r="AG314" s="837"/>
      <c r="AH314" s="837"/>
      <c r="AI314" s="837"/>
      <c r="AJ314" s="874"/>
      <c r="AK314" s="837"/>
      <c r="AL314" s="837"/>
      <c r="AM314" s="837"/>
      <c r="AN314" s="837"/>
      <c r="AO314" s="837"/>
      <c r="AP314" s="837"/>
      <c r="AQ314" s="837"/>
      <c r="AR314" s="837"/>
      <c r="AS314" s="874"/>
      <c r="AT314" s="837"/>
      <c r="AU314" s="836"/>
      <c r="AV314" s="836"/>
      <c r="AW314" s="836"/>
      <c r="AX314" s="836"/>
      <c r="AY314" s="836"/>
    </row>
    <row r="315" spans="4:51" s="526" customFormat="1" x14ac:dyDescent="0.2">
      <c r="D315" s="708"/>
      <c r="E315" s="708"/>
      <c r="F315" s="708"/>
      <c r="G315" s="527"/>
      <c r="H315" s="709"/>
      <c r="I315" s="710"/>
      <c r="J315" s="710"/>
      <c r="K315" s="711"/>
      <c r="L315" s="711"/>
      <c r="M315" s="710"/>
      <c r="N315" s="711"/>
      <c r="O315" s="710"/>
      <c r="P315" s="527"/>
      <c r="Q315" s="527"/>
      <c r="R315" s="711"/>
      <c r="U315" s="712"/>
      <c r="V315" s="712"/>
      <c r="W315" s="712"/>
      <c r="X315" s="604"/>
      <c r="Y315" s="604"/>
      <c r="Z315" s="873"/>
      <c r="AA315" s="866"/>
      <c r="AB315" s="864"/>
      <c r="AC315" s="837"/>
      <c r="AD315" s="837"/>
      <c r="AE315" s="837"/>
      <c r="AF315" s="837"/>
      <c r="AG315" s="837"/>
      <c r="AH315" s="837"/>
      <c r="AI315" s="837"/>
      <c r="AJ315" s="874"/>
      <c r="AK315" s="837"/>
      <c r="AL315" s="837"/>
      <c r="AM315" s="837"/>
      <c r="AN315" s="837"/>
      <c r="AO315" s="837"/>
      <c r="AP315" s="837"/>
      <c r="AQ315" s="837"/>
      <c r="AR315" s="837"/>
      <c r="AS315" s="874"/>
      <c r="AT315" s="837"/>
      <c r="AU315" s="836"/>
      <c r="AV315" s="836"/>
      <c r="AW315" s="836"/>
      <c r="AX315" s="836"/>
      <c r="AY315" s="836"/>
    </row>
    <row r="316" spans="4:51" s="526" customFormat="1" x14ac:dyDescent="0.2">
      <c r="D316" s="708"/>
      <c r="E316" s="708"/>
      <c r="F316" s="708"/>
      <c r="G316" s="527"/>
      <c r="H316" s="709"/>
      <c r="I316" s="710"/>
      <c r="J316" s="710"/>
      <c r="K316" s="711"/>
      <c r="L316" s="711"/>
      <c r="M316" s="710"/>
      <c r="N316" s="711"/>
      <c r="O316" s="710"/>
      <c r="P316" s="527"/>
      <c r="Q316" s="527"/>
      <c r="R316" s="711"/>
      <c r="U316" s="712"/>
      <c r="V316" s="712"/>
      <c r="W316" s="712"/>
      <c r="X316" s="604"/>
      <c r="Y316" s="604"/>
      <c r="Z316" s="873"/>
      <c r="AA316" s="866"/>
      <c r="AB316" s="864"/>
      <c r="AC316" s="837"/>
      <c r="AD316" s="837"/>
      <c r="AE316" s="837"/>
      <c r="AF316" s="837"/>
      <c r="AG316" s="837"/>
      <c r="AH316" s="837"/>
      <c r="AI316" s="837"/>
      <c r="AJ316" s="874"/>
      <c r="AK316" s="837"/>
      <c r="AL316" s="837"/>
      <c r="AM316" s="837"/>
      <c r="AN316" s="837"/>
      <c r="AO316" s="837"/>
      <c r="AP316" s="837"/>
      <c r="AQ316" s="837"/>
      <c r="AR316" s="837"/>
      <c r="AS316" s="874"/>
      <c r="AT316" s="837"/>
      <c r="AU316" s="836"/>
      <c r="AV316" s="836"/>
      <c r="AW316" s="836"/>
      <c r="AX316" s="836"/>
      <c r="AY316" s="836"/>
    </row>
    <row r="317" spans="4:51" s="526" customFormat="1" x14ac:dyDescent="0.2">
      <c r="D317" s="708"/>
      <c r="E317" s="708"/>
      <c r="F317" s="708"/>
      <c r="G317" s="527"/>
      <c r="H317" s="709"/>
      <c r="I317" s="710"/>
      <c r="J317" s="710"/>
      <c r="K317" s="711"/>
      <c r="L317" s="711"/>
      <c r="M317" s="710"/>
      <c r="N317" s="711"/>
      <c r="O317" s="710"/>
      <c r="P317" s="527"/>
      <c r="Q317" s="527"/>
      <c r="R317" s="711"/>
      <c r="U317" s="712"/>
      <c r="V317" s="712"/>
      <c r="W317" s="712"/>
      <c r="X317" s="604"/>
      <c r="Y317" s="604"/>
      <c r="Z317" s="873"/>
      <c r="AA317" s="866"/>
      <c r="AB317" s="864"/>
      <c r="AC317" s="837"/>
      <c r="AD317" s="837"/>
      <c r="AE317" s="837"/>
      <c r="AF317" s="837"/>
      <c r="AG317" s="837"/>
      <c r="AH317" s="837"/>
      <c r="AI317" s="837"/>
      <c r="AJ317" s="874"/>
      <c r="AK317" s="837"/>
      <c r="AL317" s="837"/>
      <c r="AM317" s="837"/>
      <c r="AN317" s="837"/>
      <c r="AO317" s="837"/>
      <c r="AP317" s="837"/>
      <c r="AQ317" s="837"/>
      <c r="AR317" s="837"/>
      <c r="AS317" s="874"/>
      <c r="AT317" s="837"/>
      <c r="AU317" s="836"/>
      <c r="AV317" s="836"/>
      <c r="AW317" s="836"/>
      <c r="AX317" s="836"/>
      <c r="AY317" s="836"/>
    </row>
    <row r="318" spans="4:51" s="526" customFormat="1" x14ac:dyDescent="0.2">
      <c r="D318" s="708"/>
      <c r="E318" s="708"/>
      <c r="F318" s="708"/>
      <c r="G318" s="527"/>
      <c r="H318" s="709"/>
      <c r="I318" s="710"/>
      <c r="J318" s="710"/>
      <c r="K318" s="711"/>
      <c r="L318" s="711"/>
      <c r="M318" s="710"/>
      <c r="N318" s="711"/>
      <c r="O318" s="710"/>
      <c r="P318" s="527"/>
      <c r="Q318" s="527"/>
      <c r="R318" s="711"/>
      <c r="U318" s="712"/>
      <c r="V318" s="712"/>
      <c r="W318" s="712"/>
      <c r="X318" s="604"/>
      <c r="Y318" s="604"/>
      <c r="Z318" s="873"/>
      <c r="AA318" s="866"/>
      <c r="AB318" s="864"/>
      <c r="AC318" s="837"/>
      <c r="AD318" s="837"/>
      <c r="AE318" s="837"/>
      <c r="AF318" s="837"/>
      <c r="AG318" s="837"/>
      <c r="AH318" s="837"/>
      <c r="AI318" s="837"/>
      <c r="AJ318" s="874"/>
      <c r="AK318" s="837"/>
      <c r="AL318" s="837"/>
      <c r="AM318" s="837"/>
      <c r="AN318" s="837"/>
      <c r="AO318" s="837"/>
      <c r="AP318" s="837"/>
      <c r="AQ318" s="837"/>
      <c r="AR318" s="837"/>
      <c r="AS318" s="874"/>
      <c r="AT318" s="837"/>
      <c r="AU318" s="836"/>
      <c r="AV318" s="836"/>
      <c r="AW318" s="836"/>
      <c r="AX318" s="836"/>
      <c r="AY318" s="836"/>
    </row>
    <row r="319" spans="4:51" s="526" customFormat="1" x14ac:dyDescent="0.2">
      <c r="D319" s="708"/>
      <c r="E319" s="708"/>
      <c r="F319" s="708"/>
      <c r="G319" s="527"/>
      <c r="H319" s="709"/>
      <c r="I319" s="710"/>
      <c r="J319" s="710"/>
      <c r="K319" s="711"/>
      <c r="L319" s="711"/>
      <c r="M319" s="710"/>
      <c r="N319" s="711"/>
      <c r="O319" s="710"/>
      <c r="P319" s="527"/>
      <c r="Q319" s="527"/>
      <c r="R319" s="711"/>
      <c r="U319" s="712"/>
      <c r="V319" s="712"/>
      <c r="W319" s="712"/>
      <c r="X319" s="604"/>
      <c r="Y319" s="604"/>
      <c r="Z319" s="873"/>
      <c r="AA319" s="866"/>
      <c r="AB319" s="864"/>
      <c r="AC319" s="837"/>
      <c r="AD319" s="837"/>
      <c r="AE319" s="837"/>
      <c r="AF319" s="837"/>
      <c r="AG319" s="837"/>
      <c r="AH319" s="837"/>
      <c r="AI319" s="837"/>
      <c r="AJ319" s="874"/>
      <c r="AK319" s="837"/>
      <c r="AL319" s="837"/>
      <c r="AM319" s="837"/>
      <c r="AN319" s="837"/>
      <c r="AO319" s="837"/>
      <c r="AP319" s="837"/>
      <c r="AQ319" s="837"/>
      <c r="AR319" s="837"/>
      <c r="AS319" s="874"/>
      <c r="AT319" s="837"/>
      <c r="AU319" s="836"/>
      <c r="AV319" s="836"/>
      <c r="AW319" s="836"/>
      <c r="AX319" s="836"/>
      <c r="AY319" s="836"/>
    </row>
    <row r="320" spans="4:51" s="526" customFormat="1" x14ac:dyDescent="0.2">
      <c r="D320" s="708"/>
      <c r="E320" s="708"/>
      <c r="F320" s="708"/>
      <c r="G320" s="527"/>
      <c r="H320" s="709"/>
      <c r="I320" s="710"/>
      <c r="J320" s="710"/>
      <c r="K320" s="711"/>
      <c r="L320" s="711"/>
      <c r="M320" s="710"/>
      <c r="N320" s="711"/>
      <c r="O320" s="710"/>
      <c r="P320" s="527"/>
      <c r="Q320" s="527"/>
      <c r="R320" s="711"/>
      <c r="U320" s="712"/>
      <c r="V320" s="712"/>
      <c r="W320" s="712"/>
      <c r="X320" s="604"/>
      <c r="Y320" s="604"/>
      <c r="Z320" s="873"/>
      <c r="AA320" s="866"/>
      <c r="AB320" s="864"/>
      <c r="AC320" s="837"/>
      <c r="AD320" s="837"/>
      <c r="AE320" s="837"/>
      <c r="AF320" s="837"/>
      <c r="AG320" s="837"/>
      <c r="AH320" s="837"/>
      <c r="AI320" s="837"/>
      <c r="AJ320" s="874"/>
      <c r="AK320" s="837"/>
      <c r="AL320" s="837"/>
      <c r="AM320" s="837"/>
      <c r="AN320" s="837"/>
      <c r="AO320" s="837"/>
      <c r="AP320" s="837"/>
      <c r="AQ320" s="837"/>
      <c r="AR320" s="837"/>
      <c r="AS320" s="874"/>
      <c r="AT320" s="837"/>
      <c r="AU320" s="836"/>
      <c r="AV320" s="836"/>
      <c r="AW320" s="836"/>
      <c r="AX320" s="836"/>
      <c r="AY320" s="836"/>
    </row>
    <row r="321" spans="4:51" s="526" customFormat="1" x14ac:dyDescent="0.2">
      <c r="D321" s="708"/>
      <c r="E321" s="708"/>
      <c r="F321" s="708"/>
      <c r="G321" s="527"/>
      <c r="H321" s="709"/>
      <c r="I321" s="710"/>
      <c r="J321" s="710"/>
      <c r="K321" s="711"/>
      <c r="L321" s="711"/>
      <c r="M321" s="710"/>
      <c r="N321" s="711"/>
      <c r="O321" s="710"/>
      <c r="P321" s="527"/>
      <c r="Q321" s="527"/>
      <c r="R321" s="711"/>
      <c r="U321" s="712"/>
      <c r="V321" s="712"/>
      <c r="W321" s="712"/>
      <c r="X321" s="604"/>
      <c r="Y321" s="604"/>
      <c r="Z321" s="873"/>
      <c r="AA321" s="866"/>
      <c r="AB321" s="864"/>
      <c r="AC321" s="837"/>
      <c r="AD321" s="837"/>
      <c r="AE321" s="837"/>
      <c r="AF321" s="837"/>
      <c r="AG321" s="837"/>
      <c r="AH321" s="837"/>
      <c r="AI321" s="837"/>
      <c r="AJ321" s="874"/>
      <c r="AK321" s="837"/>
      <c r="AL321" s="837"/>
      <c r="AM321" s="837"/>
      <c r="AN321" s="837"/>
      <c r="AO321" s="837"/>
      <c r="AP321" s="837"/>
      <c r="AQ321" s="837"/>
      <c r="AR321" s="837"/>
      <c r="AS321" s="874"/>
      <c r="AT321" s="837"/>
      <c r="AU321" s="836"/>
      <c r="AV321" s="836"/>
      <c r="AW321" s="836"/>
      <c r="AX321" s="836"/>
      <c r="AY321" s="836"/>
    </row>
    <row r="322" spans="4:51" s="526" customFormat="1" x14ac:dyDescent="0.2">
      <c r="D322" s="708"/>
      <c r="E322" s="708"/>
      <c r="F322" s="708"/>
      <c r="G322" s="527"/>
      <c r="H322" s="709"/>
      <c r="I322" s="710"/>
      <c r="J322" s="710"/>
      <c r="K322" s="711"/>
      <c r="L322" s="711"/>
      <c r="M322" s="710"/>
      <c r="N322" s="711"/>
      <c r="O322" s="710"/>
      <c r="P322" s="527"/>
      <c r="Q322" s="527"/>
      <c r="R322" s="711"/>
      <c r="U322" s="712"/>
      <c r="V322" s="712"/>
      <c r="W322" s="712"/>
      <c r="X322" s="604"/>
      <c r="Y322" s="604"/>
      <c r="Z322" s="873"/>
      <c r="AA322" s="866"/>
      <c r="AB322" s="864"/>
      <c r="AC322" s="837"/>
      <c r="AD322" s="837"/>
      <c r="AE322" s="837"/>
      <c r="AF322" s="837"/>
      <c r="AG322" s="837"/>
      <c r="AH322" s="837"/>
      <c r="AI322" s="837"/>
      <c r="AJ322" s="874"/>
      <c r="AK322" s="837"/>
      <c r="AL322" s="837"/>
      <c r="AM322" s="837"/>
      <c r="AN322" s="837"/>
      <c r="AO322" s="837"/>
      <c r="AP322" s="837"/>
      <c r="AQ322" s="837"/>
      <c r="AR322" s="837"/>
      <c r="AS322" s="874"/>
      <c r="AT322" s="837"/>
      <c r="AU322" s="836"/>
      <c r="AV322" s="836"/>
      <c r="AW322" s="836"/>
      <c r="AX322" s="836"/>
      <c r="AY322" s="836"/>
    </row>
    <row r="323" spans="4:51" s="526" customFormat="1" x14ac:dyDescent="0.2">
      <c r="D323" s="708"/>
      <c r="E323" s="708"/>
      <c r="F323" s="708"/>
      <c r="G323" s="527"/>
      <c r="H323" s="709"/>
      <c r="I323" s="710"/>
      <c r="J323" s="710"/>
      <c r="K323" s="711"/>
      <c r="L323" s="711"/>
      <c r="M323" s="710"/>
      <c r="N323" s="711"/>
      <c r="O323" s="710"/>
      <c r="P323" s="527"/>
      <c r="Q323" s="527"/>
      <c r="R323" s="711"/>
      <c r="U323" s="712"/>
      <c r="V323" s="712"/>
      <c r="W323" s="712"/>
      <c r="X323" s="604"/>
      <c r="Y323" s="604"/>
      <c r="Z323" s="873"/>
      <c r="AA323" s="866"/>
      <c r="AB323" s="864"/>
      <c r="AC323" s="837"/>
      <c r="AD323" s="837"/>
      <c r="AE323" s="837"/>
      <c r="AF323" s="837"/>
      <c r="AG323" s="837"/>
      <c r="AH323" s="837"/>
      <c r="AI323" s="837"/>
      <c r="AJ323" s="874"/>
      <c r="AK323" s="837"/>
      <c r="AL323" s="837"/>
      <c r="AM323" s="837"/>
      <c r="AN323" s="837"/>
      <c r="AO323" s="837"/>
      <c r="AP323" s="837"/>
      <c r="AQ323" s="837"/>
      <c r="AR323" s="837"/>
      <c r="AS323" s="874"/>
      <c r="AT323" s="837"/>
      <c r="AU323" s="836"/>
      <c r="AV323" s="836"/>
      <c r="AW323" s="836"/>
      <c r="AX323" s="836"/>
      <c r="AY323" s="836"/>
    </row>
    <row r="324" spans="4:51" s="526" customFormat="1" x14ac:dyDescent="0.2">
      <c r="D324" s="708"/>
      <c r="E324" s="708"/>
      <c r="F324" s="708"/>
      <c r="G324" s="527"/>
      <c r="H324" s="709"/>
      <c r="I324" s="710"/>
      <c r="J324" s="710"/>
      <c r="K324" s="711"/>
      <c r="L324" s="711"/>
      <c r="M324" s="710"/>
      <c r="N324" s="711"/>
      <c r="O324" s="710"/>
      <c r="P324" s="527"/>
      <c r="Q324" s="527"/>
      <c r="R324" s="711"/>
      <c r="U324" s="712"/>
      <c r="V324" s="712"/>
      <c r="W324" s="712"/>
      <c r="X324" s="604"/>
      <c r="Y324" s="604"/>
      <c r="Z324" s="873"/>
      <c r="AA324" s="866"/>
      <c r="AB324" s="864"/>
      <c r="AC324" s="837"/>
      <c r="AD324" s="837"/>
      <c r="AE324" s="837"/>
      <c r="AF324" s="837"/>
      <c r="AG324" s="837"/>
      <c r="AH324" s="837"/>
      <c r="AI324" s="837"/>
      <c r="AJ324" s="874"/>
      <c r="AK324" s="837"/>
      <c r="AL324" s="837"/>
      <c r="AM324" s="837"/>
      <c r="AN324" s="837"/>
      <c r="AO324" s="837"/>
      <c r="AP324" s="837"/>
      <c r="AQ324" s="837"/>
      <c r="AR324" s="837"/>
      <c r="AS324" s="874"/>
      <c r="AT324" s="837"/>
      <c r="AU324" s="836"/>
      <c r="AV324" s="836"/>
      <c r="AW324" s="836"/>
      <c r="AX324" s="836"/>
      <c r="AY324" s="836"/>
    </row>
    <row r="325" spans="4:51" s="526" customFormat="1" x14ac:dyDescent="0.2">
      <c r="D325" s="708"/>
      <c r="E325" s="708"/>
      <c r="F325" s="708"/>
      <c r="G325" s="527"/>
      <c r="H325" s="709"/>
      <c r="I325" s="710"/>
      <c r="J325" s="710"/>
      <c r="K325" s="711"/>
      <c r="L325" s="711"/>
      <c r="M325" s="710"/>
      <c r="N325" s="711"/>
      <c r="O325" s="710"/>
      <c r="P325" s="527"/>
      <c r="Q325" s="527"/>
      <c r="R325" s="711"/>
      <c r="U325" s="712"/>
      <c r="V325" s="712"/>
      <c r="W325" s="712"/>
      <c r="X325" s="604"/>
      <c r="Y325" s="604"/>
      <c r="Z325" s="873"/>
      <c r="AA325" s="866"/>
      <c r="AB325" s="864"/>
      <c r="AC325" s="837"/>
      <c r="AD325" s="837"/>
      <c r="AE325" s="837"/>
      <c r="AF325" s="837"/>
      <c r="AG325" s="837"/>
      <c r="AH325" s="837"/>
      <c r="AI325" s="837"/>
      <c r="AJ325" s="874"/>
      <c r="AK325" s="837"/>
      <c r="AL325" s="837"/>
      <c r="AM325" s="837"/>
      <c r="AN325" s="837"/>
      <c r="AO325" s="837"/>
      <c r="AP325" s="837"/>
      <c r="AQ325" s="837"/>
      <c r="AR325" s="837"/>
      <c r="AS325" s="874"/>
      <c r="AT325" s="837"/>
      <c r="AU325" s="836"/>
      <c r="AV325" s="836"/>
      <c r="AW325" s="836"/>
      <c r="AX325" s="836"/>
      <c r="AY325" s="836"/>
    </row>
    <row r="326" spans="4:51" s="526" customFormat="1" x14ac:dyDescent="0.2">
      <c r="D326" s="708"/>
      <c r="E326" s="708"/>
      <c r="F326" s="708"/>
      <c r="G326" s="527"/>
      <c r="H326" s="709"/>
      <c r="I326" s="710"/>
      <c r="J326" s="710"/>
      <c r="K326" s="711"/>
      <c r="L326" s="711"/>
      <c r="M326" s="710"/>
      <c r="N326" s="711"/>
      <c r="O326" s="710"/>
      <c r="P326" s="527"/>
      <c r="Q326" s="527"/>
      <c r="R326" s="711"/>
      <c r="U326" s="712"/>
      <c r="V326" s="712"/>
      <c r="W326" s="712"/>
      <c r="X326" s="604"/>
      <c r="Y326" s="604"/>
      <c r="Z326" s="873"/>
      <c r="AA326" s="866"/>
      <c r="AB326" s="864"/>
      <c r="AC326" s="837"/>
      <c r="AD326" s="837"/>
      <c r="AE326" s="837"/>
      <c r="AF326" s="837"/>
      <c r="AG326" s="837"/>
      <c r="AH326" s="837"/>
      <c r="AI326" s="837"/>
      <c r="AJ326" s="874"/>
      <c r="AK326" s="837"/>
      <c r="AL326" s="837"/>
      <c r="AM326" s="837"/>
      <c r="AN326" s="837"/>
      <c r="AO326" s="837"/>
      <c r="AP326" s="837"/>
      <c r="AQ326" s="837"/>
      <c r="AR326" s="837"/>
      <c r="AS326" s="874"/>
      <c r="AT326" s="837"/>
      <c r="AU326" s="836"/>
      <c r="AV326" s="836"/>
      <c r="AW326" s="836"/>
      <c r="AX326" s="836"/>
      <c r="AY326" s="836"/>
    </row>
    <row r="327" spans="4:51" s="526" customFormat="1" x14ac:dyDescent="0.2">
      <c r="D327" s="708"/>
      <c r="E327" s="708"/>
      <c r="F327" s="708"/>
      <c r="G327" s="527"/>
      <c r="H327" s="709"/>
      <c r="I327" s="710"/>
      <c r="J327" s="710"/>
      <c r="K327" s="711"/>
      <c r="L327" s="711"/>
      <c r="M327" s="710"/>
      <c r="N327" s="711"/>
      <c r="O327" s="710"/>
      <c r="P327" s="527"/>
      <c r="Q327" s="527"/>
      <c r="R327" s="711"/>
      <c r="U327" s="712"/>
      <c r="V327" s="712"/>
      <c r="W327" s="712"/>
      <c r="X327" s="604"/>
      <c r="Y327" s="604"/>
      <c r="Z327" s="873"/>
      <c r="AA327" s="866"/>
      <c r="AB327" s="864"/>
      <c r="AC327" s="837"/>
      <c r="AD327" s="837"/>
      <c r="AE327" s="837"/>
      <c r="AF327" s="837"/>
      <c r="AG327" s="837"/>
      <c r="AH327" s="837"/>
      <c r="AI327" s="837"/>
      <c r="AJ327" s="874"/>
      <c r="AK327" s="837"/>
      <c r="AL327" s="837"/>
      <c r="AM327" s="837"/>
      <c r="AN327" s="837"/>
      <c r="AO327" s="837"/>
      <c r="AP327" s="837"/>
      <c r="AQ327" s="837"/>
      <c r="AR327" s="837"/>
      <c r="AS327" s="874"/>
      <c r="AT327" s="837"/>
      <c r="AU327" s="836"/>
      <c r="AV327" s="836"/>
      <c r="AW327" s="836"/>
      <c r="AX327" s="836"/>
      <c r="AY327" s="836"/>
    </row>
    <row r="328" spans="4:51" s="526" customFormat="1" x14ac:dyDescent="0.2">
      <c r="D328" s="708"/>
      <c r="E328" s="708"/>
      <c r="F328" s="708"/>
      <c r="G328" s="527"/>
      <c r="H328" s="709"/>
      <c r="I328" s="710"/>
      <c r="J328" s="710"/>
      <c r="K328" s="711"/>
      <c r="L328" s="711"/>
      <c r="M328" s="710"/>
      <c r="N328" s="711"/>
      <c r="O328" s="710"/>
      <c r="P328" s="527"/>
      <c r="Q328" s="527"/>
      <c r="R328" s="711"/>
      <c r="U328" s="712"/>
      <c r="V328" s="712"/>
      <c r="W328" s="712"/>
      <c r="X328" s="604"/>
      <c r="Y328" s="604"/>
      <c r="Z328" s="873"/>
      <c r="AA328" s="866"/>
      <c r="AB328" s="864"/>
      <c r="AC328" s="837"/>
      <c r="AD328" s="837"/>
      <c r="AE328" s="837"/>
      <c r="AF328" s="837"/>
      <c r="AG328" s="837"/>
      <c r="AH328" s="837"/>
      <c r="AI328" s="837"/>
      <c r="AJ328" s="874"/>
      <c r="AK328" s="837"/>
      <c r="AL328" s="837"/>
      <c r="AM328" s="837"/>
      <c r="AN328" s="837"/>
      <c r="AO328" s="837"/>
      <c r="AP328" s="837"/>
      <c r="AQ328" s="837"/>
      <c r="AR328" s="837"/>
      <c r="AS328" s="874"/>
      <c r="AT328" s="837"/>
      <c r="AU328" s="836"/>
      <c r="AV328" s="836"/>
      <c r="AW328" s="836"/>
      <c r="AX328" s="836"/>
      <c r="AY328" s="836"/>
    </row>
    <row r="329" spans="4:51" s="526" customFormat="1" x14ac:dyDescent="0.2">
      <c r="D329" s="708"/>
      <c r="E329" s="708"/>
      <c r="F329" s="708"/>
      <c r="G329" s="527"/>
      <c r="H329" s="709"/>
      <c r="I329" s="710"/>
      <c r="J329" s="710"/>
      <c r="K329" s="711"/>
      <c r="L329" s="711"/>
      <c r="M329" s="710"/>
      <c r="N329" s="711"/>
      <c r="O329" s="710"/>
      <c r="P329" s="527"/>
      <c r="Q329" s="527"/>
      <c r="R329" s="711"/>
      <c r="U329" s="712"/>
      <c r="V329" s="712"/>
      <c r="W329" s="712"/>
      <c r="X329" s="604"/>
      <c r="Y329" s="604"/>
      <c r="Z329" s="873"/>
      <c r="AA329" s="866"/>
      <c r="AB329" s="864"/>
      <c r="AC329" s="837"/>
      <c r="AD329" s="837"/>
      <c r="AE329" s="837"/>
      <c r="AF329" s="837"/>
      <c r="AG329" s="837"/>
      <c r="AH329" s="837"/>
      <c r="AI329" s="837"/>
      <c r="AJ329" s="874"/>
      <c r="AK329" s="837"/>
      <c r="AL329" s="837"/>
      <c r="AM329" s="837"/>
      <c r="AN329" s="837"/>
      <c r="AO329" s="837"/>
      <c r="AP329" s="837"/>
      <c r="AQ329" s="837"/>
      <c r="AR329" s="837"/>
      <c r="AS329" s="874"/>
      <c r="AT329" s="837"/>
      <c r="AU329" s="836"/>
      <c r="AV329" s="836"/>
      <c r="AW329" s="836"/>
      <c r="AX329" s="836"/>
      <c r="AY329" s="836"/>
    </row>
    <row r="330" spans="4:51" s="526" customFormat="1" x14ac:dyDescent="0.2">
      <c r="D330" s="708"/>
      <c r="E330" s="708"/>
      <c r="F330" s="708"/>
      <c r="G330" s="527"/>
      <c r="H330" s="709"/>
      <c r="I330" s="710"/>
      <c r="J330" s="710"/>
      <c r="K330" s="711"/>
      <c r="L330" s="711"/>
      <c r="M330" s="710"/>
      <c r="N330" s="711"/>
      <c r="O330" s="710"/>
      <c r="P330" s="527"/>
      <c r="Q330" s="527"/>
      <c r="R330" s="711"/>
      <c r="U330" s="712"/>
      <c r="V330" s="712"/>
      <c r="W330" s="712"/>
      <c r="X330" s="604"/>
      <c r="Y330" s="604"/>
      <c r="Z330" s="873"/>
      <c r="AA330" s="866"/>
      <c r="AB330" s="864"/>
      <c r="AC330" s="837"/>
      <c r="AD330" s="837"/>
      <c r="AE330" s="837"/>
      <c r="AF330" s="837"/>
      <c r="AG330" s="837"/>
      <c r="AH330" s="837"/>
      <c r="AI330" s="837"/>
      <c r="AJ330" s="874"/>
      <c r="AK330" s="837"/>
      <c r="AL330" s="837"/>
      <c r="AM330" s="837"/>
      <c r="AN330" s="837"/>
      <c r="AO330" s="837"/>
      <c r="AP330" s="837"/>
      <c r="AQ330" s="837"/>
      <c r="AR330" s="837"/>
      <c r="AS330" s="874"/>
      <c r="AT330" s="837"/>
      <c r="AU330" s="836"/>
      <c r="AV330" s="836"/>
      <c r="AW330" s="836"/>
      <c r="AX330" s="836"/>
      <c r="AY330" s="836"/>
    </row>
    <row r="331" spans="4:51" s="526" customFormat="1" x14ac:dyDescent="0.2">
      <c r="D331" s="708"/>
      <c r="E331" s="708"/>
      <c r="F331" s="708"/>
      <c r="G331" s="527"/>
      <c r="H331" s="709"/>
      <c r="I331" s="710"/>
      <c r="J331" s="710"/>
      <c r="K331" s="711"/>
      <c r="L331" s="711"/>
      <c r="M331" s="710"/>
      <c r="N331" s="711"/>
      <c r="O331" s="710"/>
      <c r="P331" s="527"/>
      <c r="Q331" s="527"/>
      <c r="R331" s="711"/>
      <c r="U331" s="712"/>
      <c r="V331" s="712"/>
      <c r="W331" s="712"/>
      <c r="X331" s="604"/>
      <c r="Y331" s="604"/>
      <c r="Z331" s="873"/>
      <c r="AA331" s="866"/>
      <c r="AB331" s="864"/>
      <c r="AC331" s="837"/>
      <c r="AD331" s="837"/>
      <c r="AE331" s="837"/>
      <c r="AF331" s="837"/>
      <c r="AG331" s="837"/>
      <c r="AH331" s="837"/>
      <c r="AI331" s="837"/>
      <c r="AJ331" s="874"/>
      <c r="AK331" s="837"/>
      <c r="AL331" s="837"/>
      <c r="AM331" s="837"/>
      <c r="AN331" s="837"/>
      <c r="AO331" s="837"/>
      <c r="AP331" s="837"/>
      <c r="AQ331" s="837"/>
      <c r="AR331" s="837"/>
      <c r="AS331" s="874"/>
      <c r="AT331" s="837"/>
      <c r="AU331" s="836"/>
      <c r="AV331" s="836"/>
      <c r="AW331" s="836"/>
      <c r="AX331" s="836"/>
      <c r="AY331" s="836"/>
    </row>
    <row r="332" spans="4:51" s="526" customFormat="1" x14ac:dyDescent="0.2">
      <c r="D332" s="708"/>
      <c r="E332" s="708"/>
      <c r="F332" s="708"/>
      <c r="G332" s="527"/>
      <c r="H332" s="709"/>
      <c r="I332" s="710"/>
      <c r="J332" s="710"/>
      <c r="K332" s="711"/>
      <c r="L332" s="711"/>
      <c r="M332" s="710"/>
      <c r="N332" s="711"/>
      <c r="O332" s="710"/>
      <c r="P332" s="527"/>
      <c r="Q332" s="527"/>
      <c r="R332" s="711"/>
      <c r="U332" s="712"/>
      <c r="V332" s="712"/>
      <c r="W332" s="712"/>
      <c r="X332" s="604"/>
      <c r="Y332" s="604"/>
      <c r="Z332" s="873"/>
      <c r="AA332" s="866"/>
      <c r="AB332" s="864"/>
      <c r="AC332" s="837"/>
      <c r="AD332" s="837"/>
      <c r="AE332" s="837"/>
      <c r="AF332" s="837"/>
      <c r="AG332" s="837"/>
      <c r="AH332" s="837"/>
      <c r="AI332" s="837"/>
      <c r="AJ332" s="874"/>
      <c r="AK332" s="837"/>
      <c r="AL332" s="837"/>
      <c r="AM332" s="837"/>
      <c r="AN332" s="837"/>
      <c r="AO332" s="837"/>
      <c r="AP332" s="837"/>
      <c r="AQ332" s="837"/>
      <c r="AR332" s="837"/>
      <c r="AS332" s="874"/>
      <c r="AT332" s="837"/>
      <c r="AU332" s="836"/>
      <c r="AV332" s="836"/>
      <c r="AW332" s="836"/>
      <c r="AX332" s="836"/>
      <c r="AY332" s="836"/>
    </row>
    <row r="333" spans="4:51" s="526" customFormat="1" x14ac:dyDescent="0.2">
      <c r="D333" s="708"/>
      <c r="E333" s="708"/>
      <c r="F333" s="708"/>
      <c r="G333" s="527"/>
      <c r="H333" s="709"/>
      <c r="I333" s="710"/>
      <c r="J333" s="710"/>
      <c r="K333" s="711"/>
      <c r="L333" s="711"/>
      <c r="M333" s="710"/>
      <c r="N333" s="711"/>
      <c r="O333" s="710"/>
      <c r="P333" s="527"/>
      <c r="Q333" s="527"/>
      <c r="R333" s="711"/>
      <c r="U333" s="712"/>
      <c r="V333" s="712"/>
      <c r="W333" s="712"/>
      <c r="X333" s="604"/>
      <c r="Y333" s="604"/>
      <c r="Z333" s="873"/>
      <c r="AA333" s="866"/>
      <c r="AB333" s="864"/>
      <c r="AC333" s="837"/>
      <c r="AD333" s="837"/>
      <c r="AE333" s="837"/>
      <c r="AF333" s="837"/>
      <c r="AG333" s="837"/>
      <c r="AH333" s="837"/>
      <c r="AI333" s="837"/>
      <c r="AJ333" s="874"/>
      <c r="AK333" s="837"/>
      <c r="AL333" s="837"/>
      <c r="AM333" s="837"/>
      <c r="AN333" s="837"/>
      <c r="AO333" s="837"/>
      <c r="AP333" s="837"/>
      <c r="AQ333" s="837"/>
      <c r="AR333" s="837"/>
      <c r="AS333" s="874"/>
      <c r="AT333" s="837"/>
      <c r="AU333" s="836"/>
      <c r="AV333" s="836"/>
      <c r="AW333" s="836"/>
      <c r="AX333" s="836"/>
      <c r="AY333" s="836"/>
    </row>
    <row r="334" spans="4:51" s="526" customFormat="1" x14ac:dyDescent="0.2">
      <c r="D334" s="708"/>
      <c r="E334" s="708"/>
      <c r="F334" s="708"/>
      <c r="G334" s="527"/>
      <c r="H334" s="709"/>
      <c r="I334" s="710"/>
      <c r="J334" s="710"/>
      <c r="K334" s="711"/>
      <c r="L334" s="711"/>
      <c r="M334" s="710"/>
      <c r="N334" s="711"/>
      <c r="O334" s="710"/>
      <c r="P334" s="527"/>
      <c r="Q334" s="527"/>
      <c r="R334" s="711"/>
      <c r="U334" s="712"/>
      <c r="V334" s="712"/>
      <c r="W334" s="712"/>
      <c r="X334" s="604"/>
      <c r="Y334" s="604"/>
      <c r="Z334" s="873"/>
      <c r="AA334" s="866"/>
      <c r="AB334" s="864"/>
      <c r="AC334" s="837"/>
      <c r="AD334" s="837"/>
      <c r="AE334" s="837"/>
      <c r="AF334" s="837"/>
      <c r="AG334" s="837"/>
      <c r="AH334" s="837"/>
      <c r="AI334" s="837"/>
      <c r="AJ334" s="874"/>
      <c r="AK334" s="837"/>
      <c r="AL334" s="837"/>
      <c r="AM334" s="837"/>
      <c r="AN334" s="837"/>
      <c r="AO334" s="837"/>
      <c r="AP334" s="837"/>
      <c r="AQ334" s="837"/>
      <c r="AR334" s="837"/>
      <c r="AS334" s="874"/>
      <c r="AT334" s="837"/>
      <c r="AU334" s="836"/>
      <c r="AV334" s="836"/>
      <c r="AW334" s="836"/>
      <c r="AX334" s="836"/>
      <c r="AY334" s="836"/>
    </row>
    <row r="335" spans="4:51" s="526" customFormat="1" x14ac:dyDescent="0.2">
      <c r="D335" s="708"/>
      <c r="E335" s="708"/>
      <c r="F335" s="708"/>
      <c r="G335" s="527"/>
      <c r="H335" s="709"/>
      <c r="I335" s="710"/>
      <c r="J335" s="710"/>
      <c r="K335" s="711"/>
      <c r="L335" s="711"/>
      <c r="M335" s="710"/>
      <c r="N335" s="711"/>
      <c r="O335" s="710"/>
      <c r="P335" s="527"/>
      <c r="Q335" s="527"/>
      <c r="R335" s="711"/>
      <c r="U335" s="712"/>
      <c r="V335" s="712"/>
      <c r="W335" s="712"/>
      <c r="X335" s="604"/>
      <c r="Y335" s="604"/>
      <c r="Z335" s="873"/>
      <c r="AA335" s="866"/>
      <c r="AB335" s="864"/>
      <c r="AC335" s="837"/>
      <c r="AD335" s="837"/>
      <c r="AE335" s="837"/>
      <c r="AF335" s="837"/>
      <c r="AG335" s="837"/>
      <c r="AH335" s="837"/>
      <c r="AI335" s="837"/>
      <c r="AJ335" s="874"/>
      <c r="AK335" s="837"/>
      <c r="AL335" s="837"/>
      <c r="AM335" s="837"/>
      <c r="AN335" s="837"/>
      <c r="AO335" s="837"/>
      <c r="AP335" s="837"/>
      <c r="AQ335" s="837"/>
      <c r="AR335" s="837"/>
      <c r="AS335" s="874"/>
      <c r="AT335" s="837"/>
      <c r="AU335" s="836"/>
      <c r="AV335" s="836"/>
      <c r="AW335" s="836"/>
      <c r="AX335" s="836"/>
      <c r="AY335" s="836"/>
    </row>
    <row r="336" spans="4:51" s="526" customFormat="1" x14ac:dyDescent="0.2">
      <c r="D336" s="708"/>
      <c r="E336" s="708"/>
      <c r="F336" s="708"/>
      <c r="G336" s="527"/>
      <c r="H336" s="709"/>
      <c r="I336" s="710"/>
      <c r="J336" s="710"/>
      <c r="K336" s="711"/>
      <c r="L336" s="711"/>
      <c r="M336" s="710"/>
      <c r="N336" s="711"/>
      <c r="O336" s="710"/>
      <c r="P336" s="527"/>
      <c r="Q336" s="527"/>
      <c r="R336" s="711"/>
      <c r="U336" s="712"/>
      <c r="V336" s="712"/>
      <c r="W336" s="712"/>
      <c r="X336" s="604"/>
      <c r="Y336" s="604"/>
      <c r="Z336" s="873"/>
      <c r="AA336" s="866"/>
      <c r="AB336" s="864"/>
      <c r="AC336" s="837"/>
      <c r="AD336" s="837"/>
      <c r="AE336" s="837"/>
      <c r="AF336" s="837"/>
      <c r="AG336" s="837"/>
      <c r="AH336" s="837"/>
      <c r="AI336" s="837"/>
      <c r="AJ336" s="874"/>
      <c r="AK336" s="837"/>
      <c r="AL336" s="837"/>
      <c r="AM336" s="837"/>
      <c r="AN336" s="837"/>
      <c r="AO336" s="837"/>
      <c r="AP336" s="837"/>
      <c r="AQ336" s="837"/>
      <c r="AR336" s="837"/>
      <c r="AS336" s="874"/>
      <c r="AT336" s="837"/>
      <c r="AU336" s="836"/>
      <c r="AV336" s="836"/>
      <c r="AW336" s="836"/>
      <c r="AX336" s="836"/>
      <c r="AY336" s="836"/>
    </row>
    <row r="337" spans="4:51" s="526" customFormat="1" x14ac:dyDescent="0.2">
      <c r="D337" s="708"/>
      <c r="E337" s="708"/>
      <c r="F337" s="708"/>
      <c r="G337" s="527"/>
      <c r="H337" s="709"/>
      <c r="I337" s="710"/>
      <c r="J337" s="710"/>
      <c r="K337" s="711"/>
      <c r="L337" s="711"/>
      <c r="M337" s="710"/>
      <c r="N337" s="711"/>
      <c r="O337" s="710"/>
      <c r="P337" s="527"/>
      <c r="Q337" s="527"/>
      <c r="R337" s="711"/>
      <c r="U337" s="712"/>
      <c r="V337" s="712"/>
      <c r="W337" s="712"/>
      <c r="X337" s="604"/>
      <c r="Y337" s="604"/>
      <c r="Z337" s="873"/>
      <c r="AA337" s="866"/>
      <c r="AB337" s="864"/>
      <c r="AC337" s="837"/>
      <c r="AD337" s="837"/>
      <c r="AE337" s="837"/>
      <c r="AF337" s="837"/>
      <c r="AG337" s="837"/>
      <c r="AH337" s="837"/>
      <c r="AI337" s="837"/>
      <c r="AJ337" s="874"/>
      <c r="AK337" s="837"/>
      <c r="AL337" s="837"/>
      <c r="AM337" s="837"/>
      <c r="AN337" s="837"/>
      <c r="AO337" s="837"/>
      <c r="AP337" s="837"/>
      <c r="AQ337" s="837"/>
      <c r="AR337" s="837"/>
      <c r="AS337" s="874"/>
      <c r="AT337" s="837"/>
      <c r="AU337" s="836"/>
      <c r="AV337" s="836"/>
      <c r="AW337" s="836"/>
      <c r="AX337" s="836"/>
      <c r="AY337" s="836"/>
    </row>
    <row r="338" spans="4:51" s="526" customFormat="1" x14ac:dyDescent="0.2">
      <c r="D338" s="708"/>
      <c r="E338" s="708"/>
      <c r="F338" s="708"/>
      <c r="G338" s="527"/>
      <c r="H338" s="709"/>
      <c r="I338" s="710"/>
      <c r="J338" s="710"/>
      <c r="K338" s="711"/>
      <c r="L338" s="711"/>
      <c r="M338" s="710"/>
      <c r="N338" s="711"/>
      <c r="O338" s="710"/>
      <c r="P338" s="527"/>
      <c r="Q338" s="527"/>
      <c r="R338" s="711"/>
      <c r="U338" s="712"/>
      <c r="V338" s="712"/>
      <c r="W338" s="712"/>
      <c r="X338" s="604"/>
      <c r="Y338" s="604"/>
      <c r="Z338" s="873"/>
      <c r="AA338" s="866"/>
      <c r="AB338" s="864"/>
      <c r="AC338" s="837"/>
      <c r="AD338" s="837"/>
      <c r="AE338" s="837"/>
      <c r="AF338" s="837"/>
      <c r="AG338" s="837"/>
      <c r="AH338" s="837"/>
      <c r="AI338" s="837"/>
      <c r="AJ338" s="874"/>
      <c r="AK338" s="837"/>
      <c r="AL338" s="837"/>
      <c r="AM338" s="837"/>
      <c r="AN338" s="837"/>
      <c r="AO338" s="837"/>
      <c r="AP338" s="837"/>
      <c r="AQ338" s="837"/>
      <c r="AR338" s="837"/>
      <c r="AS338" s="874"/>
      <c r="AT338" s="837"/>
      <c r="AU338" s="836"/>
      <c r="AV338" s="836"/>
      <c r="AW338" s="836"/>
      <c r="AX338" s="836"/>
      <c r="AY338" s="836"/>
    </row>
    <row r="339" spans="4:51" s="526" customFormat="1" x14ac:dyDescent="0.2">
      <c r="D339" s="708"/>
      <c r="E339" s="708"/>
      <c r="F339" s="708"/>
      <c r="G339" s="527"/>
      <c r="H339" s="709"/>
      <c r="I339" s="710"/>
      <c r="J339" s="710"/>
      <c r="K339" s="711"/>
      <c r="L339" s="711"/>
      <c r="M339" s="710"/>
      <c r="N339" s="711"/>
      <c r="O339" s="710"/>
      <c r="P339" s="527"/>
      <c r="Q339" s="527"/>
      <c r="R339" s="711"/>
      <c r="U339" s="712"/>
      <c r="V339" s="712"/>
      <c r="W339" s="712"/>
      <c r="X339" s="604"/>
      <c r="Y339" s="604"/>
      <c r="Z339" s="873"/>
      <c r="AA339" s="866"/>
      <c r="AB339" s="864"/>
      <c r="AC339" s="837"/>
      <c r="AD339" s="837"/>
      <c r="AE339" s="837"/>
      <c r="AF339" s="837"/>
      <c r="AG339" s="837"/>
      <c r="AH339" s="837"/>
      <c r="AI339" s="837"/>
      <c r="AJ339" s="874"/>
      <c r="AK339" s="837"/>
      <c r="AL339" s="837"/>
      <c r="AM339" s="837"/>
      <c r="AN339" s="837"/>
      <c r="AO339" s="837"/>
      <c r="AP339" s="837"/>
      <c r="AQ339" s="837"/>
      <c r="AR339" s="837"/>
      <c r="AS339" s="874"/>
      <c r="AT339" s="837"/>
      <c r="AU339" s="836"/>
      <c r="AV339" s="836"/>
      <c r="AW339" s="836"/>
      <c r="AX339" s="836"/>
      <c r="AY339" s="836"/>
    </row>
    <row r="340" spans="4:51" s="526" customFormat="1" x14ac:dyDescent="0.2">
      <c r="D340" s="708"/>
      <c r="E340" s="708"/>
      <c r="F340" s="708"/>
      <c r="G340" s="527"/>
      <c r="H340" s="709"/>
      <c r="I340" s="710"/>
      <c r="J340" s="710"/>
      <c r="K340" s="711"/>
      <c r="L340" s="711"/>
      <c r="M340" s="710"/>
      <c r="N340" s="711"/>
      <c r="O340" s="710"/>
      <c r="P340" s="527"/>
      <c r="Q340" s="527"/>
      <c r="R340" s="711"/>
      <c r="U340" s="712"/>
      <c r="V340" s="712"/>
      <c r="W340" s="712"/>
      <c r="X340" s="604"/>
      <c r="Y340" s="604"/>
      <c r="Z340" s="873"/>
      <c r="AA340" s="866"/>
      <c r="AB340" s="864"/>
      <c r="AC340" s="837"/>
      <c r="AD340" s="837"/>
      <c r="AE340" s="837"/>
      <c r="AF340" s="837"/>
      <c r="AG340" s="837"/>
      <c r="AH340" s="837"/>
      <c r="AI340" s="837"/>
      <c r="AJ340" s="874"/>
      <c r="AK340" s="837"/>
      <c r="AL340" s="837"/>
      <c r="AM340" s="837"/>
      <c r="AN340" s="837"/>
      <c r="AO340" s="837"/>
      <c r="AP340" s="837"/>
      <c r="AQ340" s="837"/>
      <c r="AR340" s="837"/>
      <c r="AS340" s="874"/>
      <c r="AT340" s="837"/>
      <c r="AU340" s="836"/>
      <c r="AV340" s="836"/>
      <c r="AW340" s="836"/>
      <c r="AX340" s="836"/>
      <c r="AY340" s="836"/>
    </row>
    <row r="341" spans="4:51" s="526" customFormat="1" x14ac:dyDescent="0.2">
      <c r="D341" s="708"/>
      <c r="E341" s="708"/>
      <c r="F341" s="708"/>
      <c r="G341" s="527"/>
      <c r="H341" s="709"/>
      <c r="I341" s="710"/>
      <c r="J341" s="710"/>
      <c r="K341" s="711"/>
      <c r="L341" s="711"/>
      <c r="M341" s="710"/>
      <c r="N341" s="711"/>
      <c r="O341" s="710"/>
      <c r="P341" s="527"/>
      <c r="Q341" s="527"/>
      <c r="R341" s="711"/>
      <c r="U341" s="712"/>
      <c r="V341" s="712"/>
      <c r="W341" s="712"/>
      <c r="X341" s="604"/>
      <c r="Y341" s="604"/>
      <c r="Z341" s="873"/>
      <c r="AA341" s="866"/>
      <c r="AB341" s="864"/>
      <c r="AC341" s="837"/>
      <c r="AD341" s="837"/>
      <c r="AE341" s="837"/>
      <c r="AF341" s="837"/>
      <c r="AG341" s="837"/>
      <c r="AH341" s="837"/>
      <c r="AI341" s="837"/>
      <c r="AJ341" s="874"/>
      <c r="AK341" s="837"/>
      <c r="AL341" s="837"/>
      <c r="AM341" s="837"/>
      <c r="AN341" s="837"/>
      <c r="AO341" s="837"/>
      <c r="AP341" s="837"/>
      <c r="AQ341" s="837"/>
      <c r="AR341" s="837"/>
      <c r="AS341" s="874"/>
      <c r="AT341" s="837"/>
      <c r="AU341" s="836"/>
      <c r="AV341" s="836"/>
      <c r="AW341" s="836"/>
      <c r="AX341" s="836"/>
      <c r="AY341" s="836"/>
    </row>
    <row r="342" spans="4:51" s="526" customFormat="1" x14ac:dyDescent="0.2">
      <c r="D342" s="708"/>
      <c r="E342" s="708"/>
      <c r="F342" s="708"/>
      <c r="G342" s="527"/>
      <c r="H342" s="709"/>
      <c r="I342" s="710"/>
      <c r="J342" s="710"/>
      <c r="K342" s="711"/>
      <c r="L342" s="711"/>
      <c r="M342" s="710"/>
      <c r="N342" s="711"/>
      <c r="O342" s="710"/>
      <c r="P342" s="527"/>
      <c r="Q342" s="527"/>
      <c r="R342" s="711"/>
      <c r="U342" s="712"/>
      <c r="V342" s="712"/>
      <c r="W342" s="712"/>
      <c r="X342" s="604"/>
      <c r="Y342" s="604"/>
      <c r="Z342" s="873"/>
      <c r="AA342" s="866"/>
      <c r="AB342" s="864"/>
      <c r="AC342" s="837"/>
      <c r="AD342" s="837"/>
      <c r="AE342" s="837"/>
      <c r="AF342" s="837"/>
      <c r="AG342" s="837"/>
      <c r="AH342" s="837"/>
      <c r="AI342" s="837"/>
      <c r="AJ342" s="874"/>
      <c r="AK342" s="837"/>
      <c r="AL342" s="837"/>
      <c r="AM342" s="837"/>
      <c r="AN342" s="837"/>
      <c r="AO342" s="837"/>
      <c r="AP342" s="837"/>
      <c r="AQ342" s="837"/>
      <c r="AR342" s="837"/>
      <c r="AS342" s="874"/>
      <c r="AT342" s="837"/>
      <c r="AU342" s="836"/>
      <c r="AV342" s="836"/>
      <c r="AW342" s="836"/>
      <c r="AX342" s="836"/>
      <c r="AY342" s="836"/>
    </row>
    <row r="343" spans="4:51" s="526" customFormat="1" x14ac:dyDescent="0.2">
      <c r="D343" s="708"/>
      <c r="E343" s="708"/>
      <c r="F343" s="708"/>
      <c r="G343" s="527"/>
      <c r="H343" s="709"/>
      <c r="I343" s="710"/>
      <c r="J343" s="710"/>
      <c r="K343" s="711"/>
      <c r="L343" s="711"/>
      <c r="M343" s="710"/>
      <c r="N343" s="711"/>
      <c r="O343" s="710"/>
      <c r="P343" s="527"/>
      <c r="Q343" s="527"/>
      <c r="R343" s="711"/>
      <c r="U343" s="712"/>
      <c r="V343" s="712"/>
      <c r="W343" s="712"/>
      <c r="X343" s="604"/>
      <c r="Y343" s="604"/>
      <c r="Z343" s="873"/>
      <c r="AA343" s="866"/>
      <c r="AB343" s="864"/>
      <c r="AC343" s="837"/>
      <c r="AD343" s="837"/>
      <c r="AE343" s="837"/>
      <c r="AF343" s="837"/>
      <c r="AG343" s="837"/>
      <c r="AH343" s="837"/>
      <c r="AI343" s="837"/>
      <c r="AJ343" s="874"/>
      <c r="AK343" s="837"/>
      <c r="AL343" s="837"/>
      <c r="AM343" s="837"/>
      <c r="AN343" s="837"/>
      <c r="AO343" s="837"/>
      <c r="AP343" s="837"/>
      <c r="AQ343" s="837"/>
      <c r="AR343" s="837"/>
      <c r="AS343" s="874"/>
      <c r="AT343" s="837"/>
      <c r="AU343" s="836"/>
      <c r="AV343" s="836"/>
      <c r="AW343" s="836"/>
      <c r="AX343" s="836"/>
      <c r="AY343" s="836"/>
    </row>
    <row r="344" spans="4:51" s="526" customFormat="1" x14ac:dyDescent="0.2">
      <c r="D344" s="708"/>
      <c r="E344" s="708"/>
      <c r="F344" s="708"/>
      <c r="G344" s="527"/>
      <c r="H344" s="709"/>
      <c r="I344" s="710"/>
      <c r="J344" s="710"/>
      <c r="K344" s="711"/>
      <c r="L344" s="711"/>
      <c r="M344" s="710"/>
      <c r="N344" s="711"/>
      <c r="O344" s="710"/>
      <c r="P344" s="527"/>
      <c r="Q344" s="527"/>
      <c r="R344" s="711"/>
      <c r="U344" s="712"/>
      <c r="V344" s="712"/>
      <c r="W344" s="712"/>
      <c r="X344" s="604"/>
      <c r="Y344" s="604"/>
      <c r="Z344" s="873"/>
      <c r="AA344" s="866"/>
      <c r="AB344" s="864"/>
      <c r="AC344" s="837"/>
      <c r="AD344" s="837"/>
      <c r="AE344" s="837"/>
      <c r="AF344" s="837"/>
      <c r="AG344" s="837"/>
      <c r="AH344" s="837"/>
      <c r="AI344" s="837"/>
      <c r="AJ344" s="874"/>
      <c r="AK344" s="837"/>
      <c r="AL344" s="837"/>
      <c r="AM344" s="837"/>
      <c r="AN344" s="837"/>
      <c r="AO344" s="837"/>
      <c r="AP344" s="837"/>
      <c r="AQ344" s="837"/>
      <c r="AR344" s="837"/>
      <c r="AS344" s="874"/>
      <c r="AT344" s="837"/>
      <c r="AU344" s="836"/>
      <c r="AV344" s="836"/>
      <c r="AW344" s="836"/>
      <c r="AX344" s="836"/>
      <c r="AY344" s="836"/>
    </row>
    <row r="345" spans="4:51" s="526" customFormat="1" x14ac:dyDescent="0.2">
      <c r="D345" s="708"/>
      <c r="E345" s="708"/>
      <c r="F345" s="708"/>
      <c r="G345" s="527"/>
      <c r="H345" s="709"/>
      <c r="I345" s="710"/>
      <c r="J345" s="710"/>
      <c r="K345" s="711"/>
      <c r="L345" s="711"/>
      <c r="M345" s="710"/>
      <c r="N345" s="711"/>
      <c r="O345" s="710"/>
      <c r="P345" s="527"/>
      <c r="Q345" s="527"/>
      <c r="R345" s="711"/>
      <c r="U345" s="712"/>
      <c r="V345" s="712"/>
      <c r="W345" s="712"/>
      <c r="X345" s="604"/>
      <c r="Y345" s="604"/>
      <c r="Z345" s="873"/>
      <c r="AA345" s="866"/>
      <c r="AB345" s="864"/>
      <c r="AC345" s="837"/>
      <c r="AD345" s="837"/>
      <c r="AE345" s="837"/>
      <c r="AF345" s="837"/>
      <c r="AG345" s="837"/>
      <c r="AH345" s="837"/>
      <c r="AI345" s="837"/>
      <c r="AJ345" s="874"/>
      <c r="AK345" s="837"/>
      <c r="AL345" s="837"/>
      <c r="AM345" s="837"/>
      <c r="AN345" s="837"/>
      <c r="AO345" s="837"/>
      <c r="AP345" s="837"/>
      <c r="AQ345" s="837"/>
      <c r="AR345" s="837"/>
      <c r="AS345" s="874"/>
      <c r="AT345" s="837"/>
      <c r="AU345" s="836"/>
      <c r="AV345" s="836"/>
      <c r="AW345" s="836"/>
      <c r="AX345" s="836"/>
      <c r="AY345" s="836"/>
    </row>
    <row r="346" spans="4:51" s="526" customFormat="1" x14ac:dyDescent="0.2">
      <c r="D346" s="708"/>
      <c r="E346" s="708"/>
      <c r="F346" s="708"/>
      <c r="G346" s="527"/>
      <c r="H346" s="709"/>
      <c r="I346" s="710"/>
      <c r="J346" s="710"/>
      <c r="K346" s="711"/>
      <c r="L346" s="711"/>
      <c r="M346" s="710"/>
      <c r="N346" s="711"/>
      <c r="O346" s="710"/>
      <c r="P346" s="527"/>
      <c r="Q346" s="527"/>
      <c r="R346" s="711"/>
      <c r="U346" s="712"/>
      <c r="V346" s="712"/>
      <c r="W346" s="712"/>
      <c r="X346" s="604"/>
      <c r="Y346" s="604"/>
      <c r="Z346" s="873"/>
      <c r="AA346" s="866"/>
      <c r="AB346" s="864"/>
      <c r="AC346" s="837"/>
      <c r="AD346" s="837"/>
      <c r="AE346" s="837"/>
      <c r="AF346" s="837"/>
      <c r="AG346" s="837"/>
      <c r="AH346" s="837"/>
      <c r="AI346" s="837"/>
      <c r="AJ346" s="874"/>
      <c r="AK346" s="837"/>
      <c r="AL346" s="837"/>
      <c r="AM346" s="837"/>
      <c r="AN346" s="837"/>
      <c r="AO346" s="837"/>
      <c r="AP346" s="837"/>
      <c r="AQ346" s="837"/>
      <c r="AR346" s="837"/>
      <c r="AS346" s="874"/>
      <c r="AT346" s="837"/>
      <c r="AU346" s="836"/>
      <c r="AV346" s="836"/>
      <c r="AW346" s="836"/>
      <c r="AX346" s="836"/>
      <c r="AY346" s="836"/>
    </row>
    <row r="347" spans="4:51" s="526" customFormat="1" x14ac:dyDescent="0.2">
      <c r="D347" s="708"/>
      <c r="E347" s="708"/>
      <c r="F347" s="708"/>
      <c r="G347" s="527"/>
      <c r="H347" s="709"/>
      <c r="I347" s="710"/>
      <c r="J347" s="710"/>
      <c r="K347" s="711"/>
      <c r="L347" s="711"/>
      <c r="M347" s="710"/>
      <c r="N347" s="711"/>
      <c r="O347" s="710"/>
      <c r="P347" s="527"/>
      <c r="Q347" s="527"/>
      <c r="R347" s="711"/>
      <c r="U347" s="712"/>
      <c r="V347" s="712"/>
      <c r="W347" s="712"/>
      <c r="X347" s="604"/>
      <c r="Y347" s="604"/>
      <c r="Z347" s="873"/>
      <c r="AA347" s="866"/>
      <c r="AB347" s="864"/>
      <c r="AC347" s="837"/>
      <c r="AD347" s="837"/>
      <c r="AE347" s="837"/>
      <c r="AF347" s="837"/>
      <c r="AG347" s="837"/>
      <c r="AH347" s="837"/>
      <c r="AI347" s="837"/>
      <c r="AJ347" s="874"/>
      <c r="AK347" s="837"/>
      <c r="AL347" s="837"/>
      <c r="AM347" s="837"/>
      <c r="AN347" s="837"/>
      <c r="AO347" s="837"/>
      <c r="AP347" s="837"/>
      <c r="AQ347" s="837"/>
      <c r="AR347" s="837"/>
      <c r="AS347" s="874"/>
      <c r="AT347" s="837"/>
      <c r="AU347" s="836"/>
      <c r="AV347" s="836"/>
      <c r="AW347" s="836"/>
      <c r="AX347" s="836"/>
      <c r="AY347" s="836"/>
    </row>
    <row r="348" spans="4:51" s="526" customFormat="1" x14ac:dyDescent="0.2">
      <c r="D348" s="708"/>
      <c r="E348" s="708"/>
      <c r="F348" s="708"/>
      <c r="G348" s="527"/>
      <c r="H348" s="709"/>
      <c r="I348" s="710"/>
      <c r="J348" s="710"/>
      <c r="K348" s="711"/>
      <c r="L348" s="711"/>
      <c r="M348" s="710"/>
      <c r="N348" s="711"/>
      <c r="O348" s="710"/>
      <c r="P348" s="527"/>
      <c r="Q348" s="527"/>
      <c r="R348" s="711"/>
      <c r="U348" s="712"/>
      <c r="V348" s="712"/>
      <c r="W348" s="712"/>
      <c r="X348" s="604"/>
      <c r="Y348" s="604"/>
      <c r="Z348" s="873"/>
      <c r="AA348" s="866"/>
      <c r="AB348" s="864"/>
      <c r="AC348" s="837"/>
      <c r="AD348" s="837"/>
      <c r="AE348" s="837"/>
      <c r="AF348" s="837"/>
      <c r="AG348" s="837"/>
      <c r="AH348" s="837"/>
      <c r="AI348" s="837"/>
      <c r="AJ348" s="874"/>
      <c r="AK348" s="837"/>
      <c r="AL348" s="837"/>
      <c r="AM348" s="837"/>
      <c r="AN348" s="837"/>
      <c r="AO348" s="837"/>
      <c r="AP348" s="837"/>
      <c r="AQ348" s="837"/>
      <c r="AR348" s="837"/>
      <c r="AS348" s="874"/>
      <c r="AT348" s="837"/>
      <c r="AU348" s="836"/>
      <c r="AV348" s="836"/>
      <c r="AW348" s="836"/>
      <c r="AX348" s="836"/>
      <c r="AY348" s="836"/>
    </row>
    <row r="349" spans="4:51" s="526" customFormat="1" x14ac:dyDescent="0.2">
      <c r="D349" s="708"/>
      <c r="E349" s="708"/>
      <c r="F349" s="708"/>
      <c r="G349" s="527"/>
      <c r="H349" s="709"/>
      <c r="I349" s="710"/>
      <c r="J349" s="710"/>
      <c r="K349" s="711"/>
      <c r="L349" s="711"/>
      <c r="M349" s="710"/>
      <c r="N349" s="711"/>
      <c r="O349" s="710"/>
      <c r="P349" s="527"/>
      <c r="Q349" s="527"/>
      <c r="R349" s="711"/>
      <c r="U349" s="712"/>
      <c r="V349" s="712"/>
      <c r="W349" s="712"/>
      <c r="X349" s="604"/>
      <c r="Y349" s="604"/>
      <c r="Z349" s="873"/>
      <c r="AA349" s="866"/>
      <c r="AB349" s="864"/>
      <c r="AC349" s="837"/>
      <c r="AD349" s="837"/>
      <c r="AE349" s="837"/>
      <c r="AF349" s="837"/>
      <c r="AG349" s="837"/>
      <c r="AH349" s="837"/>
      <c r="AI349" s="837"/>
      <c r="AJ349" s="874"/>
      <c r="AK349" s="837"/>
      <c r="AL349" s="837"/>
      <c r="AM349" s="837"/>
      <c r="AN349" s="837"/>
      <c r="AO349" s="837"/>
      <c r="AP349" s="837"/>
      <c r="AQ349" s="837"/>
      <c r="AR349" s="837"/>
      <c r="AS349" s="874"/>
      <c r="AT349" s="837"/>
      <c r="AU349" s="836"/>
      <c r="AV349" s="836"/>
      <c r="AW349" s="836"/>
      <c r="AX349" s="836"/>
      <c r="AY349" s="836"/>
    </row>
    <row r="350" spans="4:51" s="526" customFormat="1" x14ac:dyDescent="0.2">
      <c r="D350" s="708"/>
      <c r="E350" s="708"/>
      <c r="F350" s="708"/>
      <c r="G350" s="527"/>
      <c r="H350" s="709"/>
      <c r="I350" s="710"/>
      <c r="J350" s="710"/>
      <c r="K350" s="711"/>
      <c r="L350" s="711"/>
      <c r="M350" s="710"/>
      <c r="N350" s="711"/>
      <c r="O350" s="710"/>
      <c r="P350" s="527"/>
      <c r="Q350" s="527"/>
      <c r="R350" s="711"/>
      <c r="U350" s="712"/>
      <c r="V350" s="712"/>
      <c r="W350" s="712"/>
      <c r="X350" s="604"/>
      <c r="Y350" s="604"/>
      <c r="Z350" s="873"/>
      <c r="AA350" s="866"/>
      <c r="AB350" s="864"/>
      <c r="AC350" s="837"/>
      <c r="AD350" s="837"/>
      <c r="AE350" s="837"/>
      <c r="AF350" s="837"/>
      <c r="AG350" s="837"/>
      <c r="AH350" s="837"/>
      <c r="AI350" s="837"/>
      <c r="AJ350" s="874"/>
      <c r="AK350" s="837"/>
      <c r="AL350" s="837"/>
      <c r="AM350" s="837"/>
      <c r="AN350" s="837"/>
      <c r="AO350" s="837"/>
      <c r="AP350" s="837"/>
      <c r="AQ350" s="837"/>
      <c r="AR350" s="837"/>
      <c r="AS350" s="874"/>
      <c r="AT350" s="837"/>
      <c r="AU350" s="836"/>
      <c r="AV350" s="836"/>
      <c r="AW350" s="836"/>
      <c r="AX350" s="836"/>
      <c r="AY350" s="836"/>
    </row>
    <row r="351" spans="4:51" s="526" customFormat="1" x14ac:dyDescent="0.2">
      <c r="D351" s="708"/>
      <c r="E351" s="708"/>
      <c r="F351" s="708"/>
      <c r="G351" s="527"/>
      <c r="H351" s="709"/>
      <c r="I351" s="710"/>
      <c r="J351" s="710"/>
      <c r="K351" s="711"/>
      <c r="L351" s="711"/>
      <c r="M351" s="710"/>
      <c r="N351" s="711"/>
      <c r="O351" s="710"/>
      <c r="P351" s="527"/>
      <c r="Q351" s="527"/>
      <c r="R351" s="711"/>
      <c r="U351" s="712"/>
      <c r="V351" s="712"/>
      <c r="W351" s="712"/>
      <c r="X351" s="604"/>
      <c r="Y351" s="604"/>
      <c r="Z351" s="873"/>
      <c r="AA351" s="866"/>
      <c r="AB351" s="864"/>
      <c r="AC351" s="837"/>
      <c r="AD351" s="837"/>
      <c r="AE351" s="837"/>
      <c r="AF351" s="837"/>
      <c r="AG351" s="837"/>
      <c r="AH351" s="837"/>
      <c r="AI351" s="837"/>
      <c r="AJ351" s="874"/>
      <c r="AK351" s="837"/>
      <c r="AL351" s="837"/>
      <c r="AM351" s="837"/>
      <c r="AN351" s="837"/>
      <c r="AO351" s="837"/>
      <c r="AP351" s="837"/>
      <c r="AQ351" s="837"/>
      <c r="AR351" s="837"/>
      <c r="AS351" s="874"/>
      <c r="AT351" s="837"/>
      <c r="AU351" s="836"/>
      <c r="AV351" s="836"/>
      <c r="AW351" s="836"/>
      <c r="AX351" s="836"/>
      <c r="AY351" s="836"/>
    </row>
    <row r="352" spans="4:51" s="526" customFormat="1" x14ac:dyDescent="0.2">
      <c r="D352" s="708"/>
      <c r="E352" s="708"/>
      <c r="F352" s="708"/>
      <c r="G352" s="527"/>
      <c r="H352" s="709"/>
      <c r="I352" s="710"/>
      <c r="J352" s="710"/>
      <c r="K352" s="711"/>
      <c r="L352" s="711"/>
      <c r="M352" s="710"/>
      <c r="N352" s="711"/>
      <c r="O352" s="710"/>
      <c r="P352" s="527"/>
      <c r="Q352" s="527"/>
      <c r="R352" s="711"/>
      <c r="U352" s="712"/>
      <c r="V352" s="712"/>
      <c r="W352" s="712"/>
      <c r="X352" s="604"/>
      <c r="Y352" s="604"/>
      <c r="Z352" s="873"/>
      <c r="AA352" s="866"/>
      <c r="AB352" s="864"/>
      <c r="AC352" s="837"/>
      <c r="AD352" s="837"/>
      <c r="AE352" s="837"/>
      <c r="AF352" s="837"/>
      <c r="AG352" s="837"/>
      <c r="AH352" s="837"/>
      <c r="AI352" s="837"/>
      <c r="AJ352" s="874"/>
      <c r="AK352" s="837"/>
      <c r="AL352" s="837"/>
      <c r="AM352" s="837"/>
      <c r="AN352" s="837"/>
      <c r="AO352" s="837"/>
      <c r="AP352" s="837"/>
      <c r="AQ352" s="837"/>
      <c r="AR352" s="837"/>
      <c r="AS352" s="874"/>
      <c r="AT352" s="837"/>
      <c r="AU352" s="836"/>
      <c r="AV352" s="836"/>
      <c r="AW352" s="836"/>
      <c r="AX352" s="836"/>
      <c r="AY352" s="836"/>
    </row>
    <row r="353" spans="4:51" s="526" customFormat="1" x14ac:dyDescent="0.2">
      <c r="D353" s="708"/>
      <c r="E353" s="708"/>
      <c r="F353" s="708"/>
      <c r="G353" s="527"/>
      <c r="H353" s="709"/>
      <c r="I353" s="710"/>
      <c r="J353" s="710"/>
      <c r="K353" s="711"/>
      <c r="L353" s="711"/>
      <c r="M353" s="710"/>
      <c r="N353" s="711"/>
      <c r="O353" s="710"/>
      <c r="P353" s="527"/>
      <c r="Q353" s="527"/>
      <c r="R353" s="711"/>
      <c r="U353" s="712"/>
      <c r="V353" s="712"/>
      <c r="W353" s="712"/>
      <c r="X353" s="604"/>
      <c r="Y353" s="604"/>
      <c r="Z353" s="873"/>
      <c r="AA353" s="866"/>
      <c r="AB353" s="864"/>
      <c r="AC353" s="837"/>
      <c r="AD353" s="837"/>
      <c r="AE353" s="837"/>
      <c r="AF353" s="837"/>
      <c r="AG353" s="837"/>
      <c r="AH353" s="837"/>
      <c r="AI353" s="837"/>
      <c r="AJ353" s="874"/>
      <c r="AK353" s="837"/>
      <c r="AL353" s="837"/>
      <c r="AM353" s="837"/>
      <c r="AN353" s="837"/>
      <c r="AO353" s="837"/>
      <c r="AP353" s="837"/>
      <c r="AQ353" s="837"/>
      <c r="AR353" s="837"/>
      <c r="AS353" s="874"/>
      <c r="AT353" s="837"/>
      <c r="AU353" s="836"/>
      <c r="AV353" s="836"/>
      <c r="AW353" s="836"/>
      <c r="AX353" s="836"/>
      <c r="AY353" s="836"/>
    </row>
    <row r="354" spans="4:51" s="526" customFormat="1" x14ac:dyDescent="0.2">
      <c r="D354" s="708"/>
      <c r="E354" s="708"/>
      <c r="F354" s="708"/>
      <c r="G354" s="527"/>
      <c r="H354" s="709"/>
      <c r="I354" s="710"/>
      <c r="J354" s="710"/>
      <c r="K354" s="711"/>
      <c r="L354" s="711"/>
      <c r="M354" s="710"/>
      <c r="N354" s="711"/>
      <c r="O354" s="710"/>
      <c r="P354" s="527"/>
      <c r="Q354" s="527"/>
      <c r="R354" s="711"/>
      <c r="U354" s="712"/>
      <c r="V354" s="712"/>
      <c r="W354" s="712"/>
      <c r="X354" s="604"/>
      <c r="Y354" s="604"/>
      <c r="Z354" s="873"/>
      <c r="AA354" s="866"/>
      <c r="AB354" s="864"/>
      <c r="AC354" s="837"/>
      <c r="AD354" s="837"/>
      <c r="AE354" s="837"/>
      <c r="AF354" s="837"/>
      <c r="AG354" s="837"/>
      <c r="AH354" s="837"/>
      <c r="AI354" s="837"/>
      <c r="AJ354" s="874"/>
      <c r="AK354" s="837"/>
      <c r="AL354" s="837"/>
      <c r="AM354" s="837"/>
      <c r="AN354" s="837"/>
      <c r="AO354" s="837"/>
      <c r="AP354" s="837"/>
      <c r="AQ354" s="837"/>
      <c r="AR354" s="837"/>
      <c r="AS354" s="874"/>
      <c r="AT354" s="837"/>
      <c r="AU354" s="836"/>
      <c r="AV354" s="836"/>
      <c r="AW354" s="836"/>
      <c r="AX354" s="836"/>
      <c r="AY354" s="836"/>
    </row>
    <row r="355" spans="4:51" s="526" customFormat="1" x14ac:dyDescent="0.2">
      <c r="D355" s="708"/>
      <c r="E355" s="708"/>
      <c r="F355" s="708"/>
      <c r="G355" s="527"/>
      <c r="H355" s="709"/>
      <c r="I355" s="710"/>
      <c r="J355" s="710"/>
      <c r="K355" s="711"/>
      <c r="L355" s="711"/>
      <c r="M355" s="710"/>
      <c r="N355" s="711"/>
      <c r="O355" s="710"/>
      <c r="P355" s="527"/>
      <c r="Q355" s="527"/>
      <c r="R355" s="711"/>
      <c r="U355" s="712"/>
      <c r="V355" s="712"/>
      <c r="W355" s="712"/>
      <c r="X355" s="604"/>
      <c r="Y355" s="604"/>
      <c r="Z355" s="873"/>
      <c r="AA355" s="866"/>
      <c r="AB355" s="864"/>
      <c r="AC355" s="837"/>
      <c r="AD355" s="837"/>
      <c r="AE355" s="837"/>
      <c r="AF355" s="837"/>
      <c r="AG355" s="837"/>
      <c r="AH355" s="837"/>
      <c r="AI355" s="837"/>
      <c r="AJ355" s="874"/>
      <c r="AK355" s="837"/>
      <c r="AL355" s="837"/>
      <c r="AM355" s="837"/>
      <c r="AN355" s="837"/>
      <c r="AO355" s="837"/>
      <c r="AP355" s="837"/>
      <c r="AQ355" s="837"/>
      <c r="AR355" s="837"/>
      <c r="AS355" s="874"/>
      <c r="AT355" s="837"/>
      <c r="AU355" s="836"/>
      <c r="AV355" s="836"/>
      <c r="AW355" s="836"/>
      <c r="AX355" s="836"/>
      <c r="AY355" s="836"/>
    </row>
    <row r="356" spans="4:51" s="526" customFormat="1" x14ac:dyDescent="0.2">
      <c r="D356" s="708"/>
      <c r="E356" s="708"/>
      <c r="F356" s="708"/>
      <c r="G356" s="527"/>
      <c r="H356" s="709"/>
      <c r="I356" s="710"/>
      <c r="J356" s="710"/>
      <c r="K356" s="711"/>
      <c r="L356" s="711"/>
      <c r="M356" s="710"/>
      <c r="N356" s="711"/>
      <c r="O356" s="710"/>
      <c r="P356" s="527"/>
      <c r="Q356" s="527"/>
      <c r="R356" s="711"/>
      <c r="U356" s="712"/>
      <c r="V356" s="712"/>
      <c r="W356" s="712"/>
      <c r="X356" s="604"/>
      <c r="Y356" s="604"/>
      <c r="Z356" s="873"/>
      <c r="AA356" s="866"/>
      <c r="AB356" s="864"/>
      <c r="AC356" s="837"/>
      <c r="AD356" s="837"/>
      <c r="AE356" s="837"/>
      <c r="AF356" s="837"/>
      <c r="AG356" s="837"/>
      <c r="AH356" s="837"/>
      <c r="AI356" s="837"/>
      <c r="AJ356" s="874"/>
      <c r="AK356" s="837"/>
      <c r="AL356" s="837"/>
      <c r="AM356" s="837"/>
      <c r="AN356" s="837"/>
      <c r="AO356" s="837"/>
      <c r="AP356" s="837"/>
      <c r="AQ356" s="837"/>
      <c r="AR356" s="837"/>
      <c r="AS356" s="874"/>
      <c r="AT356" s="837"/>
      <c r="AU356" s="836"/>
      <c r="AV356" s="836"/>
      <c r="AW356" s="836"/>
      <c r="AX356" s="836"/>
      <c r="AY356" s="836"/>
    </row>
    <row r="357" spans="4:51" s="526" customFormat="1" x14ac:dyDescent="0.2">
      <c r="D357" s="708"/>
      <c r="E357" s="708"/>
      <c r="F357" s="708"/>
      <c r="G357" s="527"/>
      <c r="H357" s="709"/>
      <c r="I357" s="710"/>
      <c r="J357" s="710"/>
      <c r="K357" s="711"/>
      <c r="L357" s="711"/>
      <c r="M357" s="710"/>
      <c r="N357" s="711"/>
      <c r="O357" s="710"/>
      <c r="P357" s="527"/>
      <c r="Q357" s="527"/>
      <c r="R357" s="711"/>
      <c r="U357" s="712"/>
      <c r="V357" s="712"/>
      <c r="W357" s="712"/>
      <c r="X357" s="604"/>
      <c r="Y357" s="604"/>
      <c r="Z357" s="873"/>
      <c r="AA357" s="866"/>
      <c r="AB357" s="864"/>
      <c r="AC357" s="837"/>
      <c r="AD357" s="837"/>
      <c r="AE357" s="837"/>
      <c r="AF357" s="837"/>
      <c r="AG357" s="837"/>
      <c r="AH357" s="837"/>
      <c r="AI357" s="837"/>
      <c r="AJ357" s="874"/>
      <c r="AK357" s="837"/>
      <c r="AL357" s="837"/>
      <c r="AM357" s="837"/>
      <c r="AN357" s="837"/>
      <c r="AO357" s="837"/>
      <c r="AP357" s="837"/>
      <c r="AQ357" s="837"/>
      <c r="AR357" s="837"/>
      <c r="AS357" s="874"/>
      <c r="AT357" s="837"/>
      <c r="AU357" s="836"/>
      <c r="AV357" s="836"/>
      <c r="AW357" s="836"/>
      <c r="AX357" s="836"/>
      <c r="AY357" s="836"/>
    </row>
    <row r="358" spans="4:51" s="526" customFormat="1" x14ac:dyDescent="0.2">
      <c r="D358" s="708"/>
      <c r="E358" s="708"/>
      <c r="F358" s="708"/>
      <c r="G358" s="527"/>
      <c r="H358" s="709"/>
      <c r="I358" s="710"/>
      <c r="J358" s="710"/>
      <c r="K358" s="711"/>
      <c r="L358" s="711"/>
      <c r="M358" s="710"/>
      <c r="N358" s="711"/>
      <c r="O358" s="710"/>
      <c r="P358" s="527"/>
      <c r="Q358" s="527"/>
      <c r="R358" s="711"/>
      <c r="U358" s="712"/>
      <c r="V358" s="712"/>
      <c r="W358" s="712"/>
      <c r="X358" s="604"/>
      <c r="Y358" s="604"/>
      <c r="Z358" s="873"/>
      <c r="AA358" s="866"/>
      <c r="AB358" s="864"/>
      <c r="AC358" s="837"/>
      <c r="AD358" s="837"/>
      <c r="AE358" s="837"/>
      <c r="AF358" s="837"/>
      <c r="AG358" s="837"/>
      <c r="AH358" s="837"/>
      <c r="AI358" s="837"/>
      <c r="AJ358" s="874"/>
      <c r="AK358" s="837"/>
      <c r="AL358" s="837"/>
      <c r="AM358" s="837"/>
      <c r="AN358" s="837"/>
      <c r="AO358" s="837"/>
      <c r="AP358" s="837"/>
      <c r="AQ358" s="837"/>
      <c r="AR358" s="837"/>
      <c r="AS358" s="874"/>
      <c r="AT358" s="837"/>
      <c r="AU358" s="836"/>
      <c r="AV358" s="836"/>
      <c r="AW358" s="836"/>
      <c r="AX358" s="836"/>
      <c r="AY358" s="836"/>
    </row>
    <row r="359" spans="4:51" s="526" customFormat="1" x14ac:dyDescent="0.2">
      <c r="D359" s="708"/>
      <c r="E359" s="708"/>
      <c r="F359" s="708"/>
      <c r="G359" s="527"/>
      <c r="H359" s="709"/>
      <c r="I359" s="710"/>
      <c r="J359" s="710"/>
      <c r="K359" s="711"/>
      <c r="L359" s="711"/>
      <c r="M359" s="710"/>
      <c r="N359" s="711"/>
      <c r="O359" s="710"/>
      <c r="P359" s="527"/>
      <c r="Q359" s="527"/>
      <c r="R359" s="711"/>
      <c r="U359" s="712"/>
      <c r="V359" s="712"/>
      <c r="W359" s="712"/>
      <c r="X359" s="604"/>
      <c r="Y359" s="604"/>
      <c r="Z359" s="873"/>
      <c r="AA359" s="866"/>
      <c r="AB359" s="864"/>
      <c r="AC359" s="837"/>
      <c r="AD359" s="837"/>
      <c r="AE359" s="837"/>
      <c r="AF359" s="837"/>
      <c r="AG359" s="837"/>
      <c r="AH359" s="837"/>
      <c r="AI359" s="837"/>
      <c r="AJ359" s="874"/>
      <c r="AK359" s="837"/>
      <c r="AL359" s="837"/>
      <c r="AM359" s="837"/>
      <c r="AN359" s="837"/>
      <c r="AO359" s="837"/>
      <c r="AP359" s="837"/>
      <c r="AQ359" s="837"/>
      <c r="AR359" s="837"/>
      <c r="AS359" s="874"/>
      <c r="AT359" s="837"/>
      <c r="AU359" s="836"/>
      <c r="AV359" s="836"/>
      <c r="AW359" s="836"/>
      <c r="AX359" s="836"/>
      <c r="AY359" s="836"/>
    </row>
    <row r="360" spans="4:51" s="526" customFormat="1" x14ac:dyDescent="0.2">
      <c r="D360" s="708"/>
      <c r="E360" s="708"/>
      <c r="F360" s="708"/>
      <c r="G360" s="527"/>
      <c r="H360" s="709"/>
      <c r="I360" s="710"/>
      <c r="J360" s="710"/>
      <c r="K360" s="711"/>
      <c r="L360" s="711"/>
      <c r="M360" s="710"/>
      <c r="N360" s="711"/>
      <c r="O360" s="710"/>
      <c r="P360" s="527"/>
      <c r="Q360" s="527"/>
      <c r="R360" s="711"/>
      <c r="U360" s="712"/>
      <c r="V360" s="712"/>
      <c r="W360" s="712"/>
      <c r="X360" s="604"/>
      <c r="Y360" s="604"/>
      <c r="Z360" s="873"/>
      <c r="AA360" s="866"/>
      <c r="AB360" s="864"/>
      <c r="AC360" s="837"/>
      <c r="AD360" s="837"/>
      <c r="AE360" s="837"/>
      <c r="AF360" s="837"/>
      <c r="AG360" s="837"/>
      <c r="AH360" s="837"/>
      <c r="AI360" s="837"/>
      <c r="AJ360" s="874"/>
      <c r="AK360" s="837"/>
      <c r="AL360" s="837"/>
      <c r="AM360" s="837"/>
      <c r="AN360" s="837"/>
      <c r="AO360" s="837"/>
      <c r="AP360" s="837"/>
      <c r="AQ360" s="837"/>
      <c r="AR360" s="837"/>
      <c r="AS360" s="874"/>
      <c r="AT360" s="837"/>
      <c r="AU360" s="836"/>
      <c r="AV360" s="836"/>
      <c r="AW360" s="836"/>
      <c r="AX360" s="836"/>
      <c r="AY360" s="836"/>
    </row>
    <row r="361" spans="4:51" s="526" customFormat="1" x14ac:dyDescent="0.2">
      <c r="D361" s="708"/>
      <c r="E361" s="708"/>
      <c r="F361" s="708"/>
      <c r="G361" s="527"/>
      <c r="H361" s="709"/>
      <c r="I361" s="710"/>
      <c r="J361" s="710"/>
      <c r="K361" s="711"/>
      <c r="L361" s="711"/>
      <c r="M361" s="710"/>
      <c r="N361" s="711"/>
      <c r="O361" s="710"/>
      <c r="P361" s="527"/>
      <c r="Q361" s="527"/>
      <c r="R361" s="711"/>
      <c r="U361" s="712"/>
      <c r="V361" s="712"/>
      <c r="W361" s="712"/>
      <c r="X361" s="604"/>
      <c r="Y361" s="604"/>
      <c r="Z361" s="873"/>
      <c r="AA361" s="866"/>
      <c r="AB361" s="864"/>
      <c r="AC361" s="837"/>
      <c r="AD361" s="837"/>
      <c r="AE361" s="837"/>
      <c r="AF361" s="837"/>
      <c r="AG361" s="837"/>
      <c r="AH361" s="837"/>
      <c r="AI361" s="837"/>
      <c r="AJ361" s="874"/>
      <c r="AK361" s="837"/>
      <c r="AL361" s="837"/>
      <c r="AM361" s="837"/>
      <c r="AN361" s="837"/>
      <c r="AO361" s="837"/>
      <c r="AP361" s="837"/>
      <c r="AQ361" s="837"/>
      <c r="AR361" s="837"/>
      <c r="AS361" s="874"/>
      <c r="AT361" s="837"/>
      <c r="AU361" s="836"/>
      <c r="AV361" s="836"/>
      <c r="AW361" s="836"/>
      <c r="AX361" s="836"/>
      <c r="AY361" s="836"/>
    </row>
    <row r="362" spans="4:51" s="526" customFormat="1" x14ac:dyDescent="0.2">
      <c r="D362" s="708"/>
      <c r="E362" s="708"/>
      <c r="F362" s="708"/>
      <c r="G362" s="527"/>
      <c r="H362" s="709"/>
      <c r="I362" s="710"/>
      <c r="J362" s="710"/>
      <c r="K362" s="711"/>
      <c r="L362" s="711"/>
      <c r="M362" s="710"/>
      <c r="N362" s="711"/>
      <c r="O362" s="710"/>
      <c r="P362" s="527"/>
      <c r="Q362" s="527"/>
      <c r="R362" s="711"/>
      <c r="U362" s="712"/>
      <c r="V362" s="712"/>
      <c r="W362" s="712"/>
      <c r="X362" s="604"/>
      <c r="Y362" s="604"/>
      <c r="Z362" s="873"/>
      <c r="AA362" s="866"/>
      <c r="AB362" s="864"/>
      <c r="AC362" s="837"/>
      <c r="AD362" s="837"/>
      <c r="AE362" s="837"/>
      <c r="AF362" s="837"/>
      <c r="AG362" s="837"/>
      <c r="AH362" s="837"/>
      <c r="AI362" s="837"/>
      <c r="AJ362" s="874"/>
      <c r="AK362" s="837"/>
      <c r="AL362" s="837"/>
      <c r="AM362" s="837"/>
      <c r="AN362" s="837"/>
      <c r="AO362" s="837"/>
      <c r="AP362" s="837"/>
      <c r="AQ362" s="837"/>
      <c r="AR362" s="837"/>
      <c r="AS362" s="874"/>
      <c r="AT362" s="837"/>
      <c r="AU362" s="836"/>
      <c r="AV362" s="836"/>
      <c r="AW362" s="836"/>
      <c r="AX362" s="836"/>
      <c r="AY362" s="836"/>
    </row>
    <row r="363" spans="4:51" s="526" customFormat="1" x14ac:dyDescent="0.2">
      <c r="D363" s="708"/>
      <c r="E363" s="708"/>
      <c r="F363" s="708"/>
      <c r="G363" s="527"/>
      <c r="H363" s="709"/>
      <c r="I363" s="710"/>
      <c r="J363" s="710"/>
      <c r="K363" s="711"/>
      <c r="L363" s="711"/>
      <c r="M363" s="710"/>
      <c r="N363" s="711"/>
      <c r="O363" s="710"/>
      <c r="P363" s="527"/>
      <c r="Q363" s="527"/>
      <c r="R363" s="711"/>
      <c r="U363" s="712"/>
      <c r="V363" s="712"/>
      <c r="W363" s="712"/>
      <c r="X363" s="604"/>
      <c r="Y363" s="604"/>
      <c r="Z363" s="873"/>
      <c r="AA363" s="866"/>
      <c r="AB363" s="864"/>
      <c r="AC363" s="837"/>
      <c r="AD363" s="837"/>
      <c r="AE363" s="837"/>
      <c r="AF363" s="837"/>
      <c r="AG363" s="837"/>
      <c r="AH363" s="837"/>
      <c r="AI363" s="837"/>
      <c r="AJ363" s="874"/>
      <c r="AK363" s="837"/>
      <c r="AL363" s="837"/>
      <c r="AM363" s="837"/>
      <c r="AN363" s="837"/>
      <c r="AO363" s="837"/>
      <c r="AP363" s="837"/>
      <c r="AQ363" s="837"/>
      <c r="AR363" s="837"/>
      <c r="AS363" s="874"/>
      <c r="AT363" s="837"/>
      <c r="AU363" s="836"/>
      <c r="AV363" s="836"/>
      <c r="AW363" s="836"/>
      <c r="AX363" s="836"/>
      <c r="AY363" s="836"/>
    </row>
    <row r="364" spans="4:51" s="526" customFormat="1" x14ac:dyDescent="0.2">
      <c r="D364" s="708"/>
      <c r="E364" s="708"/>
      <c r="F364" s="708"/>
      <c r="G364" s="527"/>
      <c r="H364" s="709"/>
      <c r="I364" s="710"/>
      <c r="J364" s="710"/>
      <c r="K364" s="711"/>
      <c r="L364" s="711"/>
      <c r="M364" s="710"/>
      <c r="N364" s="711"/>
      <c r="O364" s="710"/>
      <c r="P364" s="527"/>
      <c r="Q364" s="527"/>
      <c r="R364" s="711"/>
      <c r="U364" s="712"/>
      <c r="V364" s="712"/>
      <c r="W364" s="712"/>
      <c r="X364" s="604"/>
      <c r="Y364" s="604"/>
      <c r="Z364" s="873"/>
      <c r="AA364" s="866"/>
      <c r="AB364" s="864"/>
      <c r="AC364" s="837"/>
      <c r="AD364" s="837"/>
      <c r="AE364" s="837"/>
      <c r="AF364" s="837"/>
      <c r="AG364" s="837"/>
      <c r="AH364" s="837"/>
      <c r="AI364" s="837"/>
      <c r="AJ364" s="874"/>
      <c r="AK364" s="837"/>
      <c r="AL364" s="837"/>
      <c r="AM364" s="837"/>
      <c r="AN364" s="837"/>
      <c r="AO364" s="837"/>
      <c r="AP364" s="837"/>
      <c r="AQ364" s="837"/>
      <c r="AR364" s="837"/>
      <c r="AS364" s="874"/>
      <c r="AT364" s="837"/>
      <c r="AU364" s="836"/>
      <c r="AV364" s="836"/>
      <c r="AW364" s="836"/>
      <c r="AX364" s="836"/>
      <c r="AY364" s="836"/>
    </row>
    <row r="365" spans="4:51" s="526" customFormat="1" x14ac:dyDescent="0.2">
      <c r="D365" s="708"/>
      <c r="E365" s="708"/>
      <c r="F365" s="708"/>
      <c r="G365" s="527"/>
      <c r="H365" s="709"/>
      <c r="I365" s="710"/>
      <c r="J365" s="710"/>
      <c r="K365" s="711"/>
      <c r="L365" s="711"/>
      <c r="M365" s="710"/>
      <c r="N365" s="711"/>
      <c r="O365" s="710"/>
      <c r="P365" s="527"/>
      <c r="Q365" s="527"/>
      <c r="R365" s="711"/>
      <c r="U365" s="712"/>
      <c r="V365" s="712"/>
      <c r="W365" s="712"/>
      <c r="X365" s="604"/>
      <c r="Y365" s="604"/>
      <c r="Z365" s="873"/>
      <c r="AA365" s="866"/>
      <c r="AB365" s="864"/>
      <c r="AC365" s="837"/>
      <c r="AD365" s="837"/>
      <c r="AE365" s="837"/>
      <c r="AF365" s="837"/>
      <c r="AG365" s="837"/>
      <c r="AH365" s="837"/>
      <c r="AI365" s="837"/>
      <c r="AJ365" s="874"/>
      <c r="AK365" s="837"/>
      <c r="AL365" s="837"/>
      <c r="AM365" s="837"/>
      <c r="AN365" s="837"/>
      <c r="AO365" s="837"/>
      <c r="AP365" s="837"/>
      <c r="AQ365" s="837"/>
      <c r="AR365" s="837"/>
      <c r="AS365" s="874"/>
      <c r="AT365" s="837"/>
      <c r="AU365" s="836"/>
      <c r="AV365" s="836"/>
      <c r="AW365" s="836"/>
      <c r="AX365" s="836"/>
      <c r="AY365" s="836"/>
    </row>
    <row r="366" spans="4:51" s="526" customFormat="1" x14ac:dyDescent="0.2">
      <c r="D366" s="708"/>
      <c r="E366" s="708"/>
      <c r="F366" s="708"/>
      <c r="G366" s="527"/>
      <c r="H366" s="709"/>
      <c r="I366" s="710"/>
      <c r="J366" s="710"/>
      <c r="K366" s="711"/>
      <c r="L366" s="711"/>
      <c r="M366" s="710"/>
      <c r="N366" s="711"/>
      <c r="O366" s="710"/>
      <c r="P366" s="527"/>
      <c r="Q366" s="527"/>
      <c r="R366" s="711"/>
      <c r="U366" s="712"/>
      <c r="V366" s="712"/>
      <c r="W366" s="712"/>
      <c r="X366" s="604"/>
      <c r="Y366" s="604"/>
      <c r="Z366" s="873"/>
      <c r="AA366" s="866"/>
      <c r="AB366" s="864"/>
      <c r="AC366" s="837"/>
      <c r="AD366" s="837"/>
      <c r="AE366" s="837"/>
      <c r="AF366" s="837"/>
      <c r="AG366" s="837"/>
      <c r="AH366" s="837"/>
      <c r="AI366" s="837"/>
      <c r="AJ366" s="874"/>
      <c r="AK366" s="837"/>
      <c r="AL366" s="837"/>
      <c r="AM366" s="837"/>
      <c r="AN366" s="837"/>
      <c r="AO366" s="837"/>
      <c r="AP366" s="837"/>
      <c r="AQ366" s="837"/>
      <c r="AR366" s="837"/>
      <c r="AS366" s="874"/>
      <c r="AT366" s="837"/>
      <c r="AU366" s="836"/>
      <c r="AV366" s="836"/>
      <c r="AW366" s="836"/>
      <c r="AX366" s="836"/>
      <c r="AY366" s="836"/>
    </row>
    <row r="367" spans="4:51" s="526" customFormat="1" x14ac:dyDescent="0.2">
      <c r="D367" s="708"/>
      <c r="E367" s="708"/>
      <c r="F367" s="708"/>
      <c r="G367" s="527"/>
      <c r="H367" s="709"/>
      <c r="I367" s="710"/>
      <c r="J367" s="710"/>
      <c r="K367" s="711"/>
      <c r="L367" s="711"/>
      <c r="M367" s="710"/>
      <c r="N367" s="711"/>
      <c r="O367" s="710"/>
      <c r="P367" s="527"/>
      <c r="Q367" s="527"/>
      <c r="R367" s="711"/>
      <c r="U367" s="712"/>
      <c r="V367" s="712"/>
      <c r="W367" s="712"/>
      <c r="X367" s="604"/>
      <c r="Y367" s="604"/>
      <c r="Z367" s="873"/>
      <c r="AA367" s="866"/>
      <c r="AB367" s="864"/>
      <c r="AC367" s="837"/>
      <c r="AD367" s="837"/>
      <c r="AE367" s="837"/>
      <c r="AF367" s="837"/>
      <c r="AG367" s="837"/>
      <c r="AH367" s="837"/>
      <c r="AI367" s="837"/>
      <c r="AJ367" s="874"/>
      <c r="AK367" s="837"/>
      <c r="AL367" s="837"/>
      <c r="AM367" s="837"/>
      <c r="AN367" s="837"/>
      <c r="AO367" s="837"/>
      <c r="AP367" s="837"/>
      <c r="AQ367" s="837"/>
      <c r="AR367" s="837"/>
      <c r="AS367" s="874"/>
      <c r="AT367" s="837"/>
      <c r="AU367" s="836"/>
      <c r="AV367" s="836"/>
      <c r="AW367" s="836"/>
      <c r="AX367" s="836"/>
      <c r="AY367" s="836"/>
    </row>
    <row r="368" spans="4:51" s="526" customFormat="1" x14ac:dyDescent="0.2">
      <c r="D368" s="708"/>
      <c r="E368" s="708"/>
      <c r="F368" s="708"/>
      <c r="G368" s="527"/>
      <c r="H368" s="709"/>
      <c r="I368" s="710"/>
      <c r="J368" s="710"/>
      <c r="K368" s="711"/>
      <c r="L368" s="711"/>
      <c r="M368" s="710"/>
      <c r="N368" s="711"/>
      <c r="O368" s="710"/>
      <c r="P368" s="527"/>
      <c r="Q368" s="527"/>
      <c r="R368" s="711"/>
      <c r="U368" s="712"/>
      <c r="V368" s="712"/>
      <c r="W368" s="712"/>
      <c r="X368" s="604"/>
      <c r="Y368" s="604"/>
      <c r="Z368" s="873"/>
      <c r="AA368" s="866"/>
      <c r="AB368" s="864"/>
      <c r="AC368" s="837"/>
      <c r="AD368" s="837"/>
      <c r="AE368" s="837"/>
      <c r="AF368" s="837"/>
      <c r="AG368" s="837"/>
      <c r="AH368" s="837"/>
      <c r="AI368" s="837"/>
      <c r="AJ368" s="874"/>
      <c r="AK368" s="837"/>
      <c r="AL368" s="837"/>
      <c r="AM368" s="837"/>
      <c r="AN368" s="837"/>
      <c r="AO368" s="837"/>
      <c r="AP368" s="837"/>
      <c r="AQ368" s="837"/>
      <c r="AR368" s="837"/>
      <c r="AS368" s="874"/>
      <c r="AT368" s="837"/>
      <c r="AU368" s="836"/>
      <c r="AV368" s="836"/>
      <c r="AW368" s="836"/>
      <c r="AX368" s="836"/>
      <c r="AY368" s="836"/>
    </row>
    <row r="369" spans="4:51" s="526" customFormat="1" x14ac:dyDescent="0.2">
      <c r="D369" s="708"/>
      <c r="E369" s="708"/>
      <c r="F369" s="708"/>
      <c r="G369" s="527"/>
      <c r="H369" s="709"/>
      <c r="I369" s="710"/>
      <c r="J369" s="710"/>
      <c r="K369" s="711"/>
      <c r="L369" s="711"/>
      <c r="M369" s="710"/>
      <c r="N369" s="711"/>
      <c r="O369" s="710"/>
      <c r="P369" s="527"/>
      <c r="Q369" s="527"/>
      <c r="R369" s="711"/>
      <c r="U369" s="712"/>
      <c r="V369" s="712"/>
      <c r="W369" s="712"/>
      <c r="X369" s="604"/>
      <c r="Y369" s="604"/>
      <c r="Z369" s="873"/>
      <c r="AA369" s="866"/>
      <c r="AB369" s="864"/>
      <c r="AC369" s="837"/>
      <c r="AD369" s="837"/>
      <c r="AE369" s="837"/>
      <c r="AF369" s="837"/>
      <c r="AG369" s="837"/>
      <c r="AH369" s="837"/>
      <c r="AI369" s="837"/>
      <c r="AJ369" s="874"/>
      <c r="AK369" s="837"/>
      <c r="AL369" s="837"/>
      <c r="AM369" s="837"/>
      <c r="AN369" s="837"/>
      <c r="AO369" s="837"/>
      <c r="AP369" s="837"/>
      <c r="AQ369" s="837"/>
      <c r="AR369" s="837"/>
      <c r="AS369" s="874"/>
      <c r="AT369" s="837"/>
      <c r="AU369" s="836"/>
      <c r="AV369" s="836"/>
      <c r="AW369" s="836"/>
      <c r="AX369" s="836"/>
      <c r="AY369" s="836"/>
    </row>
    <row r="370" spans="4:51" s="526" customFormat="1" x14ac:dyDescent="0.2">
      <c r="D370" s="708"/>
      <c r="E370" s="708"/>
      <c r="F370" s="708"/>
      <c r="G370" s="527"/>
      <c r="H370" s="709"/>
      <c r="I370" s="710"/>
      <c r="J370" s="710"/>
      <c r="K370" s="711"/>
      <c r="L370" s="711"/>
      <c r="M370" s="710"/>
      <c r="N370" s="711"/>
      <c r="O370" s="710"/>
      <c r="P370" s="527"/>
      <c r="Q370" s="527"/>
      <c r="R370" s="711"/>
      <c r="U370" s="712"/>
      <c r="V370" s="712"/>
      <c r="W370" s="712"/>
      <c r="X370" s="604"/>
      <c r="Y370" s="604"/>
      <c r="Z370" s="873"/>
      <c r="AA370" s="866"/>
      <c r="AB370" s="864"/>
      <c r="AC370" s="837"/>
      <c r="AD370" s="837"/>
      <c r="AE370" s="837"/>
      <c r="AF370" s="837"/>
      <c r="AG370" s="837"/>
      <c r="AH370" s="837"/>
      <c r="AI370" s="837"/>
      <c r="AJ370" s="874"/>
      <c r="AK370" s="837"/>
      <c r="AL370" s="837"/>
      <c r="AM370" s="837"/>
      <c r="AN370" s="837"/>
      <c r="AO370" s="837"/>
      <c r="AP370" s="837"/>
      <c r="AQ370" s="837"/>
      <c r="AR370" s="837"/>
      <c r="AS370" s="874"/>
      <c r="AT370" s="837"/>
      <c r="AU370" s="836"/>
      <c r="AV370" s="836"/>
      <c r="AW370" s="836"/>
      <c r="AX370" s="836"/>
      <c r="AY370" s="836"/>
    </row>
    <row r="371" spans="4:51" s="526" customFormat="1" x14ac:dyDescent="0.2">
      <c r="D371" s="708"/>
      <c r="E371" s="708"/>
      <c r="F371" s="708"/>
      <c r="G371" s="527"/>
      <c r="H371" s="709"/>
      <c r="I371" s="710"/>
      <c r="J371" s="710"/>
      <c r="K371" s="711"/>
      <c r="L371" s="711"/>
      <c r="M371" s="710"/>
      <c r="N371" s="711"/>
      <c r="O371" s="710"/>
      <c r="P371" s="527"/>
      <c r="Q371" s="527"/>
      <c r="R371" s="711"/>
      <c r="U371" s="712"/>
      <c r="V371" s="712"/>
      <c r="W371" s="712"/>
      <c r="X371" s="604"/>
      <c r="Y371" s="604"/>
      <c r="Z371" s="873"/>
      <c r="AA371" s="866"/>
      <c r="AB371" s="864"/>
      <c r="AC371" s="837"/>
      <c r="AD371" s="837"/>
      <c r="AE371" s="837"/>
      <c r="AF371" s="837"/>
      <c r="AG371" s="837"/>
      <c r="AH371" s="837"/>
      <c r="AI371" s="837"/>
      <c r="AJ371" s="874"/>
      <c r="AK371" s="837"/>
      <c r="AL371" s="837"/>
      <c r="AM371" s="837"/>
      <c r="AN371" s="837"/>
      <c r="AO371" s="837"/>
      <c r="AP371" s="837"/>
      <c r="AQ371" s="837"/>
      <c r="AR371" s="837"/>
      <c r="AS371" s="874"/>
      <c r="AT371" s="837"/>
      <c r="AU371" s="836"/>
      <c r="AV371" s="836"/>
      <c r="AW371" s="836"/>
      <c r="AX371" s="836"/>
      <c r="AY371" s="836"/>
    </row>
    <row r="372" spans="4:51" s="526" customFormat="1" x14ac:dyDescent="0.2">
      <c r="D372" s="708"/>
      <c r="E372" s="708"/>
      <c r="F372" s="708"/>
      <c r="G372" s="527"/>
      <c r="H372" s="709"/>
      <c r="I372" s="710"/>
      <c r="J372" s="710"/>
      <c r="K372" s="711"/>
      <c r="L372" s="711"/>
      <c r="M372" s="710"/>
      <c r="N372" s="711"/>
      <c r="O372" s="710"/>
      <c r="P372" s="527"/>
      <c r="Q372" s="527"/>
      <c r="R372" s="711"/>
      <c r="U372" s="712"/>
      <c r="V372" s="712"/>
      <c r="W372" s="712"/>
      <c r="X372" s="604"/>
      <c r="Y372" s="604"/>
      <c r="Z372" s="873"/>
      <c r="AA372" s="866"/>
      <c r="AB372" s="864"/>
      <c r="AC372" s="837"/>
      <c r="AD372" s="837"/>
      <c r="AE372" s="837"/>
      <c r="AF372" s="837"/>
      <c r="AG372" s="837"/>
      <c r="AH372" s="837"/>
      <c r="AI372" s="837"/>
      <c r="AJ372" s="874"/>
      <c r="AK372" s="837"/>
      <c r="AL372" s="837"/>
      <c r="AM372" s="837"/>
      <c r="AN372" s="837"/>
      <c r="AO372" s="837"/>
      <c r="AP372" s="837"/>
      <c r="AQ372" s="837"/>
      <c r="AR372" s="837"/>
      <c r="AS372" s="874"/>
      <c r="AT372" s="837"/>
      <c r="AU372" s="836"/>
      <c r="AV372" s="836"/>
      <c r="AW372" s="836"/>
      <c r="AX372" s="836"/>
      <c r="AY372" s="836"/>
    </row>
    <row r="373" spans="4:51" s="526" customFormat="1" x14ac:dyDescent="0.2">
      <c r="D373" s="708"/>
      <c r="E373" s="708"/>
      <c r="F373" s="708"/>
      <c r="G373" s="527"/>
      <c r="H373" s="709"/>
      <c r="I373" s="710"/>
      <c r="J373" s="710"/>
      <c r="K373" s="711"/>
      <c r="L373" s="711"/>
      <c r="M373" s="710"/>
      <c r="N373" s="711"/>
      <c r="O373" s="710"/>
      <c r="P373" s="527"/>
      <c r="Q373" s="527"/>
      <c r="R373" s="711"/>
      <c r="U373" s="712"/>
      <c r="V373" s="712"/>
      <c r="W373" s="712"/>
      <c r="X373" s="604"/>
      <c r="Y373" s="604"/>
      <c r="Z373" s="873"/>
      <c r="AA373" s="866"/>
      <c r="AB373" s="864"/>
      <c r="AC373" s="837"/>
      <c r="AD373" s="837"/>
      <c r="AE373" s="837"/>
      <c r="AF373" s="837"/>
      <c r="AG373" s="837"/>
      <c r="AH373" s="837"/>
      <c r="AI373" s="837"/>
      <c r="AJ373" s="874"/>
      <c r="AK373" s="837"/>
      <c r="AL373" s="837"/>
      <c r="AM373" s="837"/>
      <c r="AN373" s="837"/>
      <c r="AO373" s="837"/>
      <c r="AP373" s="837"/>
      <c r="AQ373" s="837"/>
      <c r="AR373" s="837"/>
      <c r="AS373" s="874"/>
      <c r="AT373" s="837"/>
      <c r="AU373" s="836"/>
      <c r="AV373" s="836"/>
      <c r="AW373" s="836"/>
      <c r="AX373" s="836"/>
      <c r="AY373" s="836"/>
    </row>
    <row r="374" spans="4:51" s="526" customFormat="1" x14ac:dyDescent="0.2">
      <c r="D374" s="708"/>
      <c r="E374" s="708"/>
      <c r="F374" s="708"/>
      <c r="G374" s="527"/>
      <c r="H374" s="709"/>
      <c r="I374" s="710"/>
      <c r="J374" s="710"/>
      <c r="K374" s="711"/>
      <c r="L374" s="711"/>
      <c r="M374" s="710"/>
      <c r="N374" s="711"/>
      <c r="O374" s="710"/>
      <c r="P374" s="527"/>
      <c r="Q374" s="527"/>
      <c r="R374" s="711"/>
      <c r="U374" s="712"/>
      <c r="V374" s="712"/>
      <c r="W374" s="712"/>
      <c r="X374" s="604"/>
      <c r="Y374" s="604"/>
      <c r="Z374" s="873"/>
      <c r="AA374" s="866"/>
      <c r="AB374" s="864"/>
      <c r="AC374" s="837"/>
      <c r="AD374" s="837"/>
      <c r="AE374" s="837"/>
      <c r="AF374" s="837"/>
      <c r="AG374" s="837"/>
      <c r="AH374" s="837"/>
      <c r="AI374" s="837"/>
      <c r="AJ374" s="874"/>
      <c r="AK374" s="837"/>
      <c r="AL374" s="837"/>
      <c r="AM374" s="837"/>
      <c r="AN374" s="837"/>
      <c r="AO374" s="837"/>
      <c r="AP374" s="837"/>
      <c r="AQ374" s="837"/>
      <c r="AR374" s="837"/>
      <c r="AS374" s="874"/>
      <c r="AT374" s="837"/>
      <c r="AU374" s="836"/>
      <c r="AV374" s="836"/>
      <c r="AW374" s="836"/>
      <c r="AX374" s="836"/>
      <c r="AY374" s="836"/>
    </row>
    <row r="375" spans="4:51" s="526" customFormat="1" x14ac:dyDescent="0.2">
      <c r="D375" s="708"/>
      <c r="E375" s="708"/>
      <c r="F375" s="708"/>
      <c r="G375" s="527"/>
      <c r="H375" s="709"/>
      <c r="I375" s="710"/>
      <c r="J375" s="710"/>
      <c r="K375" s="711"/>
      <c r="L375" s="711"/>
      <c r="M375" s="710"/>
      <c r="N375" s="711"/>
      <c r="O375" s="710"/>
      <c r="P375" s="527"/>
      <c r="Q375" s="527"/>
      <c r="R375" s="711"/>
      <c r="U375" s="712"/>
      <c r="V375" s="712"/>
      <c r="W375" s="712"/>
      <c r="X375" s="604"/>
      <c r="Y375" s="604"/>
      <c r="Z375" s="873"/>
      <c r="AA375" s="866"/>
      <c r="AB375" s="864"/>
      <c r="AC375" s="837"/>
      <c r="AD375" s="837"/>
      <c r="AE375" s="837"/>
      <c r="AF375" s="837"/>
      <c r="AG375" s="837"/>
      <c r="AH375" s="837"/>
      <c r="AI375" s="837"/>
      <c r="AJ375" s="874"/>
      <c r="AK375" s="837"/>
      <c r="AL375" s="837"/>
      <c r="AM375" s="837"/>
      <c r="AN375" s="837"/>
      <c r="AO375" s="837"/>
      <c r="AP375" s="837"/>
      <c r="AQ375" s="837"/>
      <c r="AR375" s="837"/>
      <c r="AS375" s="874"/>
      <c r="AT375" s="837"/>
      <c r="AU375" s="836"/>
      <c r="AV375" s="836"/>
      <c r="AW375" s="836"/>
      <c r="AX375" s="836"/>
      <c r="AY375" s="836"/>
    </row>
    <row r="376" spans="4:51" s="526" customFormat="1" x14ac:dyDescent="0.2">
      <c r="D376" s="708"/>
      <c r="E376" s="708"/>
      <c r="F376" s="708"/>
      <c r="G376" s="527"/>
      <c r="H376" s="709"/>
      <c r="I376" s="710"/>
      <c r="J376" s="710"/>
      <c r="K376" s="711"/>
      <c r="L376" s="711"/>
      <c r="M376" s="710"/>
      <c r="N376" s="711"/>
      <c r="O376" s="710"/>
      <c r="P376" s="527"/>
      <c r="Q376" s="527"/>
      <c r="R376" s="711"/>
      <c r="U376" s="712"/>
      <c r="V376" s="712"/>
      <c r="W376" s="712"/>
      <c r="X376" s="604"/>
      <c r="Y376" s="604"/>
      <c r="Z376" s="873"/>
      <c r="AA376" s="866"/>
      <c r="AB376" s="864"/>
      <c r="AC376" s="837"/>
      <c r="AD376" s="837"/>
      <c r="AE376" s="837"/>
      <c r="AF376" s="837"/>
      <c r="AG376" s="837"/>
      <c r="AH376" s="837"/>
      <c r="AI376" s="837"/>
      <c r="AJ376" s="874"/>
      <c r="AK376" s="837"/>
      <c r="AL376" s="837"/>
      <c r="AM376" s="837"/>
      <c r="AN376" s="837"/>
      <c r="AO376" s="837"/>
      <c r="AP376" s="837"/>
      <c r="AQ376" s="837"/>
      <c r="AR376" s="837"/>
      <c r="AS376" s="874"/>
      <c r="AT376" s="837"/>
      <c r="AU376" s="836"/>
      <c r="AV376" s="836"/>
      <c r="AW376" s="836"/>
      <c r="AX376" s="836"/>
      <c r="AY376" s="836"/>
    </row>
    <row r="377" spans="4:51" s="526" customFormat="1" x14ac:dyDescent="0.2">
      <c r="D377" s="708"/>
      <c r="E377" s="708"/>
      <c r="F377" s="708"/>
      <c r="G377" s="527"/>
      <c r="H377" s="709"/>
      <c r="I377" s="710"/>
      <c r="J377" s="710"/>
      <c r="K377" s="711"/>
      <c r="L377" s="711"/>
      <c r="M377" s="710"/>
      <c r="N377" s="711"/>
      <c r="O377" s="710"/>
      <c r="P377" s="527"/>
      <c r="Q377" s="527"/>
      <c r="R377" s="711"/>
      <c r="U377" s="712"/>
      <c r="V377" s="712"/>
      <c r="W377" s="712"/>
      <c r="X377" s="604"/>
      <c r="Y377" s="604"/>
      <c r="Z377" s="873"/>
      <c r="AA377" s="866"/>
      <c r="AB377" s="864"/>
      <c r="AC377" s="837"/>
      <c r="AD377" s="837"/>
      <c r="AE377" s="837"/>
      <c r="AF377" s="837"/>
      <c r="AG377" s="837"/>
      <c r="AH377" s="837"/>
      <c r="AI377" s="837"/>
      <c r="AJ377" s="874"/>
      <c r="AK377" s="837"/>
      <c r="AL377" s="837"/>
      <c r="AM377" s="837"/>
      <c r="AN377" s="837"/>
      <c r="AO377" s="837"/>
      <c r="AP377" s="837"/>
      <c r="AQ377" s="837"/>
      <c r="AR377" s="837"/>
      <c r="AS377" s="874"/>
      <c r="AT377" s="837"/>
      <c r="AU377" s="836"/>
      <c r="AV377" s="836"/>
      <c r="AW377" s="836"/>
      <c r="AX377" s="836"/>
      <c r="AY377" s="836"/>
    </row>
    <row r="378" spans="4:51" s="526" customFormat="1" x14ac:dyDescent="0.2">
      <c r="D378" s="708"/>
      <c r="E378" s="708"/>
      <c r="F378" s="708"/>
      <c r="G378" s="527"/>
      <c r="H378" s="709"/>
      <c r="I378" s="710"/>
      <c r="J378" s="710"/>
      <c r="K378" s="711"/>
      <c r="L378" s="711"/>
      <c r="M378" s="710"/>
      <c r="N378" s="711"/>
      <c r="O378" s="710"/>
      <c r="P378" s="527"/>
      <c r="Q378" s="527"/>
      <c r="R378" s="711"/>
      <c r="U378" s="712"/>
      <c r="V378" s="712"/>
      <c r="W378" s="712"/>
      <c r="X378" s="604"/>
      <c r="Y378" s="604"/>
      <c r="Z378" s="873"/>
      <c r="AA378" s="866"/>
      <c r="AB378" s="864"/>
      <c r="AC378" s="837"/>
      <c r="AD378" s="837"/>
      <c r="AE378" s="837"/>
      <c r="AF378" s="837"/>
      <c r="AG378" s="837"/>
      <c r="AH378" s="837"/>
      <c r="AI378" s="837"/>
      <c r="AJ378" s="874"/>
      <c r="AK378" s="837"/>
      <c r="AL378" s="837"/>
      <c r="AM378" s="837"/>
      <c r="AN378" s="837"/>
      <c r="AO378" s="837"/>
      <c r="AP378" s="837"/>
      <c r="AQ378" s="837"/>
      <c r="AR378" s="837"/>
      <c r="AS378" s="874"/>
      <c r="AT378" s="837"/>
      <c r="AU378" s="836"/>
      <c r="AV378" s="836"/>
      <c r="AW378" s="836"/>
      <c r="AX378" s="836"/>
      <c r="AY378" s="836"/>
    </row>
    <row r="379" spans="4:51" s="526" customFormat="1" x14ac:dyDescent="0.2">
      <c r="D379" s="708"/>
      <c r="E379" s="708"/>
      <c r="F379" s="708"/>
      <c r="G379" s="527"/>
      <c r="H379" s="709"/>
      <c r="I379" s="710"/>
      <c r="J379" s="710"/>
      <c r="K379" s="711"/>
      <c r="L379" s="711"/>
      <c r="M379" s="710"/>
      <c r="N379" s="711"/>
      <c r="O379" s="710"/>
      <c r="P379" s="527"/>
      <c r="Q379" s="527"/>
      <c r="R379" s="711"/>
      <c r="U379" s="712"/>
      <c r="V379" s="712"/>
      <c r="W379" s="712"/>
      <c r="X379" s="604"/>
      <c r="Y379" s="604"/>
      <c r="Z379" s="873"/>
      <c r="AA379" s="866"/>
      <c r="AB379" s="864"/>
      <c r="AC379" s="837"/>
      <c r="AD379" s="837"/>
      <c r="AE379" s="837"/>
      <c r="AF379" s="837"/>
      <c r="AG379" s="837"/>
      <c r="AH379" s="837"/>
      <c r="AI379" s="837"/>
      <c r="AJ379" s="874"/>
      <c r="AK379" s="837"/>
      <c r="AL379" s="837"/>
      <c r="AM379" s="837"/>
      <c r="AN379" s="837"/>
      <c r="AO379" s="837"/>
      <c r="AP379" s="837"/>
      <c r="AQ379" s="837"/>
      <c r="AR379" s="837"/>
      <c r="AS379" s="874"/>
      <c r="AT379" s="837"/>
      <c r="AU379" s="836"/>
      <c r="AV379" s="836"/>
      <c r="AW379" s="836"/>
      <c r="AX379" s="836"/>
      <c r="AY379" s="836"/>
    </row>
    <row r="380" spans="4:51" s="526" customFormat="1" x14ac:dyDescent="0.2">
      <c r="D380" s="708"/>
      <c r="E380" s="708"/>
      <c r="F380" s="708"/>
      <c r="G380" s="527"/>
      <c r="H380" s="709"/>
      <c r="I380" s="710"/>
      <c r="J380" s="710"/>
      <c r="K380" s="711"/>
      <c r="L380" s="711"/>
      <c r="M380" s="710"/>
      <c r="N380" s="711"/>
      <c r="O380" s="710"/>
      <c r="P380" s="527"/>
      <c r="Q380" s="527"/>
      <c r="R380" s="711"/>
      <c r="U380" s="712"/>
      <c r="V380" s="712"/>
      <c r="W380" s="712"/>
      <c r="X380" s="604"/>
      <c r="Y380" s="604"/>
      <c r="Z380" s="873"/>
      <c r="AA380" s="866"/>
      <c r="AB380" s="864"/>
      <c r="AC380" s="837"/>
      <c r="AD380" s="837"/>
      <c r="AE380" s="837"/>
      <c r="AF380" s="837"/>
      <c r="AG380" s="837"/>
      <c r="AH380" s="837"/>
      <c r="AI380" s="837"/>
      <c r="AJ380" s="874"/>
      <c r="AK380" s="837"/>
      <c r="AL380" s="837"/>
      <c r="AM380" s="837"/>
      <c r="AN380" s="837"/>
      <c r="AO380" s="837"/>
      <c r="AP380" s="837"/>
      <c r="AQ380" s="837"/>
      <c r="AR380" s="837"/>
      <c r="AS380" s="874"/>
      <c r="AT380" s="837"/>
      <c r="AU380" s="836"/>
      <c r="AV380" s="836"/>
      <c r="AW380" s="836"/>
      <c r="AX380" s="836"/>
      <c r="AY380" s="836"/>
    </row>
    <row r="381" spans="4:51" s="526" customFormat="1" x14ac:dyDescent="0.2">
      <c r="D381" s="708"/>
      <c r="E381" s="708"/>
      <c r="F381" s="708"/>
      <c r="G381" s="527"/>
      <c r="H381" s="709"/>
      <c r="I381" s="710"/>
      <c r="J381" s="710"/>
      <c r="K381" s="711"/>
      <c r="L381" s="711"/>
      <c r="M381" s="710"/>
      <c r="N381" s="711"/>
      <c r="O381" s="710"/>
      <c r="P381" s="527"/>
      <c r="Q381" s="527"/>
      <c r="R381" s="711"/>
      <c r="U381" s="712"/>
      <c r="V381" s="712"/>
      <c r="W381" s="712"/>
      <c r="X381" s="604"/>
      <c r="Y381" s="604"/>
      <c r="Z381" s="873"/>
      <c r="AA381" s="866"/>
      <c r="AB381" s="864"/>
      <c r="AC381" s="837"/>
      <c r="AD381" s="837"/>
      <c r="AE381" s="837"/>
      <c r="AF381" s="837"/>
      <c r="AG381" s="837"/>
      <c r="AH381" s="837"/>
      <c r="AI381" s="837"/>
      <c r="AJ381" s="874"/>
      <c r="AK381" s="837"/>
      <c r="AL381" s="837"/>
      <c r="AM381" s="837"/>
      <c r="AN381" s="837"/>
      <c r="AO381" s="837"/>
      <c r="AP381" s="837"/>
      <c r="AQ381" s="837"/>
      <c r="AR381" s="837"/>
      <c r="AS381" s="874"/>
      <c r="AT381" s="837"/>
      <c r="AU381" s="836"/>
      <c r="AV381" s="836"/>
      <c r="AW381" s="836"/>
      <c r="AX381" s="836"/>
      <c r="AY381" s="836"/>
    </row>
    <row r="382" spans="4:51" s="526" customFormat="1" x14ac:dyDescent="0.2">
      <c r="D382" s="708"/>
      <c r="E382" s="708"/>
      <c r="F382" s="708"/>
      <c r="G382" s="527"/>
      <c r="H382" s="709"/>
      <c r="I382" s="710"/>
      <c r="J382" s="710"/>
      <c r="K382" s="711"/>
      <c r="L382" s="711"/>
      <c r="M382" s="710"/>
      <c r="N382" s="711"/>
      <c r="O382" s="710"/>
      <c r="P382" s="527"/>
      <c r="Q382" s="527"/>
      <c r="R382" s="711"/>
      <c r="U382" s="712"/>
      <c r="V382" s="712"/>
      <c r="W382" s="712"/>
      <c r="X382" s="604"/>
      <c r="Y382" s="604"/>
      <c r="Z382" s="873"/>
      <c r="AA382" s="866"/>
      <c r="AB382" s="864"/>
      <c r="AC382" s="837"/>
      <c r="AD382" s="837"/>
      <c r="AE382" s="837"/>
      <c r="AF382" s="837"/>
      <c r="AG382" s="837"/>
      <c r="AH382" s="837"/>
      <c r="AI382" s="837"/>
      <c r="AJ382" s="874"/>
      <c r="AK382" s="837"/>
      <c r="AL382" s="837"/>
      <c r="AM382" s="837"/>
      <c r="AN382" s="837"/>
      <c r="AO382" s="837"/>
      <c r="AP382" s="837"/>
      <c r="AQ382" s="837"/>
      <c r="AR382" s="837"/>
      <c r="AS382" s="874"/>
      <c r="AT382" s="837"/>
      <c r="AU382" s="836"/>
      <c r="AV382" s="836"/>
      <c r="AW382" s="836"/>
      <c r="AX382" s="836"/>
      <c r="AY382" s="836"/>
    </row>
    <row r="383" spans="4:51" s="526" customFormat="1" x14ac:dyDescent="0.2">
      <c r="D383" s="708"/>
      <c r="E383" s="708"/>
      <c r="F383" s="708"/>
      <c r="G383" s="527"/>
      <c r="H383" s="709"/>
      <c r="I383" s="710"/>
      <c r="J383" s="710"/>
      <c r="K383" s="711"/>
      <c r="L383" s="711"/>
      <c r="M383" s="710"/>
      <c r="N383" s="711"/>
      <c r="O383" s="710"/>
      <c r="P383" s="527"/>
      <c r="Q383" s="527"/>
      <c r="R383" s="711"/>
      <c r="U383" s="712"/>
      <c r="V383" s="712"/>
      <c r="W383" s="712"/>
      <c r="X383" s="604"/>
      <c r="Y383" s="604"/>
      <c r="Z383" s="873"/>
      <c r="AA383" s="866"/>
      <c r="AB383" s="864"/>
      <c r="AC383" s="837"/>
      <c r="AD383" s="837"/>
      <c r="AE383" s="837"/>
      <c r="AF383" s="837"/>
      <c r="AG383" s="837"/>
      <c r="AH383" s="837"/>
      <c r="AI383" s="837"/>
      <c r="AJ383" s="874"/>
      <c r="AK383" s="837"/>
      <c r="AL383" s="837"/>
      <c r="AM383" s="837"/>
      <c r="AN383" s="837"/>
      <c r="AO383" s="837"/>
      <c r="AP383" s="837"/>
      <c r="AQ383" s="837"/>
      <c r="AR383" s="837"/>
      <c r="AS383" s="874"/>
      <c r="AT383" s="837"/>
      <c r="AU383" s="836"/>
      <c r="AV383" s="836"/>
      <c r="AW383" s="836"/>
      <c r="AX383" s="836"/>
      <c r="AY383" s="836"/>
    </row>
    <row r="384" spans="4:51" s="526" customFormat="1" x14ac:dyDescent="0.2">
      <c r="D384" s="708"/>
      <c r="E384" s="708"/>
      <c r="F384" s="708"/>
      <c r="G384" s="527"/>
      <c r="H384" s="709"/>
      <c r="I384" s="710"/>
      <c r="J384" s="710"/>
      <c r="K384" s="711"/>
      <c r="L384" s="711"/>
      <c r="M384" s="710"/>
      <c r="N384" s="711"/>
      <c r="O384" s="710"/>
      <c r="P384" s="527"/>
      <c r="Q384" s="527"/>
      <c r="R384" s="711"/>
      <c r="U384" s="712"/>
      <c r="V384" s="712"/>
      <c r="W384" s="712"/>
      <c r="X384" s="604"/>
      <c r="Y384" s="604"/>
      <c r="Z384" s="873"/>
      <c r="AA384" s="866"/>
      <c r="AB384" s="864"/>
      <c r="AC384" s="837"/>
      <c r="AD384" s="837"/>
      <c r="AE384" s="837"/>
      <c r="AF384" s="837"/>
      <c r="AG384" s="837"/>
      <c r="AH384" s="837"/>
      <c r="AI384" s="837"/>
      <c r="AJ384" s="874"/>
      <c r="AK384" s="837"/>
      <c r="AL384" s="837"/>
      <c r="AM384" s="837"/>
      <c r="AN384" s="837"/>
      <c r="AO384" s="837"/>
      <c r="AP384" s="837"/>
      <c r="AQ384" s="837"/>
      <c r="AR384" s="837"/>
      <c r="AS384" s="874"/>
      <c r="AT384" s="837"/>
      <c r="AU384" s="836"/>
      <c r="AV384" s="836"/>
      <c r="AW384" s="836"/>
      <c r="AX384" s="836"/>
      <c r="AY384" s="836"/>
    </row>
    <row r="385" spans="4:51" s="526" customFormat="1" x14ac:dyDescent="0.2">
      <c r="D385" s="708"/>
      <c r="E385" s="708"/>
      <c r="F385" s="708"/>
      <c r="G385" s="527"/>
      <c r="H385" s="709"/>
      <c r="I385" s="710"/>
      <c r="J385" s="710"/>
      <c r="K385" s="711"/>
      <c r="L385" s="711"/>
      <c r="M385" s="710"/>
      <c r="N385" s="711"/>
      <c r="O385" s="710"/>
      <c r="P385" s="527"/>
      <c r="Q385" s="527"/>
      <c r="R385" s="711"/>
      <c r="U385" s="712"/>
      <c r="V385" s="712"/>
      <c r="W385" s="712"/>
      <c r="X385" s="604"/>
      <c r="Y385" s="604"/>
      <c r="Z385" s="873"/>
      <c r="AA385" s="866"/>
      <c r="AB385" s="864"/>
      <c r="AC385" s="837"/>
      <c r="AD385" s="837"/>
      <c r="AE385" s="837"/>
      <c r="AF385" s="837"/>
      <c r="AG385" s="837"/>
      <c r="AH385" s="837"/>
      <c r="AI385" s="837"/>
      <c r="AJ385" s="874"/>
      <c r="AK385" s="837"/>
      <c r="AL385" s="837"/>
      <c r="AM385" s="837"/>
      <c r="AN385" s="837"/>
      <c r="AO385" s="837"/>
      <c r="AP385" s="837"/>
      <c r="AQ385" s="837"/>
      <c r="AR385" s="837"/>
      <c r="AS385" s="874"/>
      <c r="AT385" s="837"/>
      <c r="AU385" s="836"/>
      <c r="AV385" s="836"/>
      <c r="AW385" s="836"/>
      <c r="AX385" s="836"/>
      <c r="AY385" s="836"/>
    </row>
    <row r="386" spans="4:51" s="526" customFormat="1" x14ac:dyDescent="0.2">
      <c r="D386" s="708"/>
      <c r="E386" s="708"/>
      <c r="F386" s="708"/>
      <c r="G386" s="527"/>
      <c r="H386" s="709"/>
      <c r="I386" s="710"/>
      <c r="J386" s="710"/>
      <c r="K386" s="711"/>
      <c r="L386" s="711"/>
      <c r="M386" s="710"/>
      <c r="N386" s="711"/>
      <c r="O386" s="710"/>
      <c r="P386" s="527"/>
      <c r="Q386" s="527"/>
      <c r="R386" s="711"/>
      <c r="U386" s="712"/>
      <c r="V386" s="712"/>
      <c r="W386" s="712"/>
      <c r="X386" s="604"/>
      <c r="Y386" s="604"/>
      <c r="Z386" s="873"/>
      <c r="AA386" s="866"/>
      <c r="AB386" s="864"/>
      <c r="AC386" s="837"/>
      <c r="AD386" s="837"/>
      <c r="AE386" s="837"/>
      <c r="AF386" s="837"/>
      <c r="AG386" s="837"/>
      <c r="AH386" s="837"/>
      <c r="AI386" s="837"/>
      <c r="AJ386" s="874"/>
      <c r="AK386" s="837"/>
      <c r="AL386" s="837"/>
      <c r="AM386" s="837"/>
      <c r="AN386" s="837"/>
      <c r="AO386" s="837"/>
      <c r="AP386" s="837"/>
      <c r="AQ386" s="837"/>
      <c r="AR386" s="837"/>
      <c r="AS386" s="874"/>
      <c r="AT386" s="837"/>
      <c r="AU386" s="836"/>
      <c r="AV386" s="836"/>
      <c r="AW386" s="836"/>
      <c r="AX386" s="836"/>
      <c r="AY386" s="836"/>
    </row>
    <row r="387" spans="4:51" s="526" customFormat="1" x14ac:dyDescent="0.2">
      <c r="D387" s="708"/>
      <c r="E387" s="708"/>
      <c r="F387" s="708"/>
      <c r="G387" s="527"/>
      <c r="H387" s="709"/>
      <c r="I387" s="710"/>
      <c r="J387" s="710"/>
      <c r="K387" s="711"/>
      <c r="L387" s="711"/>
      <c r="M387" s="710"/>
      <c r="N387" s="711"/>
      <c r="O387" s="710"/>
      <c r="P387" s="527"/>
      <c r="Q387" s="527"/>
      <c r="R387" s="711"/>
      <c r="U387" s="712"/>
      <c r="V387" s="712"/>
      <c r="W387" s="712"/>
      <c r="X387" s="604"/>
      <c r="Y387" s="604"/>
      <c r="Z387" s="873"/>
      <c r="AA387" s="866"/>
      <c r="AB387" s="864"/>
      <c r="AC387" s="837"/>
      <c r="AD387" s="837"/>
      <c r="AE387" s="837"/>
      <c r="AF387" s="837"/>
      <c r="AG387" s="837"/>
      <c r="AH387" s="837"/>
      <c r="AI387" s="837"/>
      <c r="AJ387" s="874"/>
      <c r="AK387" s="837"/>
      <c r="AL387" s="837"/>
      <c r="AM387" s="837"/>
      <c r="AN387" s="837"/>
      <c r="AO387" s="837"/>
      <c r="AP387" s="837"/>
      <c r="AQ387" s="837"/>
      <c r="AR387" s="837"/>
      <c r="AS387" s="874"/>
      <c r="AT387" s="837"/>
      <c r="AU387" s="836"/>
      <c r="AV387" s="836"/>
      <c r="AW387" s="836"/>
      <c r="AX387" s="836"/>
      <c r="AY387" s="836"/>
    </row>
    <row r="388" spans="4:51" s="526" customFormat="1" x14ac:dyDescent="0.2">
      <c r="D388" s="708"/>
      <c r="E388" s="708"/>
      <c r="F388" s="708"/>
      <c r="G388" s="527"/>
      <c r="H388" s="709"/>
      <c r="I388" s="710"/>
      <c r="J388" s="710"/>
      <c r="K388" s="711"/>
      <c r="L388" s="711"/>
      <c r="M388" s="710"/>
      <c r="N388" s="711"/>
      <c r="O388" s="710"/>
      <c r="P388" s="527"/>
      <c r="Q388" s="527"/>
      <c r="R388" s="711"/>
      <c r="U388" s="712"/>
      <c r="V388" s="712"/>
      <c r="W388" s="712"/>
      <c r="X388" s="604"/>
      <c r="Y388" s="604"/>
      <c r="Z388" s="873"/>
      <c r="AA388" s="866"/>
      <c r="AB388" s="864"/>
      <c r="AC388" s="837"/>
      <c r="AD388" s="837"/>
      <c r="AE388" s="837"/>
      <c r="AF388" s="837"/>
      <c r="AG388" s="837"/>
      <c r="AH388" s="837"/>
      <c r="AI388" s="837"/>
      <c r="AJ388" s="874"/>
      <c r="AK388" s="837"/>
      <c r="AL388" s="837"/>
      <c r="AM388" s="837"/>
      <c r="AN388" s="837"/>
      <c r="AO388" s="837"/>
      <c r="AP388" s="837"/>
      <c r="AQ388" s="837"/>
      <c r="AR388" s="837"/>
      <c r="AS388" s="874"/>
      <c r="AT388" s="837"/>
      <c r="AU388" s="836"/>
      <c r="AV388" s="836"/>
      <c r="AW388" s="836"/>
      <c r="AX388" s="836"/>
      <c r="AY388" s="836"/>
    </row>
    <row r="389" spans="4:51" s="526" customFormat="1" x14ac:dyDescent="0.2">
      <c r="D389" s="708"/>
      <c r="E389" s="708"/>
      <c r="F389" s="708"/>
      <c r="G389" s="527"/>
      <c r="H389" s="709"/>
      <c r="I389" s="710"/>
      <c r="J389" s="710"/>
      <c r="K389" s="711"/>
      <c r="L389" s="711"/>
      <c r="M389" s="710"/>
      <c r="N389" s="711"/>
      <c r="O389" s="710"/>
      <c r="P389" s="527"/>
      <c r="Q389" s="527"/>
      <c r="R389" s="711"/>
      <c r="U389" s="712"/>
      <c r="V389" s="712"/>
      <c r="W389" s="712"/>
      <c r="X389" s="604"/>
      <c r="Y389" s="604"/>
      <c r="Z389" s="873"/>
      <c r="AA389" s="866"/>
      <c r="AB389" s="864"/>
      <c r="AC389" s="837"/>
      <c r="AD389" s="837"/>
      <c r="AE389" s="837"/>
      <c r="AF389" s="837"/>
      <c r="AG389" s="837"/>
      <c r="AH389" s="837"/>
      <c r="AI389" s="837"/>
      <c r="AJ389" s="874"/>
      <c r="AK389" s="837"/>
      <c r="AL389" s="837"/>
      <c r="AM389" s="837"/>
      <c r="AN389" s="837"/>
      <c r="AO389" s="837"/>
      <c r="AP389" s="837"/>
      <c r="AQ389" s="837"/>
      <c r="AR389" s="837"/>
      <c r="AS389" s="874"/>
      <c r="AT389" s="837"/>
      <c r="AU389" s="836"/>
      <c r="AV389" s="836"/>
      <c r="AW389" s="836"/>
      <c r="AX389" s="836"/>
      <c r="AY389" s="836"/>
    </row>
    <row r="390" spans="4:51" s="526" customFormat="1" x14ac:dyDescent="0.2">
      <c r="D390" s="708"/>
      <c r="E390" s="708"/>
      <c r="F390" s="708"/>
      <c r="G390" s="527"/>
      <c r="H390" s="709"/>
      <c r="I390" s="710"/>
      <c r="J390" s="710"/>
      <c r="K390" s="711"/>
      <c r="L390" s="711"/>
      <c r="M390" s="710"/>
      <c r="N390" s="711"/>
      <c r="O390" s="710"/>
      <c r="P390" s="527"/>
      <c r="Q390" s="527"/>
      <c r="R390" s="711"/>
      <c r="U390" s="712"/>
      <c r="V390" s="712"/>
      <c r="W390" s="712"/>
      <c r="X390" s="604"/>
      <c r="Y390" s="604"/>
      <c r="Z390" s="873"/>
      <c r="AA390" s="866"/>
      <c r="AB390" s="864"/>
      <c r="AC390" s="837"/>
      <c r="AD390" s="837"/>
      <c r="AE390" s="837"/>
      <c r="AF390" s="837"/>
      <c r="AG390" s="837"/>
      <c r="AH390" s="837"/>
      <c r="AI390" s="837"/>
      <c r="AJ390" s="874"/>
      <c r="AK390" s="837"/>
      <c r="AL390" s="837"/>
      <c r="AM390" s="837"/>
      <c r="AN390" s="837"/>
      <c r="AO390" s="837"/>
      <c r="AP390" s="837"/>
      <c r="AQ390" s="837"/>
      <c r="AR390" s="837"/>
      <c r="AS390" s="874"/>
      <c r="AT390" s="837"/>
      <c r="AU390" s="836"/>
      <c r="AV390" s="836"/>
      <c r="AW390" s="836"/>
      <c r="AX390" s="836"/>
      <c r="AY390" s="836"/>
    </row>
    <row r="391" spans="4:51" s="526" customFormat="1" x14ac:dyDescent="0.2">
      <c r="D391" s="708"/>
      <c r="E391" s="708"/>
      <c r="F391" s="708"/>
      <c r="G391" s="527"/>
      <c r="H391" s="709"/>
      <c r="I391" s="710"/>
      <c r="J391" s="710"/>
      <c r="K391" s="711"/>
      <c r="L391" s="711"/>
      <c r="M391" s="710"/>
      <c r="N391" s="711"/>
      <c r="O391" s="710"/>
      <c r="P391" s="527"/>
      <c r="Q391" s="527"/>
      <c r="R391" s="711"/>
      <c r="U391" s="712"/>
      <c r="V391" s="712"/>
      <c r="W391" s="712"/>
      <c r="X391" s="604"/>
      <c r="Y391" s="604"/>
      <c r="Z391" s="873"/>
      <c r="AA391" s="866"/>
      <c r="AB391" s="864"/>
      <c r="AC391" s="837"/>
      <c r="AD391" s="837"/>
      <c r="AE391" s="837"/>
      <c r="AF391" s="837"/>
      <c r="AG391" s="837"/>
      <c r="AH391" s="837"/>
      <c r="AI391" s="837"/>
      <c r="AJ391" s="874"/>
      <c r="AK391" s="837"/>
      <c r="AL391" s="837"/>
      <c r="AM391" s="837"/>
      <c r="AN391" s="837"/>
      <c r="AO391" s="837"/>
      <c r="AP391" s="837"/>
      <c r="AQ391" s="837"/>
      <c r="AR391" s="837"/>
      <c r="AS391" s="874"/>
      <c r="AT391" s="837"/>
      <c r="AU391" s="836"/>
      <c r="AV391" s="836"/>
      <c r="AW391" s="836"/>
      <c r="AX391" s="836"/>
      <c r="AY391" s="836"/>
    </row>
    <row r="392" spans="4:51" s="526" customFormat="1" x14ac:dyDescent="0.2">
      <c r="D392" s="708"/>
      <c r="E392" s="708"/>
      <c r="F392" s="708"/>
      <c r="G392" s="527"/>
      <c r="H392" s="709"/>
      <c r="I392" s="710"/>
      <c r="J392" s="710"/>
      <c r="K392" s="711"/>
      <c r="L392" s="711"/>
      <c r="M392" s="710"/>
      <c r="N392" s="711"/>
      <c r="O392" s="710"/>
      <c r="P392" s="527"/>
      <c r="Q392" s="527"/>
      <c r="R392" s="711"/>
      <c r="U392" s="712"/>
      <c r="V392" s="712"/>
      <c r="W392" s="712"/>
      <c r="X392" s="604"/>
      <c r="Y392" s="604"/>
      <c r="Z392" s="873"/>
      <c r="AA392" s="866"/>
      <c r="AB392" s="864"/>
      <c r="AC392" s="837"/>
      <c r="AD392" s="837"/>
      <c r="AE392" s="837"/>
      <c r="AF392" s="837"/>
      <c r="AG392" s="837"/>
      <c r="AH392" s="837"/>
      <c r="AI392" s="837"/>
      <c r="AJ392" s="874"/>
      <c r="AK392" s="837"/>
      <c r="AL392" s="837"/>
      <c r="AM392" s="837"/>
      <c r="AN392" s="837"/>
      <c r="AO392" s="837"/>
      <c r="AP392" s="837"/>
      <c r="AQ392" s="837"/>
      <c r="AR392" s="837"/>
      <c r="AS392" s="874"/>
      <c r="AT392" s="837"/>
      <c r="AU392" s="836"/>
      <c r="AV392" s="836"/>
      <c r="AW392" s="836"/>
      <c r="AX392" s="836"/>
      <c r="AY392" s="836"/>
    </row>
    <row r="393" spans="4:51" s="526" customFormat="1" x14ac:dyDescent="0.2">
      <c r="D393" s="708"/>
      <c r="E393" s="708"/>
      <c r="F393" s="708"/>
      <c r="G393" s="527"/>
      <c r="H393" s="709"/>
      <c r="I393" s="710"/>
      <c r="J393" s="710"/>
      <c r="K393" s="711"/>
      <c r="L393" s="711"/>
      <c r="M393" s="710"/>
      <c r="N393" s="711"/>
      <c r="O393" s="710"/>
      <c r="P393" s="527"/>
      <c r="Q393" s="527"/>
      <c r="R393" s="711"/>
      <c r="U393" s="712"/>
      <c r="V393" s="712"/>
      <c r="W393" s="712"/>
      <c r="X393" s="604"/>
      <c r="Y393" s="604"/>
      <c r="Z393" s="873"/>
      <c r="AA393" s="866"/>
      <c r="AB393" s="864"/>
      <c r="AC393" s="837"/>
      <c r="AD393" s="837"/>
      <c r="AE393" s="837"/>
      <c r="AF393" s="837"/>
      <c r="AG393" s="837"/>
      <c r="AH393" s="837"/>
      <c r="AI393" s="837"/>
      <c r="AJ393" s="874"/>
      <c r="AK393" s="837"/>
      <c r="AL393" s="837"/>
      <c r="AM393" s="837"/>
      <c r="AN393" s="837"/>
      <c r="AO393" s="837"/>
      <c r="AP393" s="837"/>
      <c r="AQ393" s="837"/>
      <c r="AR393" s="837"/>
      <c r="AS393" s="874"/>
      <c r="AT393" s="837"/>
      <c r="AU393" s="836"/>
      <c r="AV393" s="836"/>
      <c r="AW393" s="836"/>
      <c r="AX393" s="836"/>
      <c r="AY393" s="836"/>
    </row>
    <row r="394" spans="4:51" s="526" customFormat="1" x14ac:dyDescent="0.2">
      <c r="D394" s="708"/>
      <c r="E394" s="708"/>
      <c r="F394" s="708"/>
      <c r="G394" s="527"/>
      <c r="H394" s="709"/>
      <c r="I394" s="710"/>
      <c r="J394" s="710"/>
      <c r="K394" s="711"/>
      <c r="L394" s="711"/>
      <c r="M394" s="710"/>
      <c r="N394" s="711"/>
      <c r="O394" s="710"/>
      <c r="P394" s="527"/>
      <c r="Q394" s="527"/>
      <c r="R394" s="711"/>
      <c r="U394" s="712"/>
      <c r="V394" s="712"/>
      <c r="W394" s="712"/>
      <c r="X394" s="604"/>
      <c r="Y394" s="604"/>
      <c r="Z394" s="873"/>
      <c r="AA394" s="866"/>
      <c r="AB394" s="864"/>
      <c r="AC394" s="837"/>
      <c r="AD394" s="837"/>
      <c r="AE394" s="837"/>
      <c r="AF394" s="837"/>
      <c r="AG394" s="837"/>
      <c r="AH394" s="837"/>
      <c r="AI394" s="837"/>
      <c r="AJ394" s="874"/>
      <c r="AK394" s="837"/>
      <c r="AL394" s="837"/>
      <c r="AM394" s="837"/>
      <c r="AN394" s="837"/>
      <c r="AO394" s="837"/>
      <c r="AP394" s="837"/>
      <c r="AQ394" s="837"/>
      <c r="AR394" s="837"/>
      <c r="AS394" s="874"/>
      <c r="AT394" s="837"/>
      <c r="AU394" s="836"/>
      <c r="AV394" s="836"/>
      <c r="AW394" s="836"/>
      <c r="AX394" s="836"/>
      <c r="AY394" s="836"/>
    </row>
    <row r="395" spans="4:51" s="526" customFormat="1" x14ac:dyDescent="0.2">
      <c r="D395" s="708"/>
      <c r="E395" s="708"/>
      <c r="F395" s="708"/>
      <c r="G395" s="527"/>
      <c r="H395" s="709"/>
      <c r="I395" s="710"/>
      <c r="J395" s="710"/>
      <c r="K395" s="711"/>
      <c r="L395" s="711"/>
      <c r="M395" s="710"/>
      <c r="N395" s="711"/>
      <c r="O395" s="710"/>
      <c r="P395" s="527"/>
      <c r="Q395" s="527"/>
      <c r="R395" s="711"/>
      <c r="U395" s="712"/>
      <c r="V395" s="712"/>
      <c r="W395" s="712"/>
      <c r="X395" s="604"/>
      <c r="Y395" s="604"/>
      <c r="Z395" s="873"/>
      <c r="AA395" s="866"/>
      <c r="AB395" s="864"/>
      <c r="AC395" s="837"/>
      <c r="AD395" s="837"/>
      <c r="AE395" s="837"/>
      <c r="AF395" s="837"/>
      <c r="AG395" s="837"/>
      <c r="AH395" s="837"/>
      <c r="AI395" s="837"/>
      <c r="AJ395" s="874"/>
      <c r="AK395" s="837"/>
      <c r="AL395" s="837"/>
      <c r="AM395" s="837"/>
      <c r="AN395" s="837"/>
      <c r="AO395" s="837"/>
      <c r="AP395" s="837"/>
      <c r="AQ395" s="837"/>
      <c r="AR395" s="837"/>
      <c r="AS395" s="874"/>
      <c r="AT395" s="837"/>
      <c r="AU395" s="836"/>
      <c r="AV395" s="836"/>
      <c r="AW395" s="836"/>
      <c r="AX395" s="836"/>
      <c r="AY395" s="836"/>
    </row>
    <row r="396" spans="4:51" s="526" customFormat="1" x14ac:dyDescent="0.2">
      <c r="D396" s="708"/>
      <c r="E396" s="708"/>
      <c r="F396" s="708"/>
      <c r="G396" s="527"/>
      <c r="H396" s="709"/>
      <c r="I396" s="710"/>
      <c r="J396" s="710"/>
      <c r="K396" s="711"/>
      <c r="L396" s="711"/>
      <c r="M396" s="710"/>
      <c r="N396" s="711"/>
      <c r="O396" s="710"/>
      <c r="P396" s="527"/>
      <c r="Q396" s="527"/>
      <c r="R396" s="711"/>
      <c r="U396" s="712"/>
      <c r="V396" s="712"/>
      <c r="W396" s="712"/>
      <c r="X396" s="604"/>
      <c r="Y396" s="604"/>
      <c r="Z396" s="873"/>
      <c r="AA396" s="866"/>
      <c r="AB396" s="864"/>
      <c r="AC396" s="837"/>
      <c r="AD396" s="837"/>
      <c r="AE396" s="837"/>
      <c r="AF396" s="837"/>
      <c r="AG396" s="837"/>
      <c r="AH396" s="837"/>
      <c r="AI396" s="837"/>
      <c r="AJ396" s="874"/>
      <c r="AK396" s="837"/>
      <c r="AL396" s="837"/>
      <c r="AM396" s="837"/>
      <c r="AN396" s="837"/>
      <c r="AO396" s="837"/>
      <c r="AP396" s="837"/>
      <c r="AQ396" s="837"/>
      <c r="AR396" s="837"/>
      <c r="AS396" s="874"/>
      <c r="AT396" s="837"/>
      <c r="AU396" s="836"/>
      <c r="AV396" s="836"/>
      <c r="AW396" s="836"/>
      <c r="AX396" s="836"/>
      <c r="AY396" s="836"/>
    </row>
    <row r="397" spans="4:51" s="526" customFormat="1" x14ac:dyDescent="0.2">
      <c r="D397" s="708"/>
      <c r="E397" s="708"/>
      <c r="F397" s="708"/>
      <c r="G397" s="527"/>
      <c r="H397" s="709"/>
      <c r="I397" s="710"/>
      <c r="J397" s="710"/>
      <c r="K397" s="711"/>
      <c r="L397" s="711"/>
      <c r="M397" s="710"/>
      <c r="N397" s="711"/>
      <c r="O397" s="710"/>
      <c r="P397" s="527"/>
      <c r="Q397" s="527"/>
      <c r="R397" s="711"/>
      <c r="U397" s="712"/>
      <c r="V397" s="712"/>
      <c r="W397" s="712"/>
      <c r="X397" s="604"/>
      <c r="Y397" s="604"/>
      <c r="Z397" s="873"/>
      <c r="AA397" s="866"/>
      <c r="AB397" s="864"/>
      <c r="AC397" s="837"/>
      <c r="AD397" s="837"/>
      <c r="AE397" s="837"/>
      <c r="AF397" s="837"/>
      <c r="AG397" s="837"/>
      <c r="AH397" s="837"/>
      <c r="AI397" s="837"/>
      <c r="AJ397" s="874"/>
      <c r="AK397" s="837"/>
      <c r="AL397" s="837"/>
      <c r="AM397" s="837"/>
      <c r="AN397" s="837"/>
      <c r="AO397" s="837"/>
      <c r="AP397" s="837"/>
      <c r="AQ397" s="837"/>
      <c r="AR397" s="837"/>
      <c r="AS397" s="874"/>
      <c r="AT397" s="837"/>
      <c r="AU397" s="836"/>
      <c r="AV397" s="836"/>
      <c r="AW397" s="836"/>
      <c r="AX397" s="836"/>
      <c r="AY397" s="836"/>
    </row>
    <row r="398" spans="4:51" s="526" customFormat="1" x14ac:dyDescent="0.2">
      <c r="D398" s="708"/>
      <c r="E398" s="708"/>
      <c r="F398" s="708"/>
      <c r="G398" s="527"/>
      <c r="H398" s="709"/>
      <c r="I398" s="710"/>
      <c r="J398" s="710"/>
      <c r="K398" s="711"/>
      <c r="L398" s="711"/>
      <c r="M398" s="710"/>
      <c r="N398" s="711"/>
      <c r="O398" s="710"/>
      <c r="P398" s="527"/>
      <c r="Q398" s="527"/>
      <c r="R398" s="711"/>
      <c r="U398" s="712"/>
      <c r="V398" s="712"/>
      <c r="W398" s="712"/>
      <c r="X398" s="604"/>
      <c r="Y398" s="604"/>
      <c r="Z398" s="873"/>
      <c r="AA398" s="866"/>
      <c r="AB398" s="864"/>
      <c r="AC398" s="837"/>
      <c r="AD398" s="837"/>
      <c r="AE398" s="837"/>
      <c r="AF398" s="837"/>
      <c r="AG398" s="837"/>
      <c r="AH398" s="837"/>
      <c r="AI398" s="837"/>
      <c r="AJ398" s="874"/>
      <c r="AK398" s="837"/>
      <c r="AL398" s="837"/>
      <c r="AM398" s="837"/>
      <c r="AN398" s="837"/>
      <c r="AO398" s="837"/>
      <c r="AP398" s="837"/>
      <c r="AQ398" s="837"/>
      <c r="AR398" s="837"/>
      <c r="AS398" s="874"/>
      <c r="AT398" s="837"/>
      <c r="AU398" s="836"/>
      <c r="AV398" s="836"/>
      <c r="AW398" s="836"/>
      <c r="AX398" s="836"/>
      <c r="AY398" s="836"/>
    </row>
    <row r="399" spans="4:51" s="526" customFormat="1" x14ac:dyDescent="0.2">
      <c r="D399" s="708"/>
      <c r="E399" s="708"/>
      <c r="F399" s="708"/>
      <c r="G399" s="527"/>
      <c r="H399" s="709"/>
      <c r="I399" s="710"/>
      <c r="J399" s="710"/>
      <c r="K399" s="711"/>
      <c r="L399" s="711"/>
      <c r="M399" s="710"/>
      <c r="N399" s="711"/>
      <c r="O399" s="710"/>
      <c r="P399" s="527"/>
      <c r="Q399" s="527"/>
      <c r="R399" s="711"/>
      <c r="U399" s="712"/>
      <c r="V399" s="712"/>
      <c r="W399" s="712"/>
      <c r="X399" s="604"/>
      <c r="Y399" s="604"/>
      <c r="Z399" s="873"/>
      <c r="AA399" s="866"/>
      <c r="AB399" s="864"/>
      <c r="AC399" s="837"/>
      <c r="AD399" s="837"/>
      <c r="AE399" s="837"/>
      <c r="AF399" s="837"/>
      <c r="AG399" s="837"/>
      <c r="AH399" s="837"/>
      <c r="AI399" s="837"/>
      <c r="AJ399" s="874"/>
      <c r="AK399" s="837"/>
      <c r="AL399" s="837"/>
      <c r="AM399" s="837"/>
      <c r="AN399" s="837"/>
      <c r="AO399" s="837"/>
      <c r="AP399" s="837"/>
      <c r="AQ399" s="837"/>
      <c r="AR399" s="837"/>
      <c r="AS399" s="874"/>
      <c r="AT399" s="837"/>
      <c r="AU399" s="836"/>
      <c r="AV399" s="836"/>
      <c r="AW399" s="836"/>
      <c r="AX399" s="836"/>
      <c r="AY399" s="836"/>
    </row>
    <row r="400" spans="4:51" s="526" customFormat="1" x14ac:dyDescent="0.2">
      <c r="D400" s="708"/>
      <c r="E400" s="708"/>
      <c r="F400" s="708"/>
      <c r="G400" s="527"/>
      <c r="H400" s="709"/>
      <c r="I400" s="710"/>
      <c r="J400" s="710"/>
      <c r="K400" s="711"/>
      <c r="L400" s="711"/>
      <c r="M400" s="710"/>
      <c r="N400" s="711"/>
      <c r="O400" s="710"/>
      <c r="P400" s="527"/>
      <c r="Q400" s="527"/>
      <c r="R400" s="711"/>
      <c r="U400" s="712"/>
      <c r="V400" s="712"/>
      <c r="W400" s="712"/>
      <c r="X400" s="604"/>
      <c r="Y400" s="604"/>
      <c r="Z400" s="873"/>
      <c r="AA400" s="866"/>
      <c r="AB400" s="864"/>
      <c r="AC400" s="837"/>
      <c r="AD400" s="837"/>
      <c r="AE400" s="837"/>
      <c r="AF400" s="837"/>
      <c r="AG400" s="837"/>
      <c r="AH400" s="837"/>
      <c r="AI400" s="837"/>
      <c r="AJ400" s="874"/>
      <c r="AK400" s="837"/>
      <c r="AL400" s="837"/>
      <c r="AM400" s="837"/>
      <c r="AN400" s="837"/>
      <c r="AO400" s="837"/>
      <c r="AP400" s="837"/>
      <c r="AQ400" s="837"/>
      <c r="AR400" s="837"/>
      <c r="AS400" s="874"/>
      <c r="AT400" s="837"/>
      <c r="AU400" s="836"/>
      <c r="AV400" s="836"/>
      <c r="AW400" s="836"/>
      <c r="AX400" s="836"/>
      <c r="AY400" s="836"/>
    </row>
    <row r="401" spans="4:51" s="526" customFormat="1" x14ac:dyDescent="0.2">
      <c r="D401" s="708"/>
      <c r="E401" s="708"/>
      <c r="F401" s="708"/>
      <c r="G401" s="527"/>
      <c r="H401" s="709"/>
      <c r="I401" s="710"/>
      <c r="J401" s="710"/>
      <c r="K401" s="711"/>
      <c r="L401" s="711"/>
      <c r="M401" s="710"/>
      <c r="N401" s="711"/>
      <c r="O401" s="710"/>
      <c r="P401" s="527"/>
      <c r="Q401" s="527"/>
      <c r="R401" s="711"/>
      <c r="U401" s="712"/>
      <c r="V401" s="712"/>
      <c r="W401" s="712"/>
      <c r="X401" s="604"/>
      <c r="Y401" s="604"/>
      <c r="Z401" s="873"/>
      <c r="AA401" s="866"/>
      <c r="AB401" s="864"/>
      <c r="AC401" s="837"/>
      <c r="AD401" s="837"/>
      <c r="AE401" s="837"/>
      <c r="AF401" s="837"/>
      <c r="AG401" s="837"/>
      <c r="AH401" s="837"/>
      <c r="AI401" s="837"/>
      <c r="AJ401" s="874"/>
      <c r="AK401" s="837"/>
      <c r="AL401" s="837"/>
      <c r="AM401" s="837"/>
      <c r="AN401" s="837"/>
      <c r="AO401" s="837"/>
      <c r="AP401" s="837"/>
      <c r="AQ401" s="837"/>
      <c r="AR401" s="837"/>
      <c r="AS401" s="874"/>
      <c r="AT401" s="837"/>
      <c r="AU401" s="836"/>
      <c r="AV401" s="836"/>
      <c r="AW401" s="836"/>
      <c r="AX401" s="836"/>
      <c r="AY401" s="836"/>
    </row>
    <row r="402" spans="4:51" s="526" customFormat="1" x14ac:dyDescent="0.2">
      <c r="D402" s="708"/>
      <c r="E402" s="708"/>
      <c r="F402" s="708"/>
      <c r="G402" s="527"/>
      <c r="H402" s="709"/>
      <c r="I402" s="710"/>
      <c r="J402" s="710"/>
      <c r="K402" s="711"/>
      <c r="L402" s="711"/>
      <c r="M402" s="710"/>
      <c r="N402" s="711"/>
      <c r="O402" s="710"/>
      <c r="P402" s="527"/>
      <c r="Q402" s="527"/>
      <c r="R402" s="711"/>
      <c r="U402" s="712"/>
      <c r="V402" s="712"/>
      <c r="W402" s="712"/>
      <c r="X402" s="604"/>
      <c r="Y402" s="604"/>
      <c r="Z402" s="873"/>
      <c r="AA402" s="866"/>
      <c r="AB402" s="864"/>
      <c r="AC402" s="837"/>
      <c r="AD402" s="837"/>
      <c r="AE402" s="837"/>
      <c r="AF402" s="837"/>
      <c r="AG402" s="837"/>
      <c r="AH402" s="837"/>
      <c r="AI402" s="837"/>
      <c r="AJ402" s="874"/>
      <c r="AK402" s="837"/>
      <c r="AL402" s="837"/>
      <c r="AM402" s="837"/>
      <c r="AN402" s="837"/>
      <c r="AO402" s="837"/>
      <c r="AP402" s="837"/>
      <c r="AQ402" s="837"/>
      <c r="AR402" s="837"/>
      <c r="AS402" s="874"/>
      <c r="AT402" s="837"/>
      <c r="AU402" s="836"/>
      <c r="AV402" s="836"/>
      <c r="AW402" s="836"/>
      <c r="AX402" s="836"/>
      <c r="AY402" s="836"/>
    </row>
    <row r="403" spans="4:51" s="526" customFormat="1" x14ac:dyDescent="0.2">
      <c r="D403" s="708"/>
      <c r="E403" s="708"/>
      <c r="F403" s="708"/>
      <c r="G403" s="527"/>
      <c r="H403" s="709"/>
      <c r="I403" s="710"/>
      <c r="J403" s="710"/>
      <c r="K403" s="711"/>
      <c r="L403" s="711"/>
      <c r="M403" s="710"/>
      <c r="N403" s="711"/>
      <c r="O403" s="710"/>
      <c r="P403" s="527"/>
      <c r="Q403" s="527"/>
      <c r="R403" s="711"/>
      <c r="U403" s="712"/>
      <c r="V403" s="712"/>
      <c r="W403" s="712"/>
      <c r="X403" s="604"/>
      <c r="Y403" s="604"/>
      <c r="Z403" s="873"/>
      <c r="AA403" s="866"/>
      <c r="AB403" s="864"/>
      <c r="AC403" s="837"/>
      <c r="AD403" s="837"/>
      <c r="AE403" s="837"/>
      <c r="AF403" s="837"/>
      <c r="AG403" s="837"/>
      <c r="AH403" s="837"/>
      <c r="AI403" s="837"/>
      <c r="AJ403" s="874"/>
      <c r="AK403" s="837"/>
      <c r="AL403" s="837"/>
      <c r="AM403" s="837"/>
      <c r="AN403" s="837"/>
      <c r="AO403" s="837"/>
      <c r="AP403" s="837"/>
      <c r="AQ403" s="837"/>
      <c r="AR403" s="837"/>
      <c r="AS403" s="874"/>
      <c r="AT403" s="837"/>
      <c r="AU403" s="836"/>
      <c r="AV403" s="836"/>
      <c r="AW403" s="836"/>
      <c r="AX403" s="836"/>
      <c r="AY403" s="836"/>
    </row>
    <row r="404" spans="4:51" s="526" customFormat="1" x14ac:dyDescent="0.2">
      <c r="D404" s="708"/>
      <c r="E404" s="708"/>
      <c r="F404" s="708"/>
      <c r="G404" s="527"/>
      <c r="H404" s="709"/>
      <c r="I404" s="710"/>
      <c r="J404" s="710"/>
      <c r="K404" s="711"/>
      <c r="L404" s="711"/>
      <c r="M404" s="710"/>
      <c r="N404" s="711"/>
      <c r="O404" s="710"/>
      <c r="P404" s="527"/>
      <c r="Q404" s="527"/>
      <c r="R404" s="711"/>
      <c r="U404" s="712"/>
      <c r="V404" s="712"/>
      <c r="W404" s="712"/>
      <c r="X404" s="604"/>
      <c r="Y404" s="604"/>
      <c r="Z404" s="873"/>
      <c r="AA404" s="866"/>
      <c r="AB404" s="864"/>
      <c r="AC404" s="837"/>
      <c r="AD404" s="837"/>
      <c r="AE404" s="837"/>
      <c r="AF404" s="837"/>
      <c r="AG404" s="837"/>
      <c r="AH404" s="837"/>
      <c r="AI404" s="837"/>
      <c r="AJ404" s="874"/>
      <c r="AK404" s="837"/>
      <c r="AL404" s="837"/>
      <c r="AM404" s="837"/>
      <c r="AN404" s="837"/>
      <c r="AO404" s="837"/>
      <c r="AP404" s="837"/>
      <c r="AQ404" s="837"/>
      <c r="AR404" s="837"/>
      <c r="AS404" s="874"/>
      <c r="AT404" s="837"/>
      <c r="AU404" s="836"/>
      <c r="AV404" s="836"/>
      <c r="AW404" s="836"/>
      <c r="AX404" s="836"/>
      <c r="AY404" s="836"/>
    </row>
    <row r="405" spans="4:51" s="526" customFormat="1" x14ac:dyDescent="0.2">
      <c r="D405" s="708"/>
      <c r="E405" s="708"/>
      <c r="F405" s="708"/>
      <c r="G405" s="527"/>
      <c r="H405" s="709"/>
      <c r="I405" s="710"/>
      <c r="J405" s="710"/>
      <c r="K405" s="711"/>
      <c r="L405" s="711"/>
      <c r="M405" s="710"/>
      <c r="N405" s="711"/>
      <c r="O405" s="710"/>
      <c r="P405" s="527"/>
      <c r="Q405" s="527"/>
      <c r="R405" s="711"/>
      <c r="U405" s="712"/>
      <c r="V405" s="712"/>
      <c r="W405" s="712"/>
      <c r="X405" s="604"/>
      <c r="Y405" s="604"/>
      <c r="Z405" s="873"/>
      <c r="AA405" s="866"/>
      <c r="AB405" s="864"/>
      <c r="AC405" s="837"/>
      <c r="AD405" s="837"/>
      <c r="AE405" s="837"/>
      <c r="AF405" s="837"/>
      <c r="AG405" s="837"/>
      <c r="AH405" s="837"/>
      <c r="AI405" s="837"/>
      <c r="AJ405" s="874"/>
      <c r="AK405" s="837"/>
      <c r="AL405" s="837"/>
      <c r="AM405" s="837"/>
      <c r="AN405" s="837"/>
      <c r="AO405" s="837"/>
      <c r="AP405" s="837"/>
      <c r="AQ405" s="837"/>
      <c r="AR405" s="837"/>
      <c r="AS405" s="874"/>
      <c r="AT405" s="837"/>
      <c r="AU405" s="836"/>
      <c r="AV405" s="836"/>
      <c r="AW405" s="836"/>
      <c r="AX405" s="836"/>
      <c r="AY405" s="836"/>
    </row>
    <row r="406" spans="4:51" s="526" customFormat="1" x14ac:dyDescent="0.2">
      <c r="D406" s="708"/>
      <c r="E406" s="708"/>
      <c r="F406" s="708"/>
      <c r="G406" s="527"/>
      <c r="H406" s="709"/>
      <c r="I406" s="710"/>
      <c r="J406" s="710"/>
      <c r="K406" s="711"/>
      <c r="L406" s="711"/>
      <c r="M406" s="710"/>
      <c r="N406" s="711"/>
      <c r="O406" s="710"/>
      <c r="P406" s="527"/>
      <c r="Q406" s="527"/>
      <c r="R406" s="711"/>
      <c r="U406" s="712"/>
      <c r="V406" s="712"/>
      <c r="W406" s="712"/>
      <c r="X406" s="604"/>
      <c r="Y406" s="604"/>
      <c r="Z406" s="873"/>
      <c r="AA406" s="866"/>
      <c r="AB406" s="864"/>
      <c r="AC406" s="837"/>
      <c r="AD406" s="837"/>
      <c r="AE406" s="837"/>
      <c r="AF406" s="837"/>
      <c r="AG406" s="837"/>
      <c r="AH406" s="837"/>
      <c r="AI406" s="837"/>
      <c r="AJ406" s="874"/>
      <c r="AK406" s="837"/>
      <c r="AL406" s="837"/>
      <c r="AM406" s="837"/>
      <c r="AN406" s="837"/>
      <c r="AO406" s="837"/>
      <c r="AP406" s="837"/>
      <c r="AQ406" s="837"/>
      <c r="AR406" s="837"/>
      <c r="AS406" s="874"/>
      <c r="AT406" s="837"/>
      <c r="AU406" s="836"/>
      <c r="AV406" s="836"/>
      <c r="AW406" s="836"/>
      <c r="AX406" s="836"/>
      <c r="AY406" s="836"/>
    </row>
    <row r="407" spans="4:51" s="526" customFormat="1" x14ac:dyDescent="0.2">
      <c r="D407" s="708"/>
      <c r="E407" s="708"/>
      <c r="F407" s="708"/>
      <c r="G407" s="527"/>
      <c r="H407" s="709"/>
      <c r="I407" s="710"/>
      <c r="J407" s="710"/>
      <c r="K407" s="711"/>
      <c r="L407" s="711"/>
      <c r="M407" s="710"/>
      <c r="N407" s="711"/>
      <c r="O407" s="710"/>
      <c r="P407" s="527"/>
      <c r="Q407" s="527"/>
      <c r="R407" s="711"/>
      <c r="U407" s="712"/>
      <c r="V407" s="712"/>
      <c r="W407" s="712"/>
      <c r="X407" s="604"/>
      <c r="Y407" s="604"/>
      <c r="Z407" s="873"/>
      <c r="AA407" s="866"/>
      <c r="AB407" s="864"/>
      <c r="AC407" s="837"/>
      <c r="AD407" s="837"/>
      <c r="AE407" s="837"/>
      <c r="AF407" s="837"/>
      <c r="AG407" s="837"/>
      <c r="AH407" s="837"/>
      <c r="AI407" s="837"/>
      <c r="AJ407" s="874"/>
      <c r="AK407" s="837"/>
      <c r="AL407" s="837"/>
      <c r="AM407" s="837"/>
      <c r="AN407" s="837"/>
      <c r="AO407" s="837"/>
      <c r="AP407" s="837"/>
      <c r="AQ407" s="837"/>
      <c r="AR407" s="837"/>
      <c r="AS407" s="874"/>
      <c r="AT407" s="837"/>
      <c r="AU407" s="836"/>
      <c r="AV407" s="836"/>
      <c r="AW407" s="836"/>
      <c r="AX407" s="836"/>
      <c r="AY407" s="836"/>
    </row>
    <row r="408" spans="4:51" s="526" customFormat="1" x14ac:dyDescent="0.2">
      <c r="D408" s="708"/>
      <c r="E408" s="708"/>
      <c r="F408" s="708"/>
      <c r="G408" s="527"/>
      <c r="H408" s="709"/>
      <c r="I408" s="710"/>
      <c r="J408" s="710"/>
      <c r="K408" s="711"/>
      <c r="L408" s="711"/>
      <c r="M408" s="710"/>
      <c r="N408" s="711"/>
      <c r="O408" s="710"/>
      <c r="P408" s="527"/>
      <c r="Q408" s="527"/>
      <c r="R408" s="711"/>
      <c r="U408" s="712"/>
      <c r="V408" s="712"/>
      <c r="W408" s="712"/>
      <c r="X408" s="604"/>
      <c r="Y408" s="604"/>
      <c r="Z408" s="873"/>
      <c r="AA408" s="866"/>
      <c r="AB408" s="864"/>
      <c r="AC408" s="837"/>
      <c r="AD408" s="837"/>
      <c r="AE408" s="837"/>
      <c r="AF408" s="837"/>
      <c r="AG408" s="837"/>
      <c r="AH408" s="837"/>
      <c r="AI408" s="837"/>
      <c r="AJ408" s="874"/>
      <c r="AK408" s="837"/>
      <c r="AL408" s="837"/>
      <c r="AM408" s="837"/>
      <c r="AN408" s="837"/>
      <c r="AO408" s="837"/>
      <c r="AP408" s="837"/>
      <c r="AQ408" s="837"/>
      <c r="AR408" s="837"/>
      <c r="AS408" s="874"/>
      <c r="AT408" s="837"/>
      <c r="AU408" s="836"/>
      <c r="AV408" s="836"/>
      <c r="AW408" s="836"/>
      <c r="AX408" s="836"/>
      <c r="AY408" s="836"/>
    </row>
    <row r="409" spans="4:51" s="526" customFormat="1" x14ac:dyDescent="0.2">
      <c r="D409" s="708"/>
      <c r="E409" s="708"/>
      <c r="F409" s="708"/>
      <c r="G409" s="527"/>
      <c r="H409" s="709"/>
      <c r="I409" s="710"/>
      <c r="J409" s="710"/>
      <c r="K409" s="711"/>
      <c r="L409" s="711"/>
      <c r="M409" s="710"/>
      <c r="N409" s="711"/>
      <c r="O409" s="710"/>
      <c r="P409" s="527"/>
      <c r="Q409" s="527"/>
      <c r="R409" s="711"/>
      <c r="U409" s="712"/>
      <c r="V409" s="712"/>
      <c r="W409" s="712"/>
      <c r="X409" s="604"/>
      <c r="Y409" s="604"/>
      <c r="Z409" s="873"/>
      <c r="AA409" s="866"/>
      <c r="AB409" s="864"/>
      <c r="AC409" s="837"/>
      <c r="AD409" s="837"/>
      <c r="AE409" s="837"/>
      <c r="AF409" s="837"/>
      <c r="AG409" s="837"/>
      <c r="AH409" s="837"/>
      <c r="AI409" s="837"/>
      <c r="AJ409" s="874"/>
      <c r="AK409" s="837"/>
      <c r="AL409" s="837"/>
      <c r="AM409" s="837"/>
      <c r="AN409" s="837"/>
      <c r="AO409" s="837"/>
      <c r="AP409" s="837"/>
      <c r="AQ409" s="837"/>
      <c r="AR409" s="837"/>
      <c r="AS409" s="874"/>
      <c r="AT409" s="837"/>
      <c r="AU409" s="836"/>
      <c r="AV409" s="836"/>
      <c r="AW409" s="836"/>
      <c r="AX409" s="836"/>
      <c r="AY409" s="836"/>
    </row>
    <row r="410" spans="4:51" s="526" customFormat="1" x14ac:dyDescent="0.2">
      <c r="D410" s="708"/>
      <c r="E410" s="708"/>
      <c r="F410" s="708"/>
      <c r="G410" s="527"/>
      <c r="H410" s="709"/>
      <c r="I410" s="710"/>
      <c r="J410" s="710"/>
      <c r="K410" s="711"/>
      <c r="L410" s="711"/>
      <c r="M410" s="710"/>
      <c r="N410" s="711"/>
      <c r="O410" s="710"/>
      <c r="P410" s="527"/>
      <c r="Q410" s="527"/>
      <c r="R410" s="711"/>
      <c r="U410" s="712"/>
      <c r="V410" s="712"/>
      <c r="W410" s="712"/>
      <c r="X410" s="604"/>
      <c r="Y410" s="604"/>
      <c r="Z410" s="873"/>
      <c r="AA410" s="866"/>
      <c r="AB410" s="864"/>
      <c r="AC410" s="837"/>
      <c r="AD410" s="837"/>
      <c r="AE410" s="837"/>
      <c r="AF410" s="837"/>
      <c r="AG410" s="837"/>
      <c r="AH410" s="837"/>
      <c r="AI410" s="837"/>
      <c r="AJ410" s="874"/>
      <c r="AK410" s="837"/>
      <c r="AL410" s="837"/>
      <c r="AM410" s="837"/>
      <c r="AN410" s="837"/>
      <c r="AO410" s="837"/>
      <c r="AP410" s="837"/>
      <c r="AQ410" s="837"/>
      <c r="AR410" s="837"/>
      <c r="AS410" s="874"/>
      <c r="AT410" s="837"/>
      <c r="AU410" s="836"/>
      <c r="AV410" s="836"/>
      <c r="AW410" s="836"/>
      <c r="AX410" s="836"/>
      <c r="AY410" s="836"/>
    </row>
    <row r="411" spans="4:51" s="526" customFormat="1" x14ac:dyDescent="0.2">
      <c r="D411" s="708"/>
      <c r="E411" s="708"/>
      <c r="F411" s="708"/>
      <c r="G411" s="527"/>
      <c r="H411" s="709"/>
      <c r="I411" s="710"/>
      <c r="J411" s="710"/>
      <c r="K411" s="711"/>
      <c r="L411" s="711"/>
      <c r="M411" s="710"/>
      <c r="N411" s="711"/>
      <c r="O411" s="710"/>
      <c r="P411" s="527"/>
      <c r="Q411" s="527"/>
      <c r="R411" s="711"/>
      <c r="U411" s="712"/>
      <c r="V411" s="712"/>
      <c r="W411" s="712"/>
      <c r="X411" s="604"/>
      <c r="Y411" s="604"/>
      <c r="Z411" s="873"/>
      <c r="AA411" s="866"/>
      <c r="AB411" s="864"/>
      <c r="AC411" s="837"/>
      <c r="AD411" s="837"/>
      <c r="AE411" s="837"/>
      <c r="AF411" s="837"/>
      <c r="AG411" s="837"/>
      <c r="AH411" s="837"/>
      <c r="AI411" s="837"/>
      <c r="AJ411" s="874"/>
      <c r="AK411" s="837"/>
      <c r="AL411" s="837"/>
      <c r="AM411" s="837"/>
      <c r="AN411" s="837"/>
      <c r="AO411" s="837"/>
      <c r="AP411" s="837"/>
      <c r="AQ411" s="837"/>
      <c r="AR411" s="837"/>
      <c r="AS411" s="874"/>
      <c r="AT411" s="837"/>
      <c r="AU411" s="836"/>
      <c r="AV411" s="836"/>
      <c r="AW411" s="836"/>
      <c r="AX411" s="836"/>
      <c r="AY411" s="836"/>
    </row>
    <row r="412" spans="4:51" s="526" customFormat="1" x14ac:dyDescent="0.2">
      <c r="D412" s="708"/>
      <c r="E412" s="708"/>
      <c r="F412" s="708"/>
      <c r="G412" s="527"/>
      <c r="H412" s="709"/>
      <c r="I412" s="710"/>
      <c r="J412" s="710"/>
      <c r="K412" s="711"/>
      <c r="L412" s="711"/>
      <c r="M412" s="710"/>
      <c r="N412" s="711"/>
      <c r="O412" s="710"/>
      <c r="P412" s="527"/>
      <c r="Q412" s="527"/>
      <c r="R412" s="711"/>
      <c r="U412" s="712"/>
      <c r="V412" s="712"/>
      <c r="W412" s="712"/>
      <c r="X412" s="604"/>
      <c r="Y412" s="604"/>
      <c r="Z412" s="873"/>
      <c r="AA412" s="866"/>
      <c r="AB412" s="864"/>
      <c r="AC412" s="837"/>
      <c r="AD412" s="837"/>
      <c r="AE412" s="837"/>
      <c r="AF412" s="837"/>
      <c r="AG412" s="837"/>
      <c r="AH412" s="837"/>
      <c r="AI412" s="837"/>
      <c r="AJ412" s="874"/>
      <c r="AK412" s="837"/>
      <c r="AL412" s="837"/>
      <c r="AM412" s="837"/>
      <c r="AN412" s="837"/>
      <c r="AO412" s="837"/>
      <c r="AP412" s="837"/>
      <c r="AQ412" s="837"/>
      <c r="AR412" s="837"/>
      <c r="AS412" s="874"/>
      <c r="AT412" s="837"/>
      <c r="AU412" s="836"/>
      <c r="AV412" s="836"/>
      <c r="AW412" s="836"/>
      <c r="AX412" s="836"/>
      <c r="AY412" s="836"/>
    </row>
    <row r="413" spans="4:51" s="526" customFormat="1" x14ac:dyDescent="0.2">
      <c r="D413" s="708"/>
      <c r="E413" s="708"/>
      <c r="F413" s="708"/>
      <c r="G413" s="527"/>
      <c r="H413" s="709"/>
      <c r="I413" s="710"/>
      <c r="J413" s="710"/>
      <c r="K413" s="711"/>
      <c r="L413" s="711"/>
      <c r="M413" s="710"/>
      <c r="N413" s="711"/>
      <c r="O413" s="710"/>
      <c r="P413" s="527"/>
      <c r="Q413" s="527"/>
      <c r="R413" s="711"/>
      <c r="U413" s="712"/>
      <c r="V413" s="712"/>
      <c r="W413" s="712"/>
      <c r="X413" s="604"/>
      <c r="Y413" s="604"/>
      <c r="Z413" s="873"/>
      <c r="AA413" s="866"/>
      <c r="AB413" s="864"/>
      <c r="AC413" s="837"/>
      <c r="AD413" s="837"/>
      <c r="AE413" s="837"/>
      <c r="AF413" s="837"/>
      <c r="AG413" s="837"/>
      <c r="AH413" s="837"/>
      <c r="AI413" s="837"/>
      <c r="AJ413" s="874"/>
      <c r="AK413" s="837"/>
      <c r="AL413" s="837"/>
      <c r="AM413" s="837"/>
      <c r="AN413" s="837"/>
      <c r="AO413" s="837"/>
      <c r="AP413" s="837"/>
      <c r="AQ413" s="837"/>
      <c r="AR413" s="837"/>
      <c r="AS413" s="874"/>
      <c r="AT413" s="837"/>
      <c r="AU413" s="836"/>
      <c r="AV413" s="836"/>
      <c r="AW413" s="836"/>
      <c r="AX413" s="836"/>
      <c r="AY413" s="836"/>
    </row>
    <row r="414" spans="4:51" s="526" customFormat="1" x14ac:dyDescent="0.2">
      <c r="D414" s="708"/>
      <c r="E414" s="708"/>
      <c r="F414" s="708"/>
      <c r="G414" s="527"/>
      <c r="H414" s="709"/>
      <c r="I414" s="710"/>
      <c r="J414" s="710"/>
      <c r="K414" s="711"/>
      <c r="L414" s="711"/>
      <c r="M414" s="710"/>
      <c r="N414" s="711"/>
      <c r="O414" s="710"/>
      <c r="P414" s="527"/>
      <c r="Q414" s="527"/>
      <c r="R414" s="711"/>
      <c r="U414" s="712"/>
      <c r="V414" s="712"/>
      <c r="W414" s="712"/>
      <c r="X414" s="604"/>
      <c r="Y414" s="604"/>
      <c r="Z414" s="873"/>
      <c r="AA414" s="866"/>
      <c r="AB414" s="864"/>
      <c r="AC414" s="837"/>
      <c r="AD414" s="837"/>
      <c r="AE414" s="837"/>
      <c r="AF414" s="837"/>
      <c r="AG414" s="837"/>
      <c r="AH414" s="837"/>
      <c r="AI414" s="837"/>
      <c r="AJ414" s="874"/>
      <c r="AK414" s="837"/>
      <c r="AL414" s="837"/>
      <c r="AM414" s="837"/>
      <c r="AN414" s="837"/>
      <c r="AO414" s="837"/>
      <c r="AP414" s="837"/>
      <c r="AQ414" s="837"/>
      <c r="AR414" s="837"/>
      <c r="AS414" s="874"/>
      <c r="AT414" s="837"/>
      <c r="AU414" s="836"/>
      <c r="AV414" s="836"/>
      <c r="AW414" s="836"/>
      <c r="AX414" s="836"/>
      <c r="AY414" s="836"/>
    </row>
    <row r="415" spans="4:51" s="526" customFormat="1" x14ac:dyDescent="0.2">
      <c r="D415" s="708"/>
      <c r="E415" s="708"/>
      <c r="F415" s="708"/>
      <c r="G415" s="527"/>
      <c r="H415" s="709"/>
      <c r="I415" s="710"/>
      <c r="J415" s="710"/>
      <c r="K415" s="711"/>
      <c r="L415" s="711"/>
      <c r="M415" s="710"/>
      <c r="N415" s="711"/>
      <c r="O415" s="710"/>
      <c r="P415" s="527"/>
      <c r="Q415" s="527"/>
      <c r="R415" s="711"/>
      <c r="U415" s="712"/>
      <c r="V415" s="712"/>
      <c r="W415" s="712"/>
      <c r="X415" s="604"/>
      <c r="Y415" s="604"/>
      <c r="Z415" s="873"/>
      <c r="AA415" s="866"/>
      <c r="AB415" s="864"/>
      <c r="AC415" s="837"/>
      <c r="AD415" s="837"/>
      <c r="AE415" s="837"/>
      <c r="AF415" s="837"/>
      <c r="AG415" s="837"/>
      <c r="AH415" s="837"/>
      <c r="AI415" s="837"/>
      <c r="AJ415" s="874"/>
      <c r="AK415" s="837"/>
      <c r="AL415" s="837"/>
      <c r="AM415" s="837"/>
      <c r="AN415" s="837"/>
      <c r="AO415" s="837"/>
      <c r="AP415" s="837"/>
      <c r="AQ415" s="837"/>
      <c r="AR415" s="837"/>
      <c r="AS415" s="874"/>
      <c r="AT415" s="837"/>
      <c r="AU415" s="836"/>
      <c r="AV415" s="836"/>
      <c r="AW415" s="836"/>
      <c r="AX415" s="836"/>
      <c r="AY415" s="836"/>
    </row>
    <row r="416" spans="4:51" s="526" customFormat="1" x14ac:dyDescent="0.2">
      <c r="D416" s="708"/>
      <c r="E416" s="708"/>
      <c r="F416" s="708"/>
      <c r="G416" s="527"/>
      <c r="H416" s="709"/>
      <c r="I416" s="710"/>
      <c r="J416" s="710"/>
      <c r="K416" s="711"/>
      <c r="L416" s="711"/>
      <c r="M416" s="710"/>
      <c r="N416" s="711"/>
      <c r="O416" s="710"/>
      <c r="P416" s="527"/>
      <c r="Q416" s="527"/>
      <c r="R416" s="711"/>
      <c r="U416" s="712"/>
      <c r="V416" s="712"/>
      <c r="W416" s="712"/>
      <c r="X416" s="604"/>
      <c r="Y416" s="604"/>
      <c r="Z416" s="873"/>
      <c r="AA416" s="866"/>
      <c r="AB416" s="864"/>
      <c r="AC416" s="837"/>
      <c r="AD416" s="837"/>
      <c r="AE416" s="837"/>
      <c r="AF416" s="837"/>
      <c r="AG416" s="837"/>
      <c r="AH416" s="837"/>
      <c r="AI416" s="837"/>
      <c r="AJ416" s="874"/>
      <c r="AK416" s="837"/>
      <c r="AL416" s="837"/>
      <c r="AM416" s="837"/>
      <c r="AN416" s="837"/>
      <c r="AO416" s="837"/>
      <c r="AP416" s="837"/>
      <c r="AQ416" s="837"/>
      <c r="AR416" s="837"/>
      <c r="AS416" s="874"/>
      <c r="AT416" s="837"/>
      <c r="AU416" s="836"/>
      <c r="AV416" s="836"/>
      <c r="AW416" s="836"/>
      <c r="AX416" s="836"/>
      <c r="AY416" s="836"/>
    </row>
    <row r="417" spans="4:51" s="526" customFormat="1" x14ac:dyDescent="0.2">
      <c r="D417" s="708"/>
      <c r="E417" s="708"/>
      <c r="F417" s="708"/>
      <c r="G417" s="527"/>
      <c r="H417" s="709"/>
      <c r="I417" s="710"/>
      <c r="J417" s="710"/>
      <c r="K417" s="711"/>
      <c r="L417" s="711"/>
      <c r="M417" s="710"/>
      <c r="N417" s="711"/>
      <c r="O417" s="710"/>
      <c r="P417" s="527"/>
      <c r="Q417" s="527"/>
      <c r="R417" s="711"/>
      <c r="U417" s="712"/>
      <c r="V417" s="712"/>
      <c r="W417" s="712"/>
      <c r="X417" s="604"/>
      <c r="Y417" s="604"/>
      <c r="Z417" s="873"/>
      <c r="AA417" s="866"/>
      <c r="AB417" s="864"/>
      <c r="AC417" s="837"/>
      <c r="AD417" s="837"/>
      <c r="AE417" s="837"/>
      <c r="AF417" s="837"/>
      <c r="AG417" s="837"/>
      <c r="AH417" s="837"/>
      <c r="AI417" s="837"/>
      <c r="AJ417" s="874"/>
      <c r="AK417" s="837"/>
      <c r="AL417" s="837"/>
      <c r="AM417" s="837"/>
      <c r="AN417" s="837"/>
      <c r="AO417" s="837"/>
      <c r="AP417" s="837"/>
      <c r="AQ417" s="837"/>
      <c r="AR417" s="837"/>
      <c r="AS417" s="874"/>
      <c r="AT417" s="837"/>
      <c r="AU417" s="836"/>
      <c r="AV417" s="836"/>
      <c r="AW417" s="836"/>
      <c r="AX417" s="836"/>
      <c r="AY417" s="836"/>
    </row>
    <row r="418" spans="4:51" s="526" customFormat="1" x14ac:dyDescent="0.2">
      <c r="D418" s="708"/>
      <c r="E418" s="708"/>
      <c r="F418" s="708"/>
      <c r="G418" s="527"/>
      <c r="H418" s="709"/>
      <c r="I418" s="710"/>
      <c r="J418" s="710"/>
      <c r="K418" s="711"/>
      <c r="L418" s="711"/>
      <c r="M418" s="710"/>
      <c r="N418" s="711"/>
      <c r="O418" s="710"/>
      <c r="P418" s="527"/>
      <c r="Q418" s="527"/>
      <c r="R418" s="711"/>
      <c r="U418" s="712"/>
      <c r="V418" s="712"/>
      <c r="W418" s="712"/>
      <c r="X418" s="604"/>
      <c r="Y418" s="604"/>
      <c r="Z418" s="873"/>
      <c r="AA418" s="866"/>
      <c r="AB418" s="864"/>
      <c r="AC418" s="837"/>
      <c r="AD418" s="837"/>
      <c r="AE418" s="837"/>
      <c r="AF418" s="837"/>
      <c r="AG418" s="837"/>
      <c r="AH418" s="837"/>
      <c r="AI418" s="837"/>
      <c r="AJ418" s="874"/>
      <c r="AK418" s="837"/>
      <c r="AL418" s="837"/>
      <c r="AM418" s="837"/>
      <c r="AN418" s="837"/>
      <c r="AO418" s="837"/>
      <c r="AP418" s="837"/>
      <c r="AQ418" s="837"/>
      <c r="AR418" s="837"/>
      <c r="AS418" s="874"/>
      <c r="AT418" s="837"/>
      <c r="AU418" s="836"/>
      <c r="AV418" s="836"/>
      <c r="AW418" s="836"/>
      <c r="AX418" s="836"/>
      <c r="AY418" s="836"/>
    </row>
    <row r="419" spans="4:51" s="526" customFormat="1" x14ac:dyDescent="0.2">
      <c r="D419" s="708"/>
      <c r="E419" s="708"/>
      <c r="F419" s="708"/>
      <c r="G419" s="527"/>
      <c r="H419" s="709"/>
      <c r="I419" s="710"/>
      <c r="J419" s="710"/>
      <c r="K419" s="711"/>
      <c r="L419" s="711"/>
      <c r="M419" s="710"/>
      <c r="N419" s="711"/>
      <c r="O419" s="710"/>
      <c r="P419" s="527"/>
      <c r="Q419" s="527"/>
      <c r="R419" s="711"/>
      <c r="U419" s="712"/>
      <c r="V419" s="712"/>
      <c r="W419" s="712"/>
      <c r="X419" s="604"/>
      <c r="Y419" s="604"/>
      <c r="Z419" s="873"/>
      <c r="AA419" s="866"/>
      <c r="AB419" s="864"/>
      <c r="AC419" s="837"/>
      <c r="AD419" s="837"/>
      <c r="AE419" s="837"/>
      <c r="AF419" s="837"/>
      <c r="AG419" s="837"/>
      <c r="AH419" s="837"/>
      <c r="AI419" s="837"/>
      <c r="AJ419" s="874"/>
      <c r="AK419" s="837"/>
      <c r="AL419" s="837"/>
      <c r="AM419" s="837"/>
      <c r="AN419" s="837"/>
      <c r="AO419" s="837"/>
      <c r="AP419" s="837"/>
      <c r="AQ419" s="837"/>
      <c r="AR419" s="837"/>
      <c r="AS419" s="874"/>
      <c r="AT419" s="837"/>
      <c r="AU419" s="836"/>
      <c r="AV419" s="836"/>
      <c r="AW419" s="836"/>
      <c r="AX419" s="836"/>
      <c r="AY419" s="836"/>
    </row>
    <row r="420" spans="4:51" s="526" customFormat="1" x14ac:dyDescent="0.2">
      <c r="D420" s="708"/>
      <c r="E420" s="708"/>
      <c r="F420" s="708"/>
      <c r="G420" s="527"/>
      <c r="H420" s="709"/>
      <c r="I420" s="710"/>
      <c r="J420" s="710"/>
      <c r="K420" s="711"/>
      <c r="L420" s="711"/>
      <c r="M420" s="710"/>
      <c r="N420" s="711"/>
      <c r="O420" s="710"/>
      <c r="P420" s="527"/>
      <c r="Q420" s="527"/>
      <c r="R420" s="711"/>
      <c r="U420" s="712"/>
      <c r="V420" s="712"/>
      <c r="W420" s="712"/>
      <c r="X420" s="604"/>
      <c r="Y420" s="604"/>
      <c r="Z420" s="873"/>
      <c r="AA420" s="866"/>
      <c r="AB420" s="864"/>
      <c r="AC420" s="837"/>
      <c r="AD420" s="837"/>
      <c r="AE420" s="837"/>
      <c r="AF420" s="837"/>
      <c r="AG420" s="837"/>
      <c r="AH420" s="837"/>
      <c r="AI420" s="837"/>
      <c r="AJ420" s="874"/>
      <c r="AK420" s="837"/>
      <c r="AL420" s="837"/>
      <c r="AM420" s="837"/>
      <c r="AN420" s="837"/>
      <c r="AO420" s="837"/>
      <c r="AP420" s="837"/>
      <c r="AQ420" s="837"/>
      <c r="AR420" s="837"/>
      <c r="AS420" s="874"/>
      <c r="AT420" s="837"/>
      <c r="AU420" s="836"/>
      <c r="AV420" s="836"/>
      <c r="AW420" s="836"/>
      <c r="AX420" s="836"/>
      <c r="AY420" s="836"/>
    </row>
    <row r="421" spans="4:51" s="526" customFormat="1" x14ac:dyDescent="0.2">
      <c r="D421" s="708"/>
      <c r="E421" s="708"/>
      <c r="F421" s="708"/>
      <c r="G421" s="527"/>
      <c r="H421" s="709"/>
      <c r="I421" s="710"/>
      <c r="J421" s="710"/>
      <c r="K421" s="711"/>
      <c r="L421" s="711"/>
      <c r="M421" s="710"/>
      <c r="N421" s="711"/>
      <c r="O421" s="710"/>
      <c r="P421" s="527"/>
      <c r="Q421" s="527"/>
      <c r="R421" s="711"/>
      <c r="U421" s="712"/>
      <c r="V421" s="712"/>
      <c r="W421" s="712"/>
      <c r="X421" s="604"/>
      <c r="Y421" s="604"/>
      <c r="Z421" s="873"/>
      <c r="AA421" s="866"/>
      <c r="AB421" s="864"/>
      <c r="AC421" s="837"/>
      <c r="AD421" s="837"/>
      <c r="AE421" s="837"/>
      <c r="AF421" s="837"/>
      <c r="AG421" s="837"/>
      <c r="AH421" s="837"/>
      <c r="AI421" s="837"/>
      <c r="AJ421" s="874"/>
      <c r="AK421" s="837"/>
      <c r="AL421" s="837"/>
      <c r="AM421" s="837"/>
      <c r="AN421" s="837"/>
      <c r="AO421" s="837"/>
      <c r="AP421" s="837"/>
      <c r="AQ421" s="837"/>
      <c r="AR421" s="837"/>
      <c r="AS421" s="874"/>
      <c r="AT421" s="837"/>
      <c r="AU421" s="836"/>
      <c r="AV421" s="836"/>
      <c r="AW421" s="836"/>
      <c r="AX421" s="836"/>
      <c r="AY421" s="836"/>
    </row>
    <row r="422" spans="4:51" s="526" customFormat="1" x14ac:dyDescent="0.2">
      <c r="D422" s="708"/>
      <c r="E422" s="708"/>
      <c r="F422" s="708"/>
      <c r="G422" s="527"/>
      <c r="H422" s="709"/>
      <c r="I422" s="710"/>
      <c r="J422" s="710"/>
      <c r="K422" s="711"/>
      <c r="L422" s="711"/>
      <c r="M422" s="710"/>
      <c r="N422" s="711"/>
      <c r="O422" s="710"/>
      <c r="P422" s="527"/>
      <c r="Q422" s="527"/>
      <c r="R422" s="711"/>
      <c r="U422" s="712"/>
      <c r="V422" s="712"/>
      <c r="W422" s="712"/>
      <c r="X422" s="604"/>
      <c r="Y422" s="604"/>
      <c r="Z422" s="873"/>
      <c r="AA422" s="866"/>
      <c r="AB422" s="864"/>
      <c r="AC422" s="837"/>
      <c r="AD422" s="837"/>
      <c r="AE422" s="837"/>
      <c r="AF422" s="837"/>
      <c r="AG422" s="837"/>
      <c r="AH422" s="837"/>
      <c r="AI422" s="837"/>
      <c r="AJ422" s="874"/>
      <c r="AK422" s="837"/>
      <c r="AL422" s="837"/>
      <c r="AM422" s="837"/>
      <c r="AN422" s="837"/>
      <c r="AO422" s="837"/>
      <c r="AP422" s="837"/>
      <c r="AQ422" s="837"/>
      <c r="AR422" s="837"/>
      <c r="AS422" s="874"/>
      <c r="AT422" s="837"/>
      <c r="AU422" s="836"/>
      <c r="AV422" s="836"/>
      <c r="AW422" s="836"/>
      <c r="AX422" s="836"/>
      <c r="AY422" s="836"/>
    </row>
    <row r="423" spans="4:51" s="526" customFormat="1" x14ac:dyDescent="0.2">
      <c r="D423" s="708"/>
      <c r="E423" s="708"/>
      <c r="F423" s="708"/>
      <c r="G423" s="527"/>
      <c r="H423" s="709"/>
      <c r="I423" s="710"/>
      <c r="J423" s="710"/>
      <c r="K423" s="711"/>
      <c r="L423" s="711"/>
      <c r="M423" s="710"/>
      <c r="N423" s="711"/>
      <c r="O423" s="710"/>
      <c r="P423" s="527"/>
      <c r="Q423" s="527"/>
      <c r="R423" s="711"/>
      <c r="U423" s="712"/>
      <c r="V423" s="712"/>
      <c r="W423" s="712"/>
      <c r="X423" s="604"/>
      <c r="Y423" s="604"/>
      <c r="Z423" s="873"/>
      <c r="AA423" s="866"/>
      <c r="AB423" s="864"/>
      <c r="AC423" s="837"/>
      <c r="AD423" s="837"/>
      <c r="AE423" s="837"/>
      <c r="AF423" s="837"/>
      <c r="AG423" s="837"/>
      <c r="AH423" s="837"/>
      <c r="AI423" s="837"/>
      <c r="AJ423" s="874"/>
      <c r="AK423" s="837"/>
      <c r="AL423" s="837"/>
      <c r="AM423" s="837"/>
      <c r="AN423" s="837"/>
      <c r="AO423" s="837"/>
      <c r="AP423" s="837"/>
      <c r="AQ423" s="837"/>
      <c r="AR423" s="837"/>
      <c r="AS423" s="874"/>
      <c r="AT423" s="837"/>
      <c r="AU423" s="836"/>
      <c r="AV423" s="836"/>
      <c r="AW423" s="836"/>
      <c r="AX423" s="836"/>
      <c r="AY423" s="836"/>
    </row>
    <row r="424" spans="4:51" s="526" customFormat="1" x14ac:dyDescent="0.2">
      <c r="D424" s="708"/>
      <c r="E424" s="708"/>
      <c r="F424" s="708"/>
      <c r="G424" s="527"/>
      <c r="H424" s="709"/>
      <c r="I424" s="710"/>
      <c r="J424" s="710"/>
      <c r="K424" s="711"/>
      <c r="L424" s="711"/>
      <c r="M424" s="710"/>
      <c r="N424" s="711"/>
      <c r="O424" s="710"/>
      <c r="P424" s="527"/>
      <c r="Q424" s="527"/>
      <c r="R424" s="711"/>
      <c r="U424" s="712"/>
      <c r="V424" s="712"/>
      <c r="W424" s="712"/>
      <c r="X424" s="604"/>
      <c r="Y424" s="604"/>
      <c r="Z424" s="873"/>
      <c r="AA424" s="866"/>
      <c r="AB424" s="864"/>
      <c r="AC424" s="837"/>
      <c r="AD424" s="837"/>
      <c r="AE424" s="837"/>
      <c r="AF424" s="837"/>
      <c r="AG424" s="837"/>
      <c r="AH424" s="837"/>
      <c r="AI424" s="837"/>
      <c r="AJ424" s="874"/>
      <c r="AK424" s="837"/>
      <c r="AL424" s="837"/>
      <c r="AM424" s="837"/>
      <c r="AN424" s="837"/>
      <c r="AO424" s="837"/>
      <c r="AP424" s="837"/>
      <c r="AQ424" s="837"/>
      <c r="AR424" s="837"/>
      <c r="AS424" s="874"/>
      <c r="AT424" s="837"/>
      <c r="AU424" s="836"/>
      <c r="AV424" s="836"/>
      <c r="AW424" s="836"/>
      <c r="AX424" s="836"/>
      <c r="AY424" s="836"/>
    </row>
    <row r="425" spans="4:51" s="526" customFormat="1" x14ac:dyDescent="0.2">
      <c r="D425" s="708"/>
      <c r="E425" s="708"/>
      <c r="F425" s="708"/>
      <c r="G425" s="527"/>
      <c r="H425" s="709"/>
      <c r="I425" s="710"/>
      <c r="J425" s="710"/>
      <c r="K425" s="711"/>
      <c r="L425" s="711"/>
      <c r="M425" s="710"/>
      <c r="N425" s="711"/>
      <c r="O425" s="710"/>
      <c r="P425" s="527"/>
      <c r="Q425" s="527"/>
      <c r="R425" s="711"/>
      <c r="U425" s="712"/>
      <c r="V425" s="712"/>
      <c r="W425" s="712"/>
      <c r="X425" s="604"/>
      <c r="Y425" s="604"/>
      <c r="Z425" s="873"/>
      <c r="AA425" s="866"/>
      <c r="AB425" s="864"/>
      <c r="AC425" s="837"/>
      <c r="AD425" s="837"/>
      <c r="AE425" s="837"/>
      <c r="AF425" s="837"/>
      <c r="AG425" s="837"/>
      <c r="AH425" s="837"/>
      <c r="AI425" s="837"/>
      <c r="AJ425" s="874"/>
      <c r="AK425" s="837"/>
      <c r="AL425" s="837"/>
      <c r="AM425" s="837"/>
      <c r="AN425" s="837"/>
      <c r="AO425" s="837"/>
      <c r="AP425" s="837"/>
      <c r="AQ425" s="837"/>
      <c r="AR425" s="837"/>
      <c r="AS425" s="874"/>
      <c r="AT425" s="837"/>
      <c r="AU425" s="836"/>
      <c r="AV425" s="836"/>
      <c r="AW425" s="836"/>
      <c r="AX425" s="836"/>
      <c r="AY425" s="836"/>
    </row>
    <row r="426" spans="4:51" s="526" customFormat="1" x14ac:dyDescent="0.2">
      <c r="D426" s="708"/>
      <c r="E426" s="708"/>
      <c r="F426" s="708"/>
      <c r="G426" s="527"/>
      <c r="H426" s="709"/>
      <c r="I426" s="710"/>
      <c r="J426" s="710"/>
      <c r="K426" s="711"/>
      <c r="L426" s="711"/>
      <c r="M426" s="710"/>
      <c r="N426" s="711"/>
      <c r="O426" s="710"/>
      <c r="P426" s="527"/>
      <c r="Q426" s="527"/>
      <c r="R426" s="711"/>
      <c r="U426" s="712"/>
      <c r="V426" s="712"/>
      <c r="W426" s="712"/>
      <c r="X426" s="604"/>
      <c r="Y426" s="604"/>
      <c r="Z426" s="873"/>
      <c r="AA426" s="866"/>
      <c r="AB426" s="864"/>
      <c r="AC426" s="837"/>
      <c r="AD426" s="837"/>
      <c r="AE426" s="837"/>
      <c r="AF426" s="837"/>
      <c r="AG426" s="837"/>
      <c r="AH426" s="837"/>
      <c r="AI426" s="837"/>
      <c r="AJ426" s="874"/>
      <c r="AK426" s="837"/>
      <c r="AL426" s="837"/>
      <c r="AM426" s="837"/>
      <c r="AN426" s="837"/>
      <c r="AO426" s="837"/>
      <c r="AP426" s="837"/>
      <c r="AQ426" s="837"/>
      <c r="AR426" s="837"/>
      <c r="AS426" s="874"/>
      <c r="AT426" s="837"/>
      <c r="AU426" s="836"/>
      <c r="AV426" s="836"/>
      <c r="AW426" s="836"/>
      <c r="AX426" s="836"/>
      <c r="AY426" s="836"/>
    </row>
    <row r="427" spans="4:51" s="526" customFormat="1" x14ac:dyDescent="0.2">
      <c r="D427" s="708"/>
      <c r="E427" s="708"/>
      <c r="F427" s="708"/>
      <c r="G427" s="527"/>
      <c r="H427" s="709"/>
      <c r="I427" s="710"/>
      <c r="J427" s="710"/>
      <c r="K427" s="711"/>
      <c r="L427" s="711"/>
      <c r="M427" s="710"/>
      <c r="N427" s="711"/>
      <c r="O427" s="710"/>
      <c r="P427" s="527"/>
      <c r="Q427" s="527"/>
      <c r="R427" s="711"/>
      <c r="U427" s="712"/>
      <c r="V427" s="712"/>
      <c r="W427" s="712"/>
      <c r="X427" s="604"/>
      <c r="Y427" s="604"/>
      <c r="Z427" s="873"/>
      <c r="AA427" s="866"/>
      <c r="AB427" s="864"/>
      <c r="AC427" s="837"/>
      <c r="AD427" s="837"/>
      <c r="AE427" s="837"/>
      <c r="AF427" s="837"/>
      <c r="AG427" s="837"/>
      <c r="AH427" s="837"/>
      <c r="AI427" s="837"/>
      <c r="AJ427" s="874"/>
      <c r="AK427" s="837"/>
      <c r="AL427" s="837"/>
      <c r="AM427" s="837"/>
      <c r="AN427" s="837"/>
      <c r="AO427" s="837"/>
      <c r="AP427" s="837"/>
      <c r="AQ427" s="837"/>
      <c r="AR427" s="837"/>
      <c r="AS427" s="874"/>
      <c r="AT427" s="837"/>
      <c r="AU427" s="836"/>
      <c r="AV427" s="836"/>
      <c r="AW427" s="836"/>
      <c r="AX427" s="836"/>
      <c r="AY427" s="836"/>
    </row>
    <row r="428" spans="4:51" s="526" customFormat="1" x14ac:dyDescent="0.2">
      <c r="D428" s="708"/>
      <c r="E428" s="708"/>
      <c r="F428" s="708"/>
      <c r="G428" s="527"/>
      <c r="H428" s="709"/>
      <c r="I428" s="710"/>
      <c r="J428" s="710"/>
      <c r="K428" s="711"/>
      <c r="L428" s="711"/>
      <c r="M428" s="710"/>
      <c r="N428" s="711"/>
      <c r="O428" s="710"/>
      <c r="P428" s="527"/>
      <c r="Q428" s="527"/>
      <c r="R428" s="711"/>
      <c r="U428" s="712"/>
      <c r="V428" s="712"/>
      <c r="W428" s="712"/>
      <c r="X428" s="604"/>
      <c r="Y428" s="604"/>
      <c r="Z428" s="873"/>
      <c r="AA428" s="866"/>
      <c r="AB428" s="864"/>
      <c r="AC428" s="837"/>
      <c r="AD428" s="837"/>
      <c r="AE428" s="837"/>
      <c r="AF428" s="837"/>
      <c r="AG428" s="837"/>
      <c r="AH428" s="837"/>
      <c r="AI428" s="837"/>
      <c r="AJ428" s="874"/>
      <c r="AK428" s="837"/>
      <c r="AL428" s="837"/>
      <c r="AM428" s="837"/>
      <c r="AN428" s="837"/>
      <c r="AO428" s="837"/>
      <c r="AP428" s="837"/>
      <c r="AQ428" s="837"/>
      <c r="AR428" s="837"/>
      <c r="AS428" s="874"/>
      <c r="AT428" s="837"/>
      <c r="AU428" s="836"/>
      <c r="AV428" s="836"/>
      <c r="AW428" s="836"/>
      <c r="AX428" s="836"/>
      <c r="AY428" s="836"/>
    </row>
    <row r="429" spans="4:51" s="526" customFormat="1" x14ac:dyDescent="0.2">
      <c r="D429" s="708"/>
      <c r="E429" s="708"/>
      <c r="F429" s="708"/>
      <c r="G429" s="527"/>
      <c r="H429" s="709"/>
      <c r="I429" s="710"/>
      <c r="J429" s="710"/>
      <c r="K429" s="711"/>
      <c r="L429" s="711"/>
      <c r="M429" s="710"/>
      <c r="N429" s="711"/>
      <c r="O429" s="710"/>
      <c r="P429" s="527"/>
      <c r="Q429" s="527"/>
      <c r="R429" s="711"/>
      <c r="U429" s="712"/>
      <c r="V429" s="712"/>
      <c r="W429" s="712"/>
      <c r="X429" s="604"/>
      <c r="Y429" s="604"/>
      <c r="Z429" s="873"/>
      <c r="AA429" s="866"/>
      <c r="AB429" s="864"/>
      <c r="AC429" s="837"/>
      <c r="AD429" s="837"/>
      <c r="AE429" s="837"/>
      <c r="AF429" s="837"/>
      <c r="AG429" s="837"/>
      <c r="AH429" s="837"/>
      <c r="AI429" s="837"/>
      <c r="AJ429" s="874"/>
      <c r="AK429" s="837"/>
      <c r="AL429" s="837"/>
      <c r="AM429" s="837"/>
      <c r="AN429" s="837"/>
      <c r="AO429" s="837"/>
      <c r="AP429" s="837"/>
      <c r="AQ429" s="837"/>
      <c r="AR429" s="837"/>
      <c r="AS429" s="874"/>
      <c r="AT429" s="837"/>
      <c r="AU429" s="836"/>
      <c r="AV429" s="836"/>
      <c r="AW429" s="836"/>
      <c r="AX429" s="836"/>
      <c r="AY429" s="836"/>
    </row>
    <row r="430" spans="4:51" s="526" customFormat="1" x14ac:dyDescent="0.2">
      <c r="D430" s="708"/>
      <c r="E430" s="708"/>
      <c r="F430" s="708"/>
      <c r="G430" s="527"/>
      <c r="H430" s="709"/>
      <c r="I430" s="710"/>
      <c r="J430" s="710"/>
      <c r="K430" s="711"/>
      <c r="L430" s="711"/>
      <c r="M430" s="710"/>
      <c r="N430" s="711"/>
      <c r="O430" s="710"/>
      <c r="P430" s="527"/>
      <c r="Q430" s="527"/>
      <c r="R430" s="711"/>
      <c r="U430" s="712"/>
      <c r="V430" s="712"/>
      <c r="W430" s="712"/>
      <c r="X430" s="604"/>
      <c r="Y430" s="604"/>
      <c r="Z430" s="873"/>
      <c r="AA430" s="866"/>
      <c r="AB430" s="864"/>
      <c r="AC430" s="837"/>
      <c r="AD430" s="837"/>
      <c r="AE430" s="837"/>
      <c r="AF430" s="837"/>
      <c r="AG430" s="837"/>
      <c r="AH430" s="837"/>
      <c r="AI430" s="837"/>
      <c r="AJ430" s="874"/>
      <c r="AK430" s="837"/>
      <c r="AL430" s="837"/>
      <c r="AM430" s="837"/>
      <c r="AN430" s="837"/>
      <c r="AO430" s="837"/>
      <c r="AP430" s="837"/>
      <c r="AQ430" s="837"/>
      <c r="AR430" s="837"/>
      <c r="AS430" s="874"/>
      <c r="AT430" s="837"/>
      <c r="AU430" s="836"/>
      <c r="AV430" s="836"/>
      <c r="AW430" s="836"/>
      <c r="AX430" s="836"/>
      <c r="AY430" s="836"/>
    </row>
    <row r="431" spans="4:51" s="526" customFormat="1" x14ac:dyDescent="0.2">
      <c r="D431" s="708"/>
      <c r="E431" s="708"/>
      <c r="F431" s="708"/>
      <c r="G431" s="527"/>
      <c r="H431" s="709"/>
      <c r="I431" s="710"/>
      <c r="J431" s="710"/>
      <c r="K431" s="711"/>
      <c r="L431" s="711"/>
      <c r="M431" s="710"/>
      <c r="N431" s="711"/>
      <c r="O431" s="710"/>
      <c r="P431" s="527"/>
      <c r="Q431" s="527"/>
      <c r="R431" s="711"/>
      <c r="U431" s="712"/>
      <c r="V431" s="712"/>
      <c r="W431" s="712"/>
      <c r="X431" s="604"/>
      <c r="Y431" s="604"/>
      <c r="Z431" s="873"/>
      <c r="AA431" s="866"/>
      <c r="AB431" s="864"/>
      <c r="AC431" s="837"/>
      <c r="AD431" s="837"/>
      <c r="AE431" s="837"/>
      <c r="AF431" s="837"/>
      <c r="AG431" s="837"/>
      <c r="AH431" s="837"/>
      <c r="AI431" s="837"/>
      <c r="AJ431" s="874"/>
      <c r="AK431" s="837"/>
      <c r="AL431" s="837"/>
      <c r="AM431" s="837"/>
      <c r="AN431" s="837"/>
      <c r="AO431" s="837"/>
      <c r="AP431" s="837"/>
      <c r="AQ431" s="837"/>
      <c r="AR431" s="837"/>
      <c r="AS431" s="874"/>
      <c r="AT431" s="837"/>
      <c r="AU431" s="836"/>
      <c r="AV431" s="836"/>
      <c r="AW431" s="836"/>
      <c r="AX431" s="836"/>
      <c r="AY431" s="836"/>
    </row>
    <row r="432" spans="4:51" s="526" customFormat="1" x14ac:dyDescent="0.2">
      <c r="D432" s="708"/>
      <c r="E432" s="708"/>
      <c r="F432" s="708"/>
      <c r="G432" s="527"/>
      <c r="H432" s="709"/>
      <c r="I432" s="710"/>
      <c r="J432" s="710"/>
      <c r="K432" s="711"/>
      <c r="L432" s="711"/>
      <c r="M432" s="710"/>
      <c r="N432" s="711"/>
      <c r="O432" s="710"/>
      <c r="P432" s="527"/>
      <c r="Q432" s="527"/>
      <c r="R432" s="711"/>
      <c r="U432" s="712"/>
      <c r="V432" s="712"/>
      <c r="W432" s="712"/>
      <c r="X432" s="604"/>
      <c r="Y432" s="604"/>
      <c r="Z432" s="873"/>
      <c r="AA432" s="866"/>
      <c r="AB432" s="864"/>
      <c r="AC432" s="837"/>
      <c r="AD432" s="837"/>
      <c r="AE432" s="837"/>
      <c r="AF432" s="837"/>
      <c r="AG432" s="837"/>
      <c r="AH432" s="837"/>
      <c r="AI432" s="837"/>
      <c r="AJ432" s="874"/>
      <c r="AK432" s="837"/>
      <c r="AL432" s="837"/>
      <c r="AM432" s="837"/>
      <c r="AN432" s="837"/>
      <c r="AO432" s="837"/>
      <c r="AP432" s="837"/>
      <c r="AQ432" s="837"/>
      <c r="AR432" s="837"/>
      <c r="AS432" s="874"/>
      <c r="AT432" s="837"/>
      <c r="AU432" s="836"/>
      <c r="AV432" s="836"/>
      <c r="AW432" s="836"/>
      <c r="AX432" s="836"/>
      <c r="AY432" s="836"/>
    </row>
    <row r="433" spans="4:51" s="526" customFormat="1" x14ac:dyDescent="0.2">
      <c r="D433" s="708"/>
      <c r="E433" s="708"/>
      <c r="F433" s="708"/>
      <c r="G433" s="527"/>
      <c r="H433" s="709"/>
      <c r="I433" s="710"/>
      <c r="J433" s="710"/>
      <c r="K433" s="711"/>
      <c r="L433" s="711"/>
      <c r="M433" s="710"/>
      <c r="N433" s="711"/>
      <c r="O433" s="710"/>
      <c r="P433" s="527"/>
      <c r="Q433" s="527"/>
      <c r="R433" s="711"/>
      <c r="U433" s="712"/>
      <c r="V433" s="712"/>
      <c r="W433" s="712"/>
      <c r="X433" s="604"/>
      <c r="Y433" s="604"/>
      <c r="Z433" s="873"/>
      <c r="AA433" s="866"/>
      <c r="AB433" s="864"/>
      <c r="AC433" s="837"/>
      <c r="AD433" s="837"/>
      <c r="AE433" s="837"/>
      <c r="AF433" s="837"/>
      <c r="AG433" s="837"/>
      <c r="AH433" s="837"/>
      <c r="AI433" s="837"/>
      <c r="AJ433" s="874"/>
      <c r="AK433" s="837"/>
      <c r="AL433" s="837"/>
      <c r="AM433" s="837"/>
      <c r="AN433" s="837"/>
      <c r="AO433" s="837"/>
      <c r="AP433" s="837"/>
      <c r="AQ433" s="837"/>
      <c r="AR433" s="837"/>
      <c r="AS433" s="874"/>
      <c r="AT433" s="837"/>
      <c r="AU433" s="836"/>
      <c r="AV433" s="836"/>
      <c r="AW433" s="836"/>
      <c r="AX433" s="836"/>
      <c r="AY433" s="836"/>
    </row>
    <row r="434" spans="4:51" s="526" customFormat="1" x14ac:dyDescent="0.2">
      <c r="D434" s="708"/>
      <c r="E434" s="708"/>
      <c r="F434" s="708"/>
      <c r="G434" s="527"/>
      <c r="H434" s="709"/>
      <c r="I434" s="710"/>
      <c r="J434" s="710"/>
      <c r="K434" s="711"/>
      <c r="L434" s="711"/>
      <c r="M434" s="710"/>
      <c r="N434" s="711"/>
      <c r="O434" s="710"/>
      <c r="P434" s="527"/>
      <c r="Q434" s="527"/>
      <c r="R434" s="711"/>
      <c r="U434" s="712"/>
      <c r="V434" s="712"/>
      <c r="W434" s="712"/>
      <c r="X434" s="604"/>
      <c r="Y434" s="604"/>
      <c r="Z434" s="873"/>
      <c r="AA434" s="866"/>
      <c r="AB434" s="864"/>
      <c r="AC434" s="837"/>
      <c r="AD434" s="837"/>
      <c r="AE434" s="837"/>
      <c r="AF434" s="837"/>
      <c r="AG434" s="837"/>
      <c r="AH434" s="837"/>
      <c r="AI434" s="837"/>
      <c r="AJ434" s="874"/>
      <c r="AK434" s="837"/>
      <c r="AL434" s="837"/>
      <c r="AM434" s="837"/>
      <c r="AN434" s="837"/>
      <c r="AO434" s="837"/>
      <c r="AP434" s="837"/>
      <c r="AQ434" s="837"/>
      <c r="AR434" s="837"/>
      <c r="AS434" s="874"/>
      <c r="AT434" s="837"/>
      <c r="AU434" s="836"/>
      <c r="AV434" s="836"/>
      <c r="AW434" s="836"/>
      <c r="AX434" s="836"/>
      <c r="AY434" s="836"/>
    </row>
    <row r="435" spans="4:51" s="526" customFormat="1" x14ac:dyDescent="0.2">
      <c r="D435" s="708"/>
      <c r="E435" s="708"/>
      <c r="F435" s="708"/>
      <c r="G435" s="527"/>
      <c r="H435" s="709"/>
      <c r="I435" s="710"/>
      <c r="J435" s="710"/>
      <c r="K435" s="711"/>
      <c r="L435" s="711"/>
      <c r="M435" s="710"/>
      <c r="N435" s="711"/>
      <c r="O435" s="710"/>
      <c r="P435" s="527"/>
      <c r="Q435" s="527"/>
      <c r="R435" s="711"/>
      <c r="U435" s="712"/>
      <c r="V435" s="712"/>
      <c r="W435" s="712"/>
      <c r="X435" s="604"/>
      <c r="Y435" s="604"/>
      <c r="Z435" s="873"/>
      <c r="AA435" s="866"/>
      <c r="AB435" s="864"/>
      <c r="AC435" s="837"/>
      <c r="AD435" s="837"/>
      <c r="AE435" s="837"/>
      <c r="AF435" s="837"/>
      <c r="AG435" s="837"/>
      <c r="AH435" s="837"/>
      <c r="AI435" s="837"/>
      <c r="AJ435" s="874"/>
      <c r="AK435" s="837"/>
      <c r="AL435" s="837"/>
      <c r="AM435" s="837"/>
      <c r="AN435" s="837"/>
      <c r="AO435" s="837"/>
      <c r="AP435" s="837"/>
      <c r="AQ435" s="837"/>
      <c r="AR435" s="837"/>
      <c r="AS435" s="874"/>
      <c r="AT435" s="837"/>
      <c r="AU435" s="836"/>
      <c r="AV435" s="836"/>
      <c r="AW435" s="836"/>
      <c r="AX435" s="836"/>
      <c r="AY435" s="836"/>
    </row>
    <row r="436" spans="4:51" s="526" customFormat="1" x14ac:dyDescent="0.2">
      <c r="D436" s="708"/>
      <c r="E436" s="708"/>
      <c r="F436" s="708"/>
      <c r="G436" s="527"/>
      <c r="H436" s="709"/>
      <c r="I436" s="710"/>
      <c r="J436" s="710"/>
      <c r="K436" s="711"/>
      <c r="L436" s="711"/>
      <c r="M436" s="710"/>
      <c r="N436" s="711"/>
      <c r="O436" s="710"/>
      <c r="P436" s="527"/>
      <c r="Q436" s="527"/>
      <c r="R436" s="711"/>
      <c r="U436" s="712"/>
      <c r="V436" s="712"/>
      <c r="W436" s="712"/>
      <c r="X436" s="604"/>
      <c r="Y436" s="604"/>
      <c r="Z436" s="873"/>
      <c r="AA436" s="866"/>
      <c r="AB436" s="864"/>
      <c r="AC436" s="837"/>
      <c r="AD436" s="837"/>
      <c r="AE436" s="837"/>
      <c r="AF436" s="837"/>
      <c r="AG436" s="837"/>
      <c r="AH436" s="837"/>
      <c r="AI436" s="837"/>
      <c r="AJ436" s="874"/>
      <c r="AK436" s="837"/>
      <c r="AL436" s="837"/>
      <c r="AM436" s="837"/>
      <c r="AN436" s="837"/>
      <c r="AO436" s="837"/>
      <c r="AP436" s="837"/>
      <c r="AQ436" s="837"/>
      <c r="AR436" s="837"/>
      <c r="AS436" s="874"/>
      <c r="AT436" s="837"/>
      <c r="AU436" s="836"/>
      <c r="AV436" s="836"/>
      <c r="AW436" s="836"/>
      <c r="AX436" s="836"/>
      <c r="AY436" s="836"/>
    </row>
    <row r="437" spans="4:51" s="526" customFormat="1" x14ac:dyDescent="0.2">
      <c r="D437" s="708"/>
      <c r="E437" s="708"/>
      <c r="F437" s="708"/>
      <c r="G437" s="527"/>
      <c r="H437" s="709"/>
      <c r="I437" s="710"/>
      <c r="J437" s="710"/>
      <c r="K437" s="711"/>
      <c r="L437" s="711"/>
      <c r="M437" s="710"/>
      <c r="N437" s="711"/>
      <c r="O437" s="710"/>
      <c r="P437" s="527"/>
      <c r="Q437" s="527"/>
      <c r="R437" s="711"/>
      <c r="U437" s="712"/>
      <c r="V437" s="712"/>
      <c r="W437" s="712"/>
      <c r="X437" s="604"/>
      <c r="Y437" s="604"/>
      <c r="Z437" s="873"/>
      <c r="AA437" s="866"/>
      <c r="AB437" s="864"/>
      <c r="AC437" s="837"/>
      <c r="AD437" s="837"/>
      <c r="AE437" s="837"/>
      <c r="AF437" s="837"/>
      <c r="AG437" s="837"/>
      <c r="AH437" s="837"/>
      <c r="AI437" s="837"/>
      <c r="AJ437" s="874"/>
      <c r="AK437" s="837"/>
      <c r="AL437" s="837"/>
      <c r="AM437" s="837"/>
      <c r="AN437" s="837"/>
      <c r="AO437" s="837"/>
      <c r="AP437" s="837"/>
      <c r="AQ437" s="837"/>
      <c r="AR437" s="837"/>
      <c r="AS437" s="874"/>
      <c r="AT437" s="837"/>
      <c r="AU437" s="836"/>
      <c r="AV437" s="836"/>
      <c r="AW437" s="836"/>
      <c r="AX437" s="836"/>
      <c r="AY437" s="836"/>
    </row>
    <row r="438" spans="4:51" s="526" customFormat="1" x14ac:dyDescent="0.2">
      <c r="D438" s="708"/>
      <c r="E438" s="708"/>
      <c r="F438" s="708"/>
      <c r="G438" s="527"/>
      <c r="H438" s="709"/>
      <c r="I438" s="710"/>
      <c r="J438" s="710"/>
      <c r="K438" s="711"/>
      <c r="L438" s="711"/>
      <c r="M438" s="710"/>
      <c r="N438" s="711"/>
      <c r="O438" s="710"/>
      <c r="P438" s="527"/>
      <c r="Q438" s="527"/>
      <c r="R438" s="711"/>
      <c r="U438" s="712"/>
      <c r="V438" s="712"/>
      <c r="W438" s="712"/>
      <c r="X438" s="604"/>
      <c r="Y438" s="604"/>
      <c r="Z438" s="873"/>
      <c r="AA438" s="866"/>
      <c r="AB438" s="864"/>
      <c r="AC438" s="837"/>
      <c r="AD438" s="837"/>
      <c r="AE438" s="837"/>
      <c r="AF438" s="837"/>
      <c r="AG438" s="837"/>
      <c r="AH438" s="837"/>
      <c r="AI438" s="837"/>
      <c r="AJ438" s="874"/>
      <c r="AK438" s="837"/>
      <c r="AL438" s="837"/>
      <c r="AM438" s="837"/>
      <c r="AN438" s="837"/>
      <c r="AO438" s="837"/>
      <c r="AP438" s="837"/>
      <c r="AQ438" s="837"/>
      <c r="AR438" s="837"/>
      <c r="AS438" s="874"/>
      <c r="AT438" s="837"/>
      <c r="AU438" s="836"/>
      <c r="AV438" s="836"/>
      <c r="AW438" s="836"/>
      <c r="AX438" s="836"/>
      <c r="AY438" s="836"/>
    </row>
    <row r="439" spans="4:51" s="526" customFormat="1" x14ac:dyDescent="0.2">
      <c r="D439" s="708"/>
      <c r="E439" s="708"/>
      <c r="F439" s="708"/>
      <c r="G439" s="527"/>
      <c r="H439" s="709"/>
      <c r="I439" s="710"/>
      <c r="J439" s="710"/>
      <c r="K439" s="711"/>
      <c r="L439" s="711"/>
      <c r="M439" s="710"/>
      <c r="N439" s="711"/>
      <c r="O439" s="710"/>
      <c r="P439" s="527"/>
      <c r="Q439" s="527"/>
      <c r="R439" s="711"/>
      <c r="U439" s="712"/>
      <c r="V439" s="712"/>
      <c r="W439" s="712"/>
      <c r="X439" s="604"/>
      <c r="Y439" s="604"/>
      <c r="Z439" s="873"/>
      <c r="AA439" s="866"/>
      <c r="AB439" s="864"/>
      <c r="AC439" s="837"/>
      <c r="AD439" s="837"/>
      <c r="AE439" s="837"/>
      <c r="AF439" s="837"/>
      <c r="AG439" s="837"/>
      <c r="AH439" s="837"/>
      <c r="AI439" s="837"/>
      <c r="AJ439" s="874"/>
      <c r="AK439" s="837"/>
      <c r="AL439" s="837"/>
      <c r="AM439" s="837"/>
      <c r="AN439" s="837"/>
      <c r="AO439" s="837"/>
      <c r="AP439" s="837"/>
      <c r="AQ439" s="837"/>
      <c r="AR439" s="837"/>
      <c r="AS439" s="874"/>
      <c r="AT439" s="837"/>
      <c r="AU439" s="836"/>
      <c r="AV439" s="836"/>
      <c r="AW439" s="836"/>
      <c r="AX439" s="836"/>
      <c r="AY439" s="836"/>
    </row>
    <row r="440" spans="4:51" s="526" customFormat="1" x14ac:dyDescent="0.2">
      <c r="D440" s="708"/>
      <c r="E440" s="708"/>
      <c r="F440" s="708"/>
      <c r="G440" s="527"/>
      <c r="H440" s="709"/>
      <c r="I440" s="710"/>
      <c r="J440" s="710"/>
      <c r="K440" s="711"/>
      <c r="L440" s="711"/>
      <c r="M440" s="710"/>
      <c r="N440" s="711"/>
      <c r="O440" s="710"/>
      <c r="P440" s="527"/>
      <c r="Q440" s="527"/>
      <c r="R440" s="711"/>
      <c r="U440" s="712"/>
      <c r="V440" s="712"/>
      <c r="W440" s="712"/>
      <c r="X440" s="604"/>
      <c r="Y440" s="604"/>
      <c r="Z440" s="873"/>
      <c r="AA440" s="866"/>
      <c r="AB440" s="864"/>
      <c r="AC440" s="837"/>
      <c r="AD440" s="837"/>
      <c r="AE440" s="837"/>
      <c r="AF440" s="837"/>
      <c r="AG440" s="837"/>
      <c r="AH440" s="837"/>
      <c r="AI440" s="837"/>
      <c r="AJ440" s="874"/>
      <c r="AK440" s="837"/>
      <c r="AL440" s="837"/>
      <c r="AM440" s="837"/>
      <c r="AN440" s="837"/>
      <c r="AO440" s="837"/>
      <c r="AP440" s="837"/>
      <c r="AQ440" s="837"/>
      <c r="AR440" s="837"/>
      <c r="AS440" s="874"/>
      <c r="AT440" s="837"/>
      <c r="AU440" s="836"/>
      <c r="AV440" s="836"/>
      <c r="AW440" s="836"/>
      <c r="AX440" s="836"/>
      <c r="AY440" s="836"/>
    </row>
    <row r="441" spans="4:51" s="526" customFormat="1" x14ac:dyDescent="0.2">
      <c r="D441" s="708"/>
      <c r="E441" s="708"/>
      <c r="F441" s="708"/>
      <c r="G441" s="527"/>
      <c r="H441" s="709"/>
      <c r="I441" s="710"/>
      <c r="J441" s="710"/>
      <c r="K441" s="711"/>
      <c r="L441" s="711"/>
      <c r="M441" s="710"/>
      <c r="N441" s="711"/>
      <c r="O441" s="710"/>
      <c r="P441" s="527"/>
      <c r="Q441" s="527"/>
      <c r="R441" s="711"/>
      <c r="U441" s="712"/>
      <c r="V441" s="712"/>
      <c r="W441" s="712"/>
      <c r="X441" s="604"/>
      <c r="Y441" s="604"/>
      <c r="Z441" s="873"/>
      <c r="AA441" s="866"/>
      <c r="AB441" s="864"/>
      <c r="AC441" s="837"/>
      <c r="AD441" s="837"/>
      <c r="AE441" s="837"/>
      <c r="AF441" s="837"/>
      <c r="AG441" s="837"/>
      <c r="AH441" s="837"/>
      <c r="AI441" s="837"/>
      <c r="AJ441" s="874"/>
      <c r="AK441" s="837"/>
      <c r="AL441" s="837"/>
      <c r="AM441" s="837"/>
      <c r="AN441" s="837"/>
      <c r="AO441" s="837"/>
      <c r="AP441" s="837"/>
      <c r="AQ441" s="837"/>
      <c r="AR441" s="837"/>
      <c r="AS441" s="874"/>
      <c r="AT441" s="837"/>
      <c r="AU441" s="836"/>
      <c r="AV441" s="836"/>
      <c r="AW441" s="836"/>
      <c r="AX441" s="836"/>
      <c r="AY441" s="836"/>
    </row>
    <row r="442" spans="4:51" s="526" customFormat="1" x14ac:dyDescent="0.2">
      <c r="D442" s="708"/>
      <c r="E442" s="708"/>
      <c r="F442" s="708"/>
      <c r="G442" s="527"/>
      <c r="H442" s="709"/>
      <c r="I442" s="710"/>
      <c r="J442" s="710"/>
      <c r="K442" s="711"/>
      <c r="L442" s="711"/>
      <c r="M442" s="710"/>
      <c r="N442" s="711"/>
      <c r="O442" s="710"/>
      <c r="P442" s="527"/>
      <c r="Q442" s="527"/>
      <c r="R442" s="711"/>
      <c r="U442" s="712"/>
      <c r="V442" s="712"/>
      <c r="W442" s="712"/>
      <c r="X442" s="604"/>
      <c r="Y442" s="604"/>
      <c r="Z442" s="873"/>
      <c r="AA442" s="866"/>
      <c r="AB442" s="864"/>
      <c r="AC442" s="837"/>
      <c r="AD442" s="837"/>
      <c r="AE442" s="837"/>
      <c r="AF442" s="837"/>
      <c r="AG442" s="837"/>
      <c r="AH442" s="837"/>
      <c r="AI442" s="837"/>
      <c r="AJ442" s="874"/>
      <c r="AK442" s="837"/>
      <c r="AL442" s="837"/>
      <c r="AM442" s="837"/>
      <c r="AN442" s="837"/>
      <c r="AO442" s="837"/>
      <c r="AP442" s="837"/>
      <c r="AQ442" s="837"/>
      <c r="AR442" s="837"/>
      <c r="AS442" s="874"/>
      <c r="AT442" s="837"/>
      <c r="AU442" s="836"/>
      <c r="AV442" s="836"/>
      <c r="AW442" s="836"/>
      <c r="AX442" s="836"/>
      <c r="AY442" s="836"/>
    </row>
    <row r="443" spans="4:51" s="526" customFormat="1" x14ac:dyDescent="0.2">
      <c r="D443" s="708"/>
      <c r="E443" s="708"/>
      <c r="F443" s="708"/>
      <c r="G443" s="527"/>
      <c r="H443" s="709"/>
      <c r="I443" s="710"/>
      <c r="J443" s="710"/>
      <c r="K443" s="711"/>
      <c r="L443" s="711"/>
      <c r="M443" s="710"/>
      <c r="N443" s="711"/>
      <c r="O443" s="710"/>
      <c r="P443" s="527"/>
      <c r="Q443" s="527"/>
      <c r="R443" s="711"/>
      <c r="U443" s="712"/>
      <c r="V443" s="712"/>
      <c r="W443" s="712"/>
      <c r="X443" s="604"/>
      <c r="Y443" s="604"/>
      <c r="Z443" s="873"/>
      <c r="AA443" s="866"/>
      <c r="AB443" s="864"/>
      <c r="AC443" s="837"/>
      <c r="AD443" s="837"/>
      <c r="AE443" s="837"/>
      <c r="AF443" s="837"/>
      <c r="AG443" s="837"/>
      <c r="AH443" s="837"/>
      <c r="AI443" s="837"/>
      <c r="AJ443" s="874"/>
      <c r="AK443" s="837"/>
      <c r="AL443" s="837"/>
      <c r="AM443" s="837"/>
      <c r="AN443" s="837"/>
      <c r="AO443" s="837"/>
      <c r="AP443" s="837"/>
      <c r="AQ443" s="837"/>
      <c r="AR443" s="837"/>
      <c r="AS443" s="874"/>
      <c r="AT443" s="837"/>
      <c r="AU443" s="836"/>
      <c r="AV443" s="836"/>
      <c r="AW443" s="836"/>
      <c r="AX443" s="836"/>
      <c r="AY443" s="836"/>
    </row>
    <row r="444" spans="4:51" s="526" customFormat="1" x14ac:dyDescent="0.2">
      <c r="D444" s="708"/>
      <c r="E444" s="708"/>
      <c r="F444" s="708"/>
      <c r="G444" s="527"/>
      <c r="H444" s="709"/>
      <c r="I444" s="710"/>
      <c r="J444" s="710"/>
      <c r="K444" s="711"/>
      <c r="L444" s="711"/>
      <c r="M444" s="710"/>
      <c r="N444" s="711"/>
      <c r="O444" s="710"/>
      <c r="P444" s="527"/>
      <c r="Q444" s="527"/>
      <c r="R444" s="711"/>
      <c r="U444" s="712"/>
      <c r="V444" s="712"/>
      <c r="W444" s="712"/>
      <c r="X444" s="604"/>
      <c r="Y444" s="604"/>
      <c r="Z444" s="873"/>
      <c r="AA444" s="866"/>
      <c r="AB444" s="864"/>
      <c r="AC444" s="837"/>
      <c r="AD444" s="837"/>
      <c r="AE444" s="837"/>
      <c r="AF444" s="837"/>
      <c r="AG444" s="837"/>
      <c r="AH444" s="837"/>
      <c r="AI444" s="837"/>
      <c r="AJ444" s="874"/>
      <c r="AK444" s="837"/>
      <c r="AL444" s="837"/>
      <c r="AM444" s="837"/>
      <c r="AN444" s="837"/>
      <c r="AO444" s="837"/>
      <c r="AP444" s="837"/>
      <c r="AQ444" s="837"/>
      <c r="AR444" s="837"/>
      <c r="AS444" s="874"/>
      <c r="AT444" s="837"/>
      <c r="AU444" s="836"/>
      <c r="AV444" s="836"/>
      <c r="AW444" s="836"/>
      <c r="AX444" s="836"/>
      <c r="AY444" s="836"/>
    </row>
    <row r="445" spans="4:51" s="526" customFormat="1" x14ac:dyDescent="0.2">
      <c r="D445" s="708"/>
      <c r="E445" s="708"/>
      <c r="F445" s="708"/>
      <c r="G445" s="527"/>
      <c r="H445" s="709"/>
      <c r="I445" s="710"/>
      <c r="J445" s="710"/>
      <c r="K445" s="711"/>
      <c r="L445" s="711"/>
      <c r="M445" s="710"/>
      <c r="N445" s="711"/>
      <c r="O445" s="710"/>
      <c r="P445" s="527"/>
      <c r="Q445" s="527"/>
      <c r="R445" s="711"/>
      <c r="U445" s="712"/>
      <c r="V445" s="712"/>
      <c r="W445" s="712"/>
      <c r="X445" s="604"/>
      <c r="Y445" s="604"/>
      <c r="Z445" s="873"/>
      <c r="AA445" s="866"/>
      <c r="AB445" s="864"/>
      <c r="AC445" s="837"/>
      <c r="AD445" s="837"/>
      <c r="AE445" s="837"/>
      <c r="AF445" s="837"/>
      <c r="AG445" s="837"/>
      <c r="AH445" s="837"/>
      <c r="AI445" s="837"/>
      <c r="AJ445" s="874"/>
      <c r="AK445" s="837"/>
      <c r="AL445" s="837"/>
      <c r="AM445" s="837"/>
      <c r="AN445" s="837"/>
      <c r="AO445" s="837"/>
      <c r="AP445" s="837"/>
      <c r="AQ445" s="837"/>
      <c r="AR445" s="837"/>
      <c r="AS445" s="874"/>
      <c r="AT445" s="837"/>
      <c r="AU445" s="836"/>
      <c r="AV445" s="836"/>
      <c r="AW445" s="836"/>
      <c r="AX445" s="836"/>
      <c r="AY445" s="836"/>
    </row>
    <row r="446" spans="4:51" s="526" customFormat="1" x14ac:dyDescent="0.2">
      <c r="D446" s="708"/>
      <c r="E446" s="708"/>
      <c r="F446" s="708"/>
      <c r="G446" s="527"/>
      <c r="H446" s="709"/>
      <c r="I446" s="710"/>
      <c r="J446" s="710"/>
      <c r="K446" s="711"/>
      <c r="L446" s="711"/>
      <c r="M446" s="710"/>
      <c r="N446" s="711"/>
      <c r="O446" s="710"/>
      <c r="P446" s="527"/>
      <c r="Q446" s="527"/>
      <c r="R446" s="711"/>
      <c r="U446" s="712"/>
      <c r="V446" s="712"/>
      <c r="W446" s="712"/>
      <c r="X446" s="604"/>
      <c r="Y446" s="604"/>
      <c r="Z446" s="873"/>
      <c r="AA446" s="866"/>
      <c r="AB446" s="864"/>
      <c r="AC446" s="837"/>
      <c r="AD446" s="837"/>
      <c r="AE446" s="837"/>
      <c r="AF446" s="837"/>
      <c r="AG446" s="837"/>
      <c r="AH446" s="837"/>
      <c r="AI446" s="837"/>
      <c r="AJ446" s="874"/>
      <c r="AK446" s="837"/>
      <c r="AL446" s="837"/>
      <c r="AM446" s="837"/>
      <c r="AN446" s="837"/>
      <c r="AO446" s="837"/>
      <c r="AP446" s="837"/>
      <c r="AQ446" s="837"/>
      <c r="AR446" s="837"/>
      <c r="AS446" s="874"/>
      <c r="AT446" s="837"/>
      <c r="AU446" s="836"/>
      <c r="AV446" s="836"/>
      <c r="AW446" s="836"/>
      <c r="AX446" s="836"/>
      <c r="AY446" s="836"/>
    </row>
    <row r="447" spans="4:51" s="526" customFormat="1" x14ac:dyDescent="0.2">
      <c r="D447" s="708"/>
      <c r="E447" s="708"/>
      <c r="F447" s="708"/>
      <c r="G447" s="527"/>
      <c r="H447" s="709"/>
      <c r="I447" s="710"/>
      <c r="J447" s="710"/>
      <c r="K447" s="711"/>
      <c r="L447" s="711"/>
      <c r="M447" s="710"/>
      <c r="N447" s="711"/>
      <c r="O447" s="710"/>
      <c r="P447" s="527"/>
      <c r="Q447" s="527"/>
      <c r="R447" s="711"/>
      <c r="U447" s="712"/>
      <c r="V447" s="712"/>
      <c r="W447" s="712"/>
      <c r="X447" s="604"/>
      <c r="Y447" s="604"/>
      <c r="Z447" s="873"/>
      <c r="AA447" s="866"/>
      <c r="AB447" s="864"/>
      <c r="AC447" s="837"/>
      <c r="AD447" s="837"/>
      <c r="AE447" s="837"/>
      <c r="AF447" s="837"/>
      <c r="AG447" s="837"/>
      <c r="AH447" s="837"/>
      <c r="AI447" s="837"/>
      <c r="AJ447" s="874"/>
      <c r="AK447" s="837"/>
      <c r="AL447" s="837"/>
      <c r="AM447" s="837"/>
      <c r="AN447" s="837"/>
      <c r="AO447" s="837"/>
      <c r="AP447" s="837"/>
      <c r="AQ447" s="837"/>
      <c r="AR447" s="837"/>
      <c r="AS447" s="874"/>
      <c r="AT447" s="837"/>
      <c r="AU447" s="836"/>
      <c r="AV447" s="836"/>
      <c r="AW447" s="836"/>
      <c r="AX447" s="836"/>
      <c r="AY447" s="836"/>
    </row>
    <row r="448" spans="4:51" s="526" customFormat="1" x14ac:dyDescent="0.2">
      <c r="D448" s="708"/>
      <c r="E448" s="708"/>
      <c r="F448" s="708"/>
      <c r="G448" s="527"/>
      <c r="H448" s="709"/>
      <c r="I448" s="710"/>
      <c r="J448" s="710"/>
      <c r="K448" s="711"/>
      <c r="L448" s="711"/>
      <c r="M448" s="710"/>
      <c r="N448" s="711"/>
      <c r="O448" s="710"/>
      <c r="P448" s="527"/>
      <c r="Q448" s="527"/>
      <c r="R448" s="711"/>
      <c r="U448" s="712"/>
      <c r="V448" s="712"/>
      <c r="W448" s="712"/>
      <c r="X448" s="604"/>
      <c r="Y448" s="604"/>
      <c r="Z448" s="873"/>
      <c r="AA448" s="866"/>
      <c r="AB448" s="864"/>
      <c r="AC448" s="837"/>
      <c r="AD448" s="837"/>
      <c r="AE448" s="837"/>
      <c r="AF448" s="837"/>
      <c r="AG448" s="837"/>
      <c r="AH448" s="837"/>
      <c r="AI448" s="837"/>
      <c r="AJ448" s="874"/>
      <c r="AK448" s="837"/>
      <c r="AL448" s="837"/>
      <c r="AM448" s="837"/>
      <c r="AN448" s="837"/>
      <c r="AO448" s="837"/>
      <c r="AP448" s="837"/>
      <c r="AQ448" s="837"/>
      <c r="AR448" s="837"/>
      <c r="AS448" s="874"/>
      <c r="AT448" s="837"/>
      <c r="AU448" s="836"/>
      <c r="AV448" s="836"/>
      <c r="AW448" s="836"/>
      <c r="AX448" s="836"/>
      <c r="AY448" s="836"/>
    </row>
    <row r="449" spans="4:51" s="526" customFormat="1" x14ac:dyDescent="0.2">
      <c r="D449" s="708"/>
      <c r="E449" s="708"/>
      <c r="F449" s="708"/>
      <c r="G449" s="527"/>
      <c r="H449" s="709"/>
      <c r="I449" s="710"/>
      <c r="J449" s="710"/>
      <c r="K449" s="711"/>
      <c r="L449" s="711"/>
      <c r="M449" s="710"/>
      <c r="N449" s="711"/>
      <c r="O449" s="710"/>
      <c r="P449" s="527"/>
      <c r="Q449" s="527"/>
      <c r="R449" s="711"/>
      <c r="U449" s="712"/>
      <c r="V449" s="712"/>
      <c r="W449" s="712"/>
      <c r="X449" s="604"/>
      <c r="Y449" s="604"/>
      <c r="Z449" s="873"/>
      <c r="AA449" s="866"/>
      <c r="AB449" s="864"/>
      <c r="AC449" s="837"/>
      <c r="AD449" s="837"/>
      <c r="AE449" s="837"/>
      <c r="AF449" s="837"/>
      <c r="AG449" s="837"/>
      <c r="AH449" s="837"/>
      <c r="AI449" s="837"/>
      <c r="AJ449" s="874"/>
      <c r="AK449" s="837"/>
      <c r="AL449" s="837"/>
      <c r="AM449" s="837"/>
      <c r="AN449" s="837"/>
      <c r="AO449" s="837"/>
      <c r="AP449" s="837"/>
      <c r="AQ449" s="837"/>
      <c r="AR449" s="837"/>
      <c r="AS449" s="874"/>
      <c r="AT449" s="837"/>
      <c r="AU449" s="836"/>
      <c r="AV449" s="836"/>
      <c r="AW449" s="836"/>
      <c r="AX449" s="836"/>
      <c r="AY449" s="836"/>
    </row>
    <row r="450" spans="4:51" s="526" customFormat="1" x14ac:dyDescent="0.2">
      <c r="D450" s="708"/>
      <c r="E450" s="708"/>
      <c r="F450" s="708"/>
      <c r="G450" s="527"/>
      <c r="H450" s="709"/>
      <c r="I450" s="710"/>
      <c r="J450" s="710"/>
      <c r="K450" s="711"/>
      <c r="L450" s="711"/>
      <c r="M450" s="710"/>
      <c r="N450" s="711"/>
      <c r="O450" s="710"/>
      <c r="P450" s="527"/>
      <c r="Q450" s="527"/>
      <c r="R450" s="711"/>
      <c r="U450" s="712"/>
      <c r="V450" s="712"/>
      <c r="W450" s="712"/>
      <c r="X450" s="604"/>
      <c r="Y450" s="604"/>
      <c r="Z450" s="873"/>
      <c r="AA450" s="866"/>
      <c r="AB450" s="864"/>
      <c r="AC450" s="837"/>
      <c r="AD450" s="837"/>
      <c r="AE450" s="837"/>
      <c r="AF450" s="837"/>
      <c r="AG450" s="837"/>
      <c r="AH450" s="837"/>
      <c r="AI450" s="837"/>
      <c r="AJ450" s="874"/>
      <c r="AK450" s="837"/>
      <c r="AL450" s="837"/>
      <c r="AM450" s="837"/>
      <c r="AN450" s="837"/>
      <c r="AO450" s="837"/>
      <c r="AP450" s="837"/>
      <c r="AQ450" s="837"/>
      <c r="AR450" s="837"/>
      <c r="AS450" s="874"/>
      <c r="AT450" s="837"/>
      <c r="AU450" s="836"/>
      <c r="AV450" s="836"/>
      <c r="AW450" s="836"/>
      <c r="AX450" s="836"/>
      <c r="AY450" s="836"/>
    </row>
    <row r="451" spans="4:51" s="526" customFormat="1" x14ac:dyDescent="0.2">
      <c r="D451" s="708"/>
      <c r="E451" s="708"/>
      <c r="F451" s="708"/>
      <c r="G451" s="527"/>
      <c r="H451" s="709"/>
      <c r="I451" s="710"/>
      <c r="J451" s="710"/>
      <c r="K451" s="711"/>
      <c r="L451" s="711"/>
      <c r="M451" s="710"/>
      <c r="N451" s="711"/>
      <c r="O451" s="710"/>
      <c r="P451" s="527"/>
      <c r="Q451" s="527"/>
      <c r="R451" s="711"/>
      <c r="U451" s="712"/>
      <c r="V451" s="712"/>
      <c r="W451" s="712"/>
      <c r="X451" s="604"/>
      <c r="Y451" s="604"/>
      <c r="Z451" s="873"/>
      <c r="AA451" s="866"/>
      <c r="AB451" s="864"/>
      <c r="AC451" s="837"/>
      <c r="AD451" s="837"/>
      <c r="AE451" s="837"/>
      <c r="AF451" s="837"/>
      <c r="AG451" s="837"/>
      <c r="AH451" s="837"/>
      <c r="AI451" s="837"/>
      <c r="AJ451" s="874"/>
      <c r="AK451" s="837"/>
      <c r="AL451" s="837"/>
      <c r="AM451" s="837"/>
      <c r="AN451" s="837"/>
      <c r="AO451" s="837"/>
      <c r="AP451" s="837"/>
      <c r="AQ451" s="837"/>
      <c r="AR451" s="837"/>
      <c r="AS451" s="874"/>
      <c r="AT451" s="837"/>
      <c r="AU451" s="836"/>
      <c r="AV451" s="836"/>
      <c r="AW451" s="836"/>
      <c r="AX451" s="836"/>
      <c r="AY451" s="836"/>
    </row>
    <row r="452" spans="4:51" s="526" customFormat="1" x14ac:dyDescent="0.2">
      <c r="D452" s="708"/>
      <c r="E452" s="708"/>
      <c r="F452" s="708"/>
      <c r="G452" s="527"/>
      <c r="H452" s="709"/>
      <c r="I452" s="710"/>
      <c r="J452" s="710"/>
      <c r="K452" s="711"/>
      <c r="L452" s="711"/>
      <c r="M452" s="710"/>
      <c r="N452" s="711"/>
      <c r="O452" s="710"/>
      <c r="P452" s="527"/>
      <c r="Q452" s="527"/>
      <c r="R452" s="711"/>
      <c r="U452" s="712"/>
      <c r="V452" s="712"/>
      <c r="W452" s="712"/>
      <c r="X452" s="604"/>
      <c r="Y452" s="604"/>
      <c r="Z452" s="873"/>
      <c r="AA452" s="866"/>
      <c r="AB452" s="864"/>
      <c r="AC452" s="837"/>
      <c r="AD452" s="837"/>
      <c r="AE452" s="837"/>
      <c r="AF452" s="837"/>
      <c r="AG452" s="837"/>
      <c r="AH452" s="837"/>
      <c r="AI452" s="837"/>
      <c r="AJ452" s="874"/>
      <c r="AK452" s="837"/>
      <c r="AL452" s="837"/>
      <c r="AM452" s="837"/>
      <c r="AN452" s="837"/>
      <c r="AO452" s="837"/>
      <c r="AP452" s="837"/>
      <c r="AQ452" s="837"/>
      <c r="AR452" s="837"/>
      <c r="AS452" s="874"/>
      <c r="AT452" s="837"/>
      <c r="AU452" s="836"/>
      <c r="AV452" s="836"/>
      <c r="AW452" s="836"/>
      <c r="AX452" s="836"/>
      <c r="AY452" s="836"/>
    </row>
    <row r="453" spans="4:51" s="526" customFormat="1" x14ac:dyDescent="0.2">
      <c r="D453" s="708"/>
      <c r="E453" s="708"/>
      <c r="F453" s="708"/>
      <c r="G453" s="527"/>
      <c r="H453" s="709"/>
      <c r="I453" s="710"/>
      <c r="J453" s="710"/>
      <c r="K453" s="711"/>
      <c r="L453" s="711"/>
      <c r="M453" s="710"/>
      <c r="N453" s="711"/>
      <c r="O453" s="710"/>
      <c r="P453" s="527"/>
      <c r="Q453" s="527"/>
      <c r="R453" s="711"/>
      <c r="U453" s="712"/>
      <c r="V453" s="712"/>
      <c r="W453" s="712"/>
      <c r="X453" s="604"/>
      <c r="Y453" s="604"/>
      <c r="Z453" s="873"/>
      <c r="AA453" s="866"/>
      <c r="AB453" s="864"/>
      <c r="AC453" s="837"/>
      <c r="AD453" s="837"/>
      <c r="AE453" s="837"/>
      <c r="AF453" s="837"/>
      <c r="AG453" s="837"/>
      <c r="AH453" s="837"/>
      <c r="AI453" s="837"/>
      <c r="AJ453" s="874"/>
      <c r="AK453" s="837"/>
      <c r="AL453" s="837"/>
      <c r="AM453" s="837"/>
      <c r="AN453" s="837"/>
      <c r="AO453" s="837"/>
      <c r="AP453" s="837"/>
      <c r="AQ453" s="837"/>
      <c r="AR453" s="837"/>
      <c r="AS453" s="874"/>
      <c r="AT453" s="837"/>
      <c r="AU453" s="836"/>
      <c r="AV453" s="836"/>
      <c r="AW453" s="836"/>
      <c r="AX453" s="836"/>
      <c r="AY453" s="836"/>
    </row>
    <row r="454" spans="4:51" s="526" customFormat="1" x14ac:dyDescent="0.2">
      <c r="D454" s="708"/>
      <c r="E454" s="708"/>
      <c r="F454" s="708"/>
      <c r="G454" s="527"/>
      <c r="H454" s="709"/>
      <c r="I454" s="710"/>
      <c r="J454" s="710"/>
      <c r="K454" s="711"/>
      <c r="L454" s="711"/>
      <c r="M454" s="710"/>
      <c r="N454" s="711"/>
      <c r="O454" s="710"/>
      <c r="P454" s="527"/>
      <c r="Q454" s="527"/>
      <c r="R454" s="711"/>
      <c r="U454" s="712"/>
      <c r="V454" s="712"/>
      <c r="W454" s="712"/>
      <c r="X454" s="604"/>
      <c r="Y454" s="604"/>
      <c r="Z454" s="873"/>
      <c r="AA454" s="866"/>
      <c r="AB454" s="864"/>
      <c r="AC454" s="837"/>
      <c r="AD454" s="837"/>
      <c r="AE454" s="837"/>
      <c r="AF454" s="837"/>
      <c r="AG454" s="837"/>
      <c r="AH454" s="837"/>
      <c r="AI454" s="837"/>
      <c r="AJ454" s="874"/>
      <c r="AK454" s="837"/>
      <c r="AL454" s="837"/>
      <c r="AM454" s="837"/>
      <c r="AN454" s="837"/>
      <c r="AO454" s="837"/>
      <c r="AP454" s="837"/>
      <c r="AQ454" s="837"/>
      <c r="AR454" s="837"/>
      <c r="AS454" s="874"/>
      <c r="AT454" s="837"/>
      <c r="AU454" s="836"/>
      <c r="AV454" s="836"/>
      <c r="AW454" s="836"/>
      <c r="AX454" s="836"/>
      <c r="AY454" s="836"/>
    </row>
    <row r="455" spans="4:51" s="526" customFormat="1" x14ac:dyDescent="0.2">
      <c r="D455" s="708"/>
      <c r="E455" s="708"/>
      <c r="F455" s="708"/>
      <c r="G455" s="527"/>
      <c r="H455" s="709"/>
      <c r="I455" s="710"/>
      <c r="J455" s="710"/>
      <c r="K455" s="711"/>
      <c r="L455" s="711"/>
      <c r="M455" s="710"/>
      <c r="N455" s="711"/>
      <c r="O455" s="710"/>
      <c r="P455" s="527"/>
      <c r="Q455" s="527"/>
      <c r="R455" s="711"/>
      <c r="U455" s="712"/>
      <c r="V455" s="712"/>
      <c r="W455" s="712"/>
      <c r="X455" s="604"/>
      <c r="Y455" s="604"/>
      <c r="Z455" s="873"/>
      <c r="AA455" s="866"/>
      <c r="AB455" s="864"/>
      <c r="AC455" s="837"/>
      <c r="AD455" s="837"/>
      <c r="AE455" s="837"/>
      <c r="AF455" s="837"/>
      <c r="AG455" s="837"/>
      <c r="AH455" s="837"/>
      <c r="AI455" s="837"/>
      <c r="AJ455" s="874"/>
      <c r="AK455" s="837"/>
      <c r="AL455" s="837"/>
      <c r="AM455" s="837"/>
      <c r="AN455" s="837"/>
      <c r="AO455" s="837"/>
      <c r="AP455" s="837"/>
      <c r="AQ455" s="837"/>
      <c r="AR455" s="837"/>
      <c r="AS455" s="874"/>
      <c r="AT455" s="837"/>
      <c r="AU455" s="836"/>
      <c r="AV455" s="836"/>
      <c r="AW455" s="836"/>
      <c r="AX455" s="836"/>
      <c r="AY455" s="836"/>
    </row>
    <row r="456" spans="4:51" s="526" customFormat="1" x14ac:dyDescent="0.2">
      <c r="D456" s="708"/>
      <c r="E456" s="708"/>
      <c r="F456" s="708"/>
      <c r="G456" s="527"/>
      <c r="H456" s="709"/>
      <c r="I456" s="710"/>
      <c r="J456" s="710"/>
      <c r="K456" s="711"/>
      <c r="L456" s="711"/>
      <c r="M456" s="710"/>
      <c r="N456" s="711"/>
      <c r="O456" s="710"/>
      <c r="P456" s="527"/>
      <c r="Q456" s="527"/>
      <c r="R456" s="711"/>
      <c r="U456" s="712"/>
      <c r="V456" s="712"/>
      <c r="W456" s="712"/>
      <c r="X456" s="604"/>
      <c r="Y456" s="604"/>
      <c r="Z456" s="873"/>
      <c r="AA456" s="866"/>
      <c r="AB456" s="864"/>
      <c r="AC456" s="837"/>
      <c r="AD456" s="837"/>
      <c r="AE456" s="837"/>
      <c r="AF456" s="837"/>
      <c r="AG456" s="837"/>
      <c r="AH456" s="837"/>
      <c r="AI456" s="837"/>
      <c r="AJ456" s="874"/>
      <c r="AK456" s="837"/>
      <c r="AL456" s="837"/>
      <c r="AM456" s="837"/>
      <c r="AN456" s="837"/>
      <c r="AO456" s="837"/>
      <c r="AP456" s="837"/>
      <c r="AQ456" s="837"/>
      <c r="AR456" s="837"/>
      <c r="AS456" s="874"/>
      <c r="AT456" s="837"/>
      <c r="AU456" s="836"/>
      <c r="AV456" s="836"/>
      <c r="AW456" s="836"/>
      <c r="AX456" s="836"/>
      <c r="AY456" s="836"/>
    </row>
    <row r="457" spans="4:51" s="526" customFormat="1" x14ac:dyDescent="0.2">
      <c r="D457" s="708"/>
      <c r="E457" s="708"/>
      <c r="F457" s="708"/>
      <c r="G457" s="527"/>
      <c r="H457" s="709"/>
      <c r="I457" s="710"/>
      <c r="J457" s="710"/>
      <c r="K457" s="711"/>
      <c r="L457" s="711"/>
      <c r="M457" s="710"/>
      <c r="N457" s="711"/>
      <c r="O457" s="710"/>
      <c r="P457" s="527"/>
      <c r="Q457" s="527"/>
      <c r="R457" s="711"/>
      <c r="U457" s="712"/>
      <c r="V457" s="712"/>
      <c r="W457" s="712"/>
      <c r="X457" s="604"/>
      <c r="Y457" s="604"/>
      <c r="Z457" s="873"/>
      <c r="AA457" s="866"/>
      <c r="AB457" s="864"/>
      <c r="AC457" s="837"/>
      <c r="AD457" s="837"/>
      <c r="AE457" s="837"/>
      <c r="AF457" s="837"/>
      <c r="AG457" s="837"/>
      <c r="AH457" s="837"/>
      <c r="AI457" s="837"/>
      <c r="AJ457" s="874"/>
      <c r="AK457" s="837"/>
      <c r="AL457" s="837"/>
      <c r="AM457" s="837"/>
      <c r="AN457" s="837"/>
      <c r="AO457" s="837"/>
      <c r="AP457" s="837"/>
      <c r="AQ457" s="837"/>
      <c r="AR457" s="837"/>
      <c r="AS457" s="874"/>
      <c r="AT457" s="837"/>
      <c r="AU457" s="836"/>
      <c r="AV457" s="836"/>
      <c r="AW457" s="836"/>
      <c r="AX457" s="836"/>
      <c r="AY457" s="836"/>
    </row>
    <row r="458" spans="4:51" s="526" customFormat="1" x14ac:dyDescent="0.2">
      <c r="D458" s="708"/>
      <c r="E458" s="708"/>
      <c r="F458" s="708"/>
      <c r="G458" s="527"/>
      <c r="H458" s="709"/>
      <c r="I458" s="710"/>
      <c r="J458" s="710"/>
      <c r="K458" s="711"/>
      <c r="L458" s="711"/>
      <c r="M458" s="710"/>
      <c r="N458" s="711"/>
      <c r="O458" s="710"/>
      <c r="P458" s="527"/>
      <c r="Q458" s="527"/>
      <c r="R458" s="711"/>
      <c r="U458" s="712"/>
      <c r="V458" s="712"/>
      <c r="W458" s="712"/>
      <c r="X458" s="604"/>
      <c r="Y458" s="604"/>
      <c r="Z458" s="873"/>
      <c r="AA458" s="866"/>
      <c r="AB458" s="864"/>
      <c r="AC458" s="837"/>
      <c r="AD458" s="837"/>
      <c r="AE458" s="837"/>
      <c r="AF458" s="837"/>
      <c r="AG458" s="837"/>
      <c r="AH458" s="837"/>
      <c r="AI458" s="837"/>
      <c r="AJ458" s="874"/>
      <c r="AK458" s="837"/>
      <c r="AL458" s="837"/>
      <c r="AM458" s="837"/>
      <c r="AN458" s="837"/>
      <c r="AO458" s="837"/>
      <c r="AP458" s="837"/>
      <c r="AQ458" s="837"/>
      <c r="AR458" s="837"/>
      <c r="AS458" s="874"/>
      <c r="AT458" s="837"/>
      <c r="AU458" s="836"/>
      <c r="AV458" s="836"/>
      <c r="AW458" s="836"/>
      <c r="AX458" s="836"/>
      <c r="AY458" s="836"/>
    </row>
    <row r="459" spans="4:51" s="526" customFormat="1" x14ac:dyDescent="0.2">
      <c r="D459" s="708"/>
      <c r="E459" s="708"/>
      <c r="F459" s="708"/>
      <c r="G459" s="527"/>
      <c r="H459" s="709"/>
      <c r="I459" s="710"/>
      <c r="J459" s="710"/>
      <c r="K459" s="711"/>
      <c r="L459" s="711"/>
      <c r="M459" s="710"/>
      <c r="N459" s="711"/>
      <c r="O459" s="710"/>
      <c r="P459" s="527"/>
      <c r="Q459" s="527"/>
      <c r="R459" s="711"/>
      <c r="U459" s="712"/>
      <c r="V459" s="712"/>
      <c r="W459" s="712"/>
      <c r="X459" s="604"/>
      <c r="Y459" s="604"/>
      <c r="Z459" s="873"/>
      <c r="AA459" s="866"/>
      <c r="AB459" s="864"/>
      <c r="AC459" s="837"/>
      <c r="AD459" s="837"/>
      <c r="AE459" s="837"/>
      <c r="AF459" s="837"/>
      <c r="AG459" s="837"/>
      <c r="AH459" s="837"/>
      <c r="AI459" s="837"/>
      <c r="AJ459" s="874"/>
      <c r="AK459" s="837"/>
      <c r="AL459" s="837"/>
      <c r="AM459" s="837"/>
      <c r="AN459" s="837"/>
      <c r="AO459" s="837"/>
      <c r="AP459" s="837"/>
      <c r="AQ459" s="837"/>
      <c r="AR459" s="837"/>
      <c r="AS459" s="874"/>
      <c r="AT459" s="837"/>
      <c r="AU459" s="836"/>
      <c r="AV459" s="836"/>
      <c r="AW459" s="836"/>
      <c r="AX459" s="836"/>
      <c r="AY459" s="836"/>
    </row>
    <row r="460" spans="4:51" s="526" customFormat="1" x14ac:dyDescent="0.2">
      <c r="D460" s="708"/>
      <c r="E460" s="708"/>
      <c r="F460" s="708"/>
      <c r="G460" s="527"/>
      <c r="H460" s="709"/>
      <c r="I460" s="710"/>
      <c r="J460" s="710"/>
      <c r="K460" s="711"/>
      <c r="L460" s="711"/>
      <c r="M460" s="710"/>
      <c r="N460" s="711"/>
      <c r="O460" s="710"/>
      <c r="P460" s="527"/>
      <c r="Q460" s="527"/>
      <c r="R460" s="711"/>
      <c r="U460" s="712"/>
      <c r="V460" s="712"/>
      <c r="W460" s="712"/>
      <c r="X460" s="604"/>
      <c r="Y460" s="604"/>
      <c r="Z460" s="873"/>
      <c r="AA460" s="866"/>
      <c r="AB460" s="864"/>
      <c r="AC460" s="837"/>
      <c r="AD460" s="837"/>
      <c r="AE460" s="837"/>
      <c r="AF460" s="837"/>
      <c r="AG460" s="837"/>
      <c r="AH460" s="837"/>
      <c r="AI460" s="837"/>
      <c r="AJ460" s="874"/>
      <c r="AK460" s="837"/>
      <c r="AL460" s="837"/>
      <c r="AM460" s="837"/>
      <c r="AN460" s="837"/>
      <c r="AO460" s="837"/>
      <c r="AP460" s="837"/>
      <c r="AQ460" s="837"/>
      <c r="AR460" s="837"/>
      <c r="AS460" s="874"/>
      <c r="AT460" s="837"/>
      <c r="AU460" s="836"/>
      <c r="AV460" s="836"/>
      <c r="AW460" s="836"/>
      <c r="AX460" s="836"/>
      <c r="AY460" s="836"/>
    </row>
    <row r="461" spans="4:51" s="526" customFormat="1" x14ac:dyDescent="0.2">
      <c r="D461" s="708"/>
      <c r="E461" s="708"/>
      <c r="F461" s="708"/>
      <c r="G461" s="527"/>
      <c r="H461" s="709"/>
      <c r="I461" s="710"/>
      <c r="J461" s="710"/>
      <c r="K461" s="711"/>
      <c r="L461" s="711"/>
      <c r="M461" s="710"/>
      <c r="N461" s="711"/>
      <c r="O461" s="710"/>
      <c r="P461" s="527"/>
      <c r="Q461" s="527"/>
      <c r="R461" s="711"/>
      <c r="U461" s="712"/>
      <c r="V461" s="712"/>
      <c r="W461" s="712"/>
      <c r="X461" s="604"/>
      <c r="Y461" s="604"/>
      <c r="Z461" s="873"/>
      <c r="AA461" s="866"/>
      <c r="AB461" s="864"/>
      <c r="AC461" s="837"/>
      <c r="AD461" s="837"/>
      <c r="AE461" s="837"/>
      <c r="AF461" s="837"/>
      <c r="AG461" s="837"/>
      <c r="AH461" s="837"/>
      <c r="AI461" s="837"/>
      <c r="AJ461" s="874"/>
      <c r="AK461" s="837"/>
      <c r="AL461" s="837"/>
      <c r="AM461" s="837"/>
      <c r="AN461" s="837"/>
      <c r="AO461" s="837"/>
      <c r="AP461" s="837"/>
      <c r="AQ461" s="837"/>
      <c r="AR461" s="837"/>
      <c r="AS461" s="874"/>
      <c r="AT461" s="837"/>
      <c r="AU461" s="836"/>
      <c r="AV461" s="836"/>
      <c r="AW461" s="836"/>
      <c r="AX461" s="836"/>
      <c r="AY461" s="836"/>
    </row>
    <row r="462" spans="4:51" s="526" customFormat="1" x14ac:dyDescent="0.2">
      <c r="D462" s="708"/>
      <c r="E462" s="708"/>
      <c r="F462" s="708"/>
      <c r="G462" s="527"/>
      <c r="H462" s="709"/>
      <c r="I462" s="710"/>
      <c r="J462" s="710"/>
      <c r="K462" s="711"/>
      <c r="L462" s="711"/>
      <c r="M462" s="710"/>
      <c r="N462" s="711"/>
      <c r="O462" s="710"/>
      <c r="P462" s="527"/>
      <c r="Q462" s="527"/>
      <c r="R462" s="711"/>
      <c r="U462" s="712"/>
      <c r="V462" s="712"/>
      <c r="W462" s="712"/>
      <c r="X462" s="604"/>
      <c r="Y462" s="604"/>
      <c r="Z462" s="873"/>
      <c r="AA462" s="866"/>
      <c r="AB462" s="864"/>
      <c r="AC462" s="837"/>
      <c r="AD462" s="837"/>
      <c r="AE462" s="837"/>
      <c r="AF462" s="837"/>
      <c r="AG462" s="837"/>
      <c r="AH462" s="837"/>
      <c r="AI462" s="837"/>
      <c r="AJ462" s="874"/>
      <c r="AK462" s="837"/>
      <c r="AL462" s="837"/>
      <c r="AM462" s="837"/>
      <c r="AN462" s="837"/>
      <c r="AO462" s="837"/>
      <c r="AP462" s="837"/>
      <c r="AQ462" s="837"/>
      <c r="AR462" s="837"/>
      <c r="AS462" s="874"/>
      <c r="AT462" s="837"/>
      <c r="AU462" s="836"/>
      <c r="AV462" s="836"/>
      <c r="AW462" s="836"/>
      <c r="AX462" s="836"/>
      <c r="AY462" s="836"/>
    </row>
    <row r="463" spans="4:51" s="526" customFormat="1" x14ac:dyDescent="0.2">
      <c r="D463" s="708"/>
      <c r="E463" s="708"/>
      <c r="F463" s="708"/>
      <c r="G463" s="527"/>
      <c r="H463" s="709"/>
      <c r="I463" s="710"/>
      <c r="J463" s="710"/>
      <c r="K463" s="711"/>
      <c r="L463" s="711"/>
      <c r="M463" s="710"/>
      <c r="N463" s="711"/>
      <c r="O463" s="710"/>
      <c r="P463" s="527"/>
      <c r="Q463" s="527"/>
      <c r="R463" s="711"/>
      <c r="U463" s="712"/>
      <c r="V463" s="712"/>
      <c r="W463" s="712"/>
      <c r="X463" s="604"/>
      <c r="Y463" s="604"/>
      <c r="Z463" s="873"/>
      <c r="AA463" s="866"/>
      <c r="AB463" s="864"/>
      <c r="AC463" s="837"/>
      <c r="AD463" s="837"/>
      <c r="AE463" s="837"/>
      <c r="AF463" s="837"/>
      <c r="AG463" s="837"/>
      <c r="AH463" s="837"/>
      <c r="AI463" s="837"/>
      <c r="AJ463" s="874"/>
      <c r="AK463" s="837"/>
      <c r="AL463" s="837"/>
      <c r="AM463" s="837"/>
      <c r="AN463" s="837"/>
      <c r="AO463" s="837"/>
      <c r="AP463" s="837"/>
      <c r="AQ463" s="837"/>
      <c r="AR463" s="837"/>
      <c r="AS463" s="874"/>
      <c r="AT463" s="837"/>
      <c r="AU463" s="836"/>
      <c r="AV463" s="836"/>
      <c r="AW463" s="836"/>
      <c r="AX463" s="836"/>
      <c r="AY463" s="836"/>
    </row>
    <row r="464" spans="4:51" s="526" customFormat="1" x14ac:dyDescent="0.2">
      <c r="D464" s="708"/>
      <c r="E464" s="708"/>
      <c r="F464" s="708"/>
      <c r="G464" s="527"/>
      <c r="H464" s="709"/>
      <c r="I464" s="710"/>
      <c r="J464" s="710"/>
      <c r="K464" s="711"/>
      <c r="L464" s="711"/>
      <c r="M464" s="710"/>
      <c r="N464" s="711"/>
      <c r="O464" s="710"/>
      <c r="P464" s="527"/>
      <c r="Q464" s="527"/>
      <c r="R464" s="711"/>
      <c r="U464" s="712"/>
      <c r="V464" s="712"/>
      <c r="W464" s="712"/>
      <c r="X464" s="604"/>
      <c r="Y464" s="604"/>
      <c r="Z464" s="873"/>
      <c r="AA464" s="866"/>
      <c r="AB464" s="864"/>
      <c r="AC464" s="837"/>
      <c r="AD464" s="837"/>
      <c r="AE464" s="837"/>
      <c r="AF464" s="837"/>
      <c r="AG464" s="837"/>
      <c r="AH464" s="837"/>
      <c r="AI464" s="837"/>
      <c r="AJ464" s="874"/>
      <c r="AK464" s="837"/>
      <c r="AL464" s="837"/>
      <c r="AM464" s="837"/>
      <c r="AN464" s="837"/>
      <c r="AO464" s="837"/>
      <c r="AP464" s="837"/>
      <c r="AQ464" s="837"/>
      <c r="AR464" s="837"/>
      <c r="AS464" s="874"/>
      <c r="AT464" s="837"/>
      <c r="AU464" s="836"/>
      <c r="AV464" s="836"/>
      <c r="AW464" s="836"/>
      <c r="AX464" s="836"/>
      <c r="AY464" s="836"/>
    </row>
    <row r="465" spans="4:51" s="526" customFormat="1" x14ac:dyDescent="0.2">
      <c r="D465" s="708"/>
      <c r="E465" s="708"/>
      <c r="F465" s="708"/>
      <c r="G465" s="527"/>
      <c r="H465" s="709"/>
      <c r="I465" s="710"/>
      <c r="J465" s="710"/>
      <c r="K465" s="711"/>
      <c r="L465" s="711"/>
      <c r="M465" s="710"/>
      <c r="N465" s="711"/>
      <c r="O465" s="710"/>
      <c r="P465" s="527"/>
      <c r="Q465" s="527"/>
      <c r="R465" s="711"/>
      <c r="U465" s="712"/>
      <c r="V465" s="712"/>
      <c r="W465" s="712"/>
      <c r="X465" s="604"/>
      <c r="Y465" s="604"/>
      <c r="Z465" s="873"/>
      <c r="AA465" s="866"/>
      <c r="AB465" s="864"/>
      <c r="AC465" s="837"/>
      <c r="AD465" s="837"/>
      <c r="AE465" s="837"/>
      <c r="AF465" s="837"/>
      <c r="AG465" s="837"/>
      <c r="AH465" s="837"/>
      <c r="AI465" s="837"/>
      <c r="AJ465" s="874"/>
      <c r="AK465" s="837"/>
      <c r="AL465" s="837"/>
      <c r="AM465" s="837"/>
      <c r="AN465" s="837"/>
      <c r="AO465" s="837"/>
      <c r="AP465" s="837"/>
      <c r="AQ465" s="837"/>
      <c r="AR465" s="837"/>
      <c r="AS465" s="874"/>
      <c r="AT465" s="837"/>
      <c r="AU465" s="836"/>
      <c r="AV465" s="836"/>
      <c r="AW465" s="836"/>
      <c r="AX465" s="836"/>
      <c r="AY465" s="836"/>
    </row>
    <row r="466" spans="4:51" s="526" customFormat="1" x14ac:dyDescent="0.2">
      <c r="D466" s="708"/>
      <c r="E466" s="708"/>
      <c r="F466" s="708"/>
      <c r="G466" s="527"/>
      <c r="H466" s="709"/>
      <c r="I466" s="710"/>
      <c r="J466" s="710"/>
      <c r="K466" s="711"/>
      <c r="L466" s="711"/>
      <c r="M466" s="710"/>
      <c r="N466" s="711"/>
      <c r="O466" s="710"/>
      <c r="P466" s="527"/>
      <c r="Q466" s="527"/>
      <c r="R466" s="711"/>
      <c r="U466" s="712"/>
      <c r="V466" s="712"/>
      <c r="W466" s="712"/>
      <c r="X466" s="604"/>
      <c r="Y466" s="604"/>
      <c r="Z466" s="873"/>
      <c r="AA466" s="866"/>
      <c r="AB466" s="864"/>
      <c r="AC466" s="837"/>
      <c r="AD466" s="837"/>
      <c r="AE466" s="837"/>
      <c r="AF466" s="837"/>
      <c r="AG466" s="837"/>
      <c r="AH466" s="837"/>
      <c r="AI466" s="837"/>
      <c r="AJ466" s="874"/>
      <c r="AK466" s="837"/>
      <c r="AL466" s="837"/>
      <c r="AM466" s="837"/>
      <c r="AN466" s="837"/>
      <c r="AO466" s="837"/>
      <c r="AP466" s="837"/>
      <c r="AQ466" s="837"/>
      <c r="AR466" s="837"/>
      <c r="AS466" s="874"/>
      <c r="AT466" s="837"/>
      <c r="AU466" s="836"/>
      <c r="AV466" s="836"/>
      <c r="AW466" s="836"/>
      <c r="AX466" s="836"/>
      <c r="AY466" s="836"/>
    </row>
    <row r="467" spans="4:51" s="526" customFormat="1" x14ac:dyDescent="0.2">
      <c r="D467" s="708"/>
      <c r="E467" s="708"/>
      <c r="F467" s="708"/>
      <c r="G467" s="527"/>
      <c r="H467" s="709"/>
      <c r="I467" s="710"/>
      <c r="J467" s="710"/>
      <c r="K467" s="711"/>
      <c r="L467" s="711"/>
      <c r="M467" s="710"/>
      <c r="N467" s="711"/>
      <c r="O467" s="710"/>
      <c r="P467" s="527"/>
      <c r="Q467" s="527"/>
      <c r="R467" s="711"/>
      <c r="U467" s="712"/>
      <c r="V467" s="712"/>
      <c r="W467" s="712"/>
      <c r="X467" s="604"/>
      <c r="Y467" s="604"/>
      <c r="Z467" s="873"/>
      <c r="AA467" s="866"/>
      <c r="AB467" s="864"/>
      <c r="AC467" s="837"/>
      <c r="AD467" s="837"/>
      <c r="AE467" s="837"/>
      <c r="AF467" s="837"/>
      <c r="AG467" s="837"/>
      <c r="AH467" s="837"/>
      <c r="AI467" s="837"/>
      <c r="AJ467" s="874"/>
      <c r="AK467" s="837"/>
      <c r="AL467" s="837"/>
      <c r="AM467" s="837"/>
      <c r="AN467" s="837"/>
      <c r="AO467" s="837"/>
      <c r="AP467" s="837"/>
      <c r="AQ467" s="837"/>
      <c r="AR467" s="837"/>
      <c r="AS467" s="874"/>
      <c r="AT467" s="837"/>
      <c r="AU467" s="836"/>
      <c r="AV467" s="836"/>
      <c r="AW467" s="836"/>
      <c r="AX467" s="836"/>
      <c r="AY467" s="836"/>
    </row>
    <row r="468" spans="4:51" s="526" customFormat="1" x14ac:dyDescent="0.2">
      <c r="D468" s="708"/>
      <c r="E468" s="708"/>
      <c r="F468" s="708"/>
      <c r="G468" s="527"/>
      <c r="H468" s="709"/>
      <c r="I468" s="710"/>
      <c r="J468" s="710"/>
      <c r="K468" s="711"/>
      <c r="L468" s="711"/>
      <c r="M468" s="710"/>
      <c r="N468" s="711"/>
      <c r="O468" s="710"/>
      <c r="P468" s="527"/>
      <c r="Q468" s="527"/>
      <c r="R468" s="711"/>
      <c r="U468" s="712"/>
      <c r="V468" s="712"/>
      <c r="W468" s="712"/>
      <c r="X468" s="604"/>
      <c r="Y468" s="604"/>
      <c r="Z468" s="873"/>
      <c r="AA468" s="866"/>
      <c r="AB468" s="864"/>
      <c r="AC468" s="837"/>
      <c r="AD468" s="837"/>
      <c r="AE468" s="837"/>
      <c r="AF468" s="837"/>
      <c r="AG468" s="837"/>
      <c r="AH468" s="837"/>
      <c r="AI468" s="837"/>
      <c r="AJ468" s="874"/>
      <c r="AK468" s="837"/>
      <c r="AL468" s="837"/>
      <c r="AM468" s="837"/>
      <c r="AN468" s="837"/>
      <c r="AO468" s="837"/>
      <c r="AP468" s="837"/>
      <c r="AQ468" s="837"/>
      <c r="AR468" s="837"/>
      <c r="AS468" s="874"/>
      <c r="AT468" s="837"/>
      <c r="AU468" s="836"/>
      <c r="AV468" s="836"/>
      <c r="AW468" s="836"/>
      <c r="AX468" s="836"/>
      <c r="AY468" s="836"/>
    </row>
    <row r="469" spans="4:51" s="526" customFormat="1" x14ac:dyDescent="0.2">
      <c r="D469" s="708"/>
      <c r="E469" s="708"/>
      <c r="F469" s="708"/>
      <c r="G469" s="527"/>
      <c r="H469" s="709"/>
      <c r="I469" s="710"/>
      <c r="J469" s="710"/>
      <c r="K469" s="711"/>
      <c r="L469" s="711"/>
      <c r="M469" s="710"/>
      <c r="N469" s="711"/>
      <c r="O469" s="710"/>
      <c r="P469" s="527"/>
      <c r="Q469" s="527"/>
      <c r="R469" s="711"/>
      <c r="U469" s="712"/>
      <c r="V469" s="712"/>
      <c r="W469" s="712"/>
      <c r="X469" s="604"/>
      <c r="Y469" s="604"/>
      <c r="Z469" s="873"/>
      <c r="AA469" s="866"/>
      <c r="AB469" s="864"/>
      <c r="AC469" s="837"/>
      <c r="AD469" s="837"/>
      <c r="AE469" s="837"/>
      <c r="AF469" s="837"/>
      <c r="AG469" s="837"/>
      <c r="AH469" s="837"/>
      <c r="AI469" s="837"/>
      <c r="AJ469" s="874"/>
      <c r="AK469" s="837"/>
      <c r="AL469" s="837"/>
      <c r="AM469" s="837"/>
      <c r="AN469" s="837"/>
      <c r="AO469" s="837"/>
      <c r="AP469" s="837"/>
      <c r="AQ469" s="837"/>
      <c r="AR469" s="837"/>
      <c r="AS469" s="874"/>
      <c r="AT469" s="837"/>
      <c r="AU469" s="836"/>
      <c r="AV469" s="836"/>
      <c r="AW469" s="836"/>
      <c r="AX469" s="836"/>
      <c r="AY469" s="836"/>
    </row>
    <row r="470" spans="4:51" s="526" customFormat="1" x14ac:dyDescent="0.2">
      <c r="D470" s="708"/>
      <c r="E470" s="708"/>
      <c r="F470" s="708"/>
      <c r="G470" s="527"/>
      <c r="H470" s="709"/>
      <c r="I470" s="710"/>
      <c r="J470" s="710"/>
      <c r="K470" s="711"/>
      <c r="L470" s="711"/>
      <c r="M470" s="710"/>
      <c r="N470" s="711"/>
      <c r="O470" s="710"/>
      <c r="P470" s="527"/>
      <c r="Q470" s="527"/>
      <c r="R470" s="711"/>
      <c r="U470" s="712"/>
      <c r="V470" s="712"/>
      <c r="W470" s="712"/>
      <c r="X470" s="604"/>
      <c r="Y470" s="604"/>
      <c r="Z470" s="873"/>
      <c r="AA470" s="866"/>
      <c r="AB470" s="864"/>
      <c r="AC470" s="837"/>
      <c r="AD470" s="837"/>
      <c r="AE470" s="837"/>
      <c r="AF470" s="837"/>
      <c r="AG470" s="837"/>
      <c r="AH470" s="837"/>
      <c r="AI470" s="837"/>
      <c r="AJ470" s="874"/>
      <c r="AK470" s="837"/>
      <c r="AL470" s="837"/>
      <c r="AM470" s="837"/>
      <c r="AN470" s="837"/>
      <c r="AO470" s="837"/>
      <c r="AP470" s="837"/>
      <c r="AQ470" s="837"/>
      <c r="AR470" s="837"/>
      <c r="AS470" s="874"/>
      <c r="AT470" s="837"/>
      <c r="AU470" s="836"/>
      <c r="AV470" s="836"/>
      <c r="AW470" s="836"/>
      <c r="AX470" s="836"/>
      <c r="AY470" s="836"/>
    </row>
    <row r="471" spans="4:51" s="526" customFormat="1" x14ac:dyDescent="0.2">
      <c r="D471" s="708"/>
      <c r="E471" s="708"/>
      <c r="F471" s="708"/>
      <c r="G471" s="527"/>
      <c r="H471" s="709"/>
      <c r="I471" s="710"/>
      <c r="J471" s="710"/>
      <c r="K471" s="711"/>
      <c r="L471" s="711"/>
      <c r="M471" s="710"/>
      <c r="N471" s="711"/>
      <c r="O471" s="710"/>
      <c r="P471" s="527"/>
      <c r="Q471" s="527"/>
      <c r="R471" s="711"/>
      <c r="U471" s="712"/>
      <c r="V471" s="712"/>
      <c r="W471" s="712"/>
      <c r="X471" s="604"/>
      <c r="Y471" s="604"/>
      <c r="Z471" s="873"/>
      <c r="AA471" s="866"/>
      <c r="AB471" s="864"/>
      <c r="AC471" s="837"/>
      <c r="AD471" s="837"/>
      <c r="AE471" s="837"/>
      <c r="AF471" s="837"/>
      <c r="AG471" s="837"/>
      <c r="AH471" s="837"/>
      <c r="AI471" s="837"/>
      <c r="AJ471" s="874"/>
      <c r="AK471" s="837"/>
      <c r="AL471" s="837"/>
      <c r="AM471" s="837"/>
      <c r="AN471" s="837"/>
      <c r="AO471" s="837"/>
      <c r="AP471" s="837"/>
      <c r="AQ471" s="837"/>
      <c r="AR471" s="837"/>
      <c r="AS471" s="874"/>
      <c r="AT471" s="837"/>
      <c r="AU471" s="836"/>
      <c r="AV471" s="836"/>
      <c r="AW471" s="836"/>
      <c r="AX471" s="836"/>
      <c r="AY471" s="836"/>
    </row>
    <row r="472" spans="4:51" s="526" customFormat="1" x14ac:dyDescent="0.2">
      <c r="D472" s="708"/>
      <c r="E472" s="708"/>
      <c r="F472" s="708"/>
      <c r="G472" s="527"/>
      <c r="H472" s="709"/>
      <c r="I472" s="710"/>
      <c r="J472" s="710"/>
      <c r="K472" s="711"/>
      <c r="L472" s="711"/>
      <c r="M472" s="710"/>
      <c r="N472" s="711"/>
      <c r="O472" s="710"/>
      <c r="P472" s="527"/>
      <c r="Q472" s="527"/>
      <c r="R472" s="711"/>
      <c r="U472" s="712"/>
      <c r="V472" s="712"/>
      <c r="W472" s="712"/>
      <c r="X472" s="604"/>
      <c r="Y472" s="604"/>
      <c r="Z472" s="873"/>
      <c r="AA472" s="866"/>
      <c r="AB472" s="864"/>
      <c r="AC472" s="837"/>
      <c r="AD472" s="837"/>
      <c r="AE472" s="837"/>
      <c r="AF472" s="837"/>
      <c r="AG472" s="837"/>
      <c r="AH472" s="837"/>
      <c r="AI472" s="837"/>
      <c r="AJ472" s="874"/>
      <c r="AK472" s="837"/>
      <c r="AL472" s="837"/>
      <c r="AM472" s="837"/>
      <c r="AN472" s="837"/>
      <c r="AO472" s="837"/>
      <c r="AP472" s="837"/>
      <c r="AQ472" s="837"/>
      <c r="AR472" s="837"/>
      <c r="AS472" s="874"/>
      <c r="AT472" s="837"/>
      <c r="AU472" s="836"/>
      <c r="AV472" s="836"/>
      <c r="AW472" s="836"/>
      <c r="AX472" s="836"/>
      <c r="AY472" s="836"/>
    </row>
    <row r="473" spans="4:51" s="526" customFormat="1" x14ac:dyDescent="0.2">
      <c r="D473" s="708"/>
      <c r="E473" s="708"/>
      <c r="F473" s="708"/>
      <c r="G473" s="527"/>
      <c r="H473" s="709"/>
      <c r="I473" s="710"/>
      <c r="J473" s="710"/>
      <c r="K473" s="711"/>
      <c r="L473" s="711"/>
      <c r="M473" s="710"/>
      <c r="N473" s="711"/>
      <c r="O473" s="710"/>
      <c r="P473" s="527"/>
      <c r="Q473" s="527"/>
      <c r="R473" s="711"/>
      <c r="U473" s="712"/>
      <c r="V473" s="712"/>
      <c r="W473" s="712"/>
      <c r="X473" s="604"/>
      <c r="Y473" s="604"/>
      <c r="Z473" s="873"/>
      <c r="AA473" s="866"/>
      <c r="AB473" s="864"/>
      <c r="AC473" s="837"/>
      <c r="AD473" s="837"/>
      <c r="AE473" s="837"/>
      <c r="AF473" s="837"/>
      <c r="AG473" s="837"/>
      <c r="AH473" s="837"/>
      <c r="AI473" s="837"/>
      <c r="AJ473" s="874"/>
      <c r="AK473" s="837"/>
      <c r="AL473" s="837"/>
      <c r="AM473" s="837"/>
      <c r="AN473" s="837"/>
      <c r="AO473" s="837"/>
      <c r="AP473" s="837"/>
      <c r="AQ473" s="837"/>
      <c r="AR473" s="837"/>
      <c r="AS473" s="874"/>
      <c r="AT473" s="837"/>
      <c r="AU473" s="836"/>
      <c r="AV473" s="836"/>
      <c r="AW473" s="836"/>
      <c r="AX473" s="836"/>
      <c r="AY473" s="836"/>
    </row>
    <row r="474" spans="4:51" s="526" customFormat="1" x14ac:dyDescent="0.2">
      <c r="D474" s="708"/>
      <c r="E474" s="708"/>
      <c r="F474" s="708"/>
      <c r="G474" s="527"/>
      <c r="H474" s="709"/>
      <c r="I474" s="710"/>
      <c r="J474" s="710"/>
      <c r="K474" s="711"/>
      <c r="L474" s="711"/>
      <c r="M474" s="710"/>
      <c r="N474" s="711"/>
      <c r="O474" s="710"/>
      <c r="P474" s="527"/>
      <c r="Q474" s="527"/>
      <c r="R474" s="711"/>
      <c r="U474" s="712"/>
      <c r="V474" s="712"/>
      <c r="W474" s="712"/>
      <c r="X474" s="604"/>
      <c r="Y474" s="604"/>
      <c r="Z474" s="873"/>
      <c r="AA474" s="866"/>
      <c r="AB474" s="864"/>
      <c r="AC474" s="837"/>
      <c r="AD474" s="837"/>
      <c r="AE474" s="837"/>
      <c r="AF474" s="837"/>
      <c r="AG474" s="837"/>
      <c r="AH474" s="837"/>
      <c r="AI474" s="837"/>
      <c r="AJ474" s="874"/>
      <c r="AK474" s="837"/>
      <c r="AL474" s="837"/>
      <c r="AM474" s="837"/>
      <c r="AN474" s="837"/>
      <c r="AO474" s="837"/>
      <c r="AP474" s="837"/>
      <c r="AQ474" s="837"/>
      <c r="AR474" s="837"/>
      <c r="AS474" s="874"/>
      <c r="AT474" s="837"/>
      <c r="AU474" s="836"/>
      <c r="AV474" s="836"/>
      <c r="AW474" s="836"/>
      <c r="AX474" s="836"/>
      <c r="AY474" s="836"/>
    </row>
    <row r="475" spans="4:51" s="526" customFormat="1" x14ac:dyDescent="0.2">
      <c r="D475" s="708"/>
      <c r="E475" s="708"/>
      <c r="F475" s="708"/>
      <c r="G475" s="527"/>
      <c r="H475" s="709"/>
      <c r="I475" s="710"/>
      <c r="J475" s="710"/>
      <c r="K475" s="711"/>
      <c r="L475" s="711"/>
      <c r="M475" s="710"/>
      <c r="N475" s="711"/>
      <c r="O475" s="710"/>
      <c r="P475" s="527"/>
      <c r="Q475" s="527"/>
      <c r="R475" s="711"/>
      <c r="U475" s="712"/>
      <c r="V475" s="712"/>
      <c r="W475" s="712"/>
      <c r="X475" s="604"/>
      <c r="Y475" s="604"/>
      <c r="Z475" s="873"/>
      <c r="AA475" s="866"/>
      <c r="AB475" s="864"/>
      <c r="AC475" s="837"/>
      <c r="AD475" s="837"/>
      <c r="AE475" s="837"/>
      <c r="AF475" s="837"/>
      <c r="AG475" s="837"/>
      <c r="AH475" s="837"/>
      <c r="AI475" s="837"/>
      <c r="AJ475" s="874"/>
      <c r="AK475" s="837"/>
      <c r="AL475" s="837"/>
      <c r="AM475" s="837"/>
      <c r="AN475" s="837"/>
      <c r="AO475" s="837"/>
      <c r="AP475" s="837"/>
      <c r="AQ475" s="837"/>
      <c r="AR475" s="837"/>
      <c r="AS475" s="874"/>
      <c r="AT475" s="837"/>
      <c r="AU475" s="836"/>
      <c r="AV475" s="836"/>
      <c r="AW475" s="836"/>
      <c r="AX475" s="836"/>
      <c r="AY475" s="836"/>
    </row>
    <row r="476" spans="4:51" s="526" customFormat="1" x14ac:dyDescent="0.2">
      <c r="D476" s="708"/>
      <c r="E476" s="708"/>
      <c r="F476" s="708"/>
      <c r="G476" s="527"/>
      <c r="H476" s="709"/>
      <c r="I476" s="710"/>
      <c r="J476" s="710"/>
      <c r="K476" s="711"/>
      <c r="L476" s="711"/>
      <c r="M476" s="710"/>
      <c r="N476" s="711"/>
      <c r="O476" s="710"/>
      <c r="P476" s="527"/>
      <c r="Q476" s="527"/>
      <c r="R476" s="711"/>
      <c r="U476" s="712"/>
      <c r="V476" s="712"/>
      <c r="W476" s="712"/>
      <c r="X476" s="604"/>
      <c r="Y476" s="604"/>
      <c r="Z476" s="873"/>
      <c r="AA476" s="866"/>
      <c r="AB476" s="864"/>
      <c r="AC476" s="837"/>
      <c r="AD476" s="837"/>
      <c r="AE476" s="837"/>
      <c r="AF476" s="837"/>
      <c r="AG476" s="837"/>
      <c r="AH476" s="837"/>
      <c r="AI476" s="837"/>
      <c r="AJ476" s="874"/>
      <c r="AK476" s="837"/>
      <c r="AL476" s="837"/>
      <c r="AM476" s="837"/>
      <c r="AN476" s="837"/>
      <c r="AO476" s="837"/>
      <c r="AP476" s="837"/>
      <c r="AQ476" s="837"/>
      <c r="AR476" s="837"/>
      <c r="AS476" s="874"/>
      <c r="AT476" s="837"/>
      <c r="AU476" s="836"/>
      <c r="AV476" s="836"/>
      <c r="AW476" s="836"/>
      <c r="AX476" s="836"/>
      <c r="AY476" s="836"/>
    </row>
    <row r="477" spans="4:51" s="526" customFormat="1" x14ac:dyDescent="0.2">
      <c r="D477" s="708"/>
      <c r="E477" s="708"/>
      <c r="F477" s="708"/>
      <c r="G477" s="527"/>
      <c r="H477" s="709"/>
      <c r="I477" s="710"/>
      <c r="J477" s="710"/>
      <c r="K477" s="711"/>
      <c r="L477" s="711"/>
      <c r="M477" s="710"/>
      <c r="N477" s="711"/>
      <c r="O477" s="710"/>
      <c r="P477" s="527"/>
      <c r="Q477" s="527"/>
      <c r="R477" s="711"/>
      <c r="U477" s="712"/>
      <c r="V477" s="712"/>
      <c r="W477" s="712"/>
      <c r="X477" s="604"/>
      <c r="Y477" s="604"/>
      <c r="Z477" s="873"/>
      <c r="AA477" s="866"/>
      <c r="AB477" s="864"/>
      <c r="AC477" s="837"/>
      <c r="AD477" s="837"/>
      <c r="AE477" s="837"/>
      <c r="AF477" s="837"/>
      <c r="AG477" s="837"/>
      <c r="AH477" s="837"/>
      <c r="AI477" s="837"/>
      <c r="AJ477" s="874"/>
      <c r="AK477" s="837"/>
      <c r="AL477" s="837"/>
      <c r="AM477" s="837"/>
      <c r="AN477" s="837"/>
      <c r="AO477" s="837"/>
      <c r="AP477" s="837"/>
      <c r="AQ477" s="837"/>
      <c r="AR477" s="837"/>
      <c r="AS477" s="874"/>
      <c r="AT477" s="837"/>
      <c r="AU477" s="836"/>
      <c r="AV477" s="836"/>
      <c r="AW477" s="836"/>
      <c r="AX477" s="836"/>
      <c r="AY477" s="836"/>
    </row>
    <row r="478" spans="4:51" s="526" customFormat="1" x14ac:dyDescent="0.2">
      <c r="D478" s="708"/>
      <c r="E478" s="708"/>
      <c r="F478" s="708"/>
      <c r="G478" s="527"/>
      <c r="H478" s="709"/>
      <c r="I478" s="710"/>
      <c r="J478" s="710"/>
      <c r="K478" s="711"/>
      <c r="L478" s="711"/>
      <c r="M478" s="710"/>
      <c r="N478" s="711"/>
      <c r="O478" s="710"/>
      <c r="P478" s="527"/>
      <c r="Q478" s="527"/>
      <c r="R478" s="711"/>
      <c r="U478" s="712"/>
      <c r="V478" s="712"/>
      <c r="W478" s="712"/>
      <c r="X478" s="604"/>
      <c r="Y478" s="604"/>
      <c r="Z478" s="873"/>
      <c r="AA478" s="866"/>
      <c r="AB478" s="864"/>
      <c r="AC478" s="837"/>
      <c r="AD478" s="837"/>
      <c r="AE478" s="837"/>
      <c r="AF478" s="837"/>
      <c r="AG478" s="837"/>
      <c r="AH478" s="837"/>
      <c r="AI478" s="837"/>
      <c r="AJ478" s="874"/>
      <c r="AK478" s="837"/>
      <c r="AL478" s="837"/>
      <c r="AM478" s="837"/>
      <c r="AN478" s="837"/>
      <c r="AO478" s="837"/>
      <c r="AP478" s="837"/>
      <c r="AQ478" s="837"/>
      <c r="AR478" s="837"/>
      <c r="AS478" s="874"/>
      <c r="AT478" s="837"/>
      <c r="AU478" s="836"/>
      <c r="AV478" s="836"/>
      <c r="AW478" s="836"/>
      <c r="AX478" s="836"/>
      <c r="AY478" s="836"/>
    </row>
    <row r="479" spans="4:51" s="526" customFormat="1" x14ac:dyDescent="0.2">
      <c r="D479" s="708"/>
      <c r="E479" s="708"/>
      <c r="F479" s="708"/>
      <c r="G479" s="527"/>
      <c r="H479" s="709"/>
      <c r="I479" s="710"/>
      <c r="J479" s="710"/>
      <c r="K479" s="711"/>
      <c r="L479" s="711"/>
      <c r="M479" s="710"/>
      <c r="N479" s="711"/>
      <c r="O479" s="710"/>
      <c r="P479" s="527"/>
      <c r="Q479" s="527"/>
      <c r="R479" s="711"/>
      <c r="U479" s="712"/>
      <c r="V479" s="712"/>
      <c r="W479" s="712"/>
      <c r="X479" s="604"/>
      <c r="Y479" s="604"/>
      <c r="Z479" s="873"/>
      <c r="AA479" s="866"/>
      <c r="AB479" s="864"/>
      <c r="AC479" s="837"/>
      <c r="AD479" s="837"/>
      <c r="AE479" s="837"/>
      <c r="AF479" s="837"/>
      <c r="AG479" s="837"/>
      <c r="AH479" s="837"/>
      <c r="AI479" s="837"/>
      <c r="AJ479" s="874"/>
      <c r="AK479" s="837"/>
      <c r="AL479" s="837"/>
      <c r="AM479" s="837"/>
      <c r="AN479" s="837"/>
      <c r="AO479" s="837"/>
      <c r="AP479" s="837"/>
      <c r="AQ479" s="837"/>
      <c r="AR479" s="837"/>
      <c r="AS479" s="874"/>
      <c r="AT479" s="837"/>
      <c r="AU479" s="836"/>
      <c r="AV479" s="836"/>
      <c r="AW479" s="836"/>
      <c r="AX479" s="836"/>
      <c r="AY479" s="836"/>
    </row>
    <row r="480" spans="4:51" s="526" customFormat="1" x14ac:dyDescent="0.2">
      <c r="D480" s="708"/>
      <c r="E480" s="708"/>
      <c r="F480" s="708"/>
      <c r="G480" s="527"/>
      <c r="H480" s="709"/>
      <c r="I480" s="710"/>
      <c r="J480" s="710"/>
      <c r="K480" s="711"/>
      <c r="L480" s="711"/>
      <c r="M480" s="710"/>
      <c r="N480" s="711"/>
      <c r="O480" s="710"/>
      <c r="P480" s="527"/>
      <c r="Q480" s="527"/>
      <c r="R480" s="711"/>
      <c r="U480" s="712"/>
      <c r="V480" s="712"/>
      <c r="W480" s="712"/>
      <c r="X480" s="604"/>
      <c r="Y480" s="604"/>
      <c r="Z480" s="873"/>
      <c r="AA480" s="866"/>
      <c r="AB480" s="864"/>
      <c r="AC480" s="837"/>
      <c r="AD480" s="837"/>
      <c r="AE480" s="837"/>
      <c r="AF480" s="837"/>
      <c r="AG480" s="837"/>
      <c r="AH480" s="837"/>
      <c r="AI480" s="837"/>
      <c r="AJ480" s="874"/>
      <c r="AK480" s="837"/>
      <c r="AL480" s="837"/>
      <c r="AM480" s="837"/>
      <c r="AN480" s="837"/>
      <c r="AO480" s="837"/>
      <c r="AP480" s="837"/>
      <c r="AQ480" s="837"/>
      <c r="AR480" s="837"/>
      <c r="AS480" s="874"/>
      <c r="AT480" s="837"/>
      <c r="AU480" s="836"/>
      <c r="AV480" s="836"/>
      <c r="AW480" s="836"/>
      <c r="AX480" s="836"/>
      <c r="AY480" s="836"/>
    </row>
    <row r="481" spans="4:51" s="526" customFormat="1" x14ac:dyDescent="0.2">
      <c r="D481" s="708"/>
      <c r="E481" s="708"/>
      <c r="F481" s="708"/>
      <c r="G481" s="527"/>
      <c r="H481" s="709"/>
      <c r="I481" s="710"/>
      <c r="J481" s="710"/>
      <c r="K481" s="711"/>
      <c r="L481" s="711"/>
      <c r="M481" s="710"/>
      <c r="N481" s="711"/>
      <c r="O481" s="710"/>
      <c r="P481" s="527"/>
      <c r="Q481" s="527"/>
      <c r="R481" s="711"/>
      <c r="U481" s="712"/>
      <c r="V481" s="712"/>
      <c r="W481" s="712"/>
      <c r="X481" s="604"/>
      <c r="Y481" s="604"/>
      <c r="Z481" s="873"/>
      <c r="AA481" s="866"/>
      <c r="AB481" s="864"/>
      <c r="AC481" s="837"/>
      <c r="AD481" s="837"/>
      <c r="AE481" s="837"/>
      <c r="AF481" s="837"/>
      <c r="AG481" s="837"/>
      <c r="AH481" s="837"/>
      <c r="AI481" s="837"/>
      <c r="AJ481" s="874"/>
      <c r="AK481" s="837"/>
      <c r="AL481" s="837"/>
      <c r="AM481" s="837"/>
      <c r="AN481" s="837"/>
      <c r="AO481" s="837"/>
      <c r="AP481" s="837"/>
      <c r="AQ481" s="837"/>
      <c r="AR481" s="837"/>
      <c r="AS481" s="874"/>
      <c r="AT481" s="837"/>
      <c r="AU481" s="836"/>
      <c r="AV481" s="836"/>
      <c r="AW481" s="836"/>
      <c r="AX481" s="836"/>
      <c r="AY481" s="836"/>
    </row>
    <row r="482" spans="4:51" s="526" customFormat="1" x14ac:dyDescent="0.2">
      <c r="D482" s="708"/>
      <c r="E482" s="708"/>
      <c r="F482" s="708"/>
      <c r="G482" s="527"/>
      <c r="H482" s="709"/>
      <c r="I482" s="710"/>
      <c r="J482" s="710"/>
      <c r="K482" s="711"/>
      <c r="L482" s="711"/>
      <c r="M482" s="710"/>
      <c r="N482" s="711"/>
      <c r="O482" s="710"/>
      <c r="P482" s="527"/>
      <c r="Q482" s="527"/>
      <c r="R482" s="711"/>
      <c r="U482" s="712"/>
      <c r="V482" s="712"/>
      <c r="W482" s="712"/>
      <c r="X482" s="604"/>
      <c r="Y482" s="604"/>
      <c r="Z482" s="873"/>
      <c r="AA482" s="866"/>
      <c r="AB482" s="864"/>
      <c r="AC482" s="837"/>
      <c r="AD482" s="837"/>
      <c r="AE482" s="837"/>
      <c r="AF482" s="837"/>
      <c r="AG482" s="837"/>
      <c r="AH482" s="837"/>
      <c r="AI482" s="837"/>
      <c r="AJ482" s="874"/>
      <c r="AK482" s="837"/>
      <c r="AL482" s="837"/>
      <c r="AM482" s="837"/>
      <c r="AN482" s="837"/>
      <c r="AO482" s="837"/>
      <c r="AP482" s="837"/>
      <c r="AQ482" s="837"/>
      <c r="AR482" s="837"/>
      <c r="AS482" s="874"/>
      <c r="AT482" s="837"/>
      <c r="AU482" s="836"/>
      <c r="AV482" s="836"/>
      <c r="AW482" s="836"/>
      <c r="AX482" s="836"/>
      <c r="AY482" s="836"/>
    </row>
    <row r="483" spans="4:51" s="526" customFormat="1" x14ac:dyDescent="0.2">
      <c r="D483" s="708"/>
      <c r="E483" s="708"/>
      <c r="F483" s="708"/>
      <c r="G483" s="527"/>
      <c r="H483" s="709"/>
      <c r="I483" s="710"/>
      <c r="J483" s="710"/>
      <c r="K483" s="711"/>
      <c r="L483" s="711"/>
      <c r="M483" s="710"/>
      <c r="N483" s="711"/>
      <c r="O483" s="710"/>
      <c r="P483" s="527"/>
      <c r="Q483" s="527"/>
      <c r="R483" s="711"/>
      <c r="U483" s="712"/>
      <c r="V483" s="712"/>
      <c r="W483" s="712"/>
      <c r="X483" s="604"/>
      <c r="Y483" s="604"/>
      <c r="Z483" s="873"/>
      <c r="AA483" s="866"/>
      <c r="AB483" s="864"/>
      <c r="AC483" s="837"/>
      <c r="AD483" s="837"/>
      <c r="AE483" s="837"/>
      <c r="AF483" s="837"/>
      <c r="AG483" s="837"/>
      <c r="AH483" s="837"/>
      <c r="AI483" s="837"/>
      <c r="AJ483" s="874"/>
      <c r="AK483" s="837"/>
      <c r="AL483" s="837"/>
      <c r="AM483" s="837"/>
      <c r="AN483" s="837"/>
      <c r="AO483" s="837"/>
      <c r="AP483" s="837"/>
      <c r="AQ483" s="837"/>
      <c r="AR483" s="837"/>
      <c r="AS483" s="874"/>
      <c r="AT483" s="837"/>
      <c r="AU483" s="836"/>
      <c r="AV483" s="836"/>
      <c r="AW483" s="836"/>
      <c r="AX483" s="836"/>
      <c r="AY483" s="836"/>
    </row>
    <row r="484" spans="4:51" s="526" customFormat="1" x14ac:dyDescent="0.2">
      <c r="D484" s="708"/>
      <c r="E484" s="708"/>
      <c r="F484" s="708"/>
      <c r="G484" s="527"/>
      <c r="H484" s="709"/>
      <c r="I484" s="710"/>
      <c r="J484" s="710"/>
      <c r="K484" s="711"/>
      <c r="L484" s="711"/>
      <c r="M484" s="710"/>
      <c r="N484" s="711"/>
      <c r="O484" s="710"/>
      <c r="P484" s="527"/>
      <c r="Q484" s="527"/>
      <c r="R484" s="711"/>
      <c r="U484" s="712"/>
      <c r="V484" s="712"/>
      <c r="W484" s="712"/>
      <c r="X484" s="604"/>
      <c r="Y484" s="604"/>
      <c r="Z484" s="873"/>
      <c r="AA484" s="866"/>
      <c r="AB484" s="864"/>
      <c r="AC484" s="837"/>
      <c r="AD484" s="837"/>
      <c r="AE484" s="837"/>
      <c r="AF484" s="837"/>
      <c r="AG484" s="837"/>
      <c r="AH484" s="837"/>
      <c r="AI484" s="837"/>
      <c r="AJ484" s="874"/>
      <c r="AK484" s="837"/>
      <c r="AL484" s="837"/>
      <c r="AM484" s="837"/>
      <c r="AN484" s="837"/>
      <c r="AO484" s="837"/>
      <c r="AP484" s="837"/>
      <c r="AQ484" s="837"/>
      <c r="AR484" s="837"/>
      <c r="AS484" s="874"/>
      <c r="AT484" s="837"/>
      <c r="AU484" s="836"/>
      <c r="AV484" s="836"/>
      <c r="AW484" s="836"/>
      <c r="AX484" s="836"/>
      <c r="AY484" s="836"/>
    </row>
    <row r="485" spans="4:51" s="526" customFormat="1" x14ac:dyDescent="0.2">
      <c r="D485" s="708"/>
      <c r="E485" s="708"/>
      <c r="F485" s="708"/>
      <c r="G485" s="527"/>
      <c r="H485" s="709"/>
      <c r="I485" s="710"/>
      <c r="J485" s="710"/>
      <c r="K485" s="711"/>
      <c r="L485" s="711"/>
      <c r="M485" s="710"/>
      <c r="N485" s="711"/>
      <c r="O485" s="710"/>
      <c r="P485" s="527"/>
      <c r="Q485" s="527"/>
      <c r="R485" s="711"/>
      <c r="U485" s="712"/>
      <c r="V485" s="712"/>
      <c r="W485" s="712"/>
      <c r="X485" s="604"/>
      <c r="Y485" s="604"/>
      <c r="Z485" s="873"/>
      <c r="AA485" s="866"/>
      <c r="AB485" s="864"/>
      <c r="AC485" s="837"/>
      <c r="AD485" s="837"/>
      <c r="AE485" s="837"/>
      <c r="AF485" s="837"/>
      <c r="AG485" s="837"/>
      <c r="AH485" s="837"/>
      <c r="AI485" s="837"/>
      <c r="AJ485" s="874"/>
      <c r="AK485" s="837"/>
      <c r="AL485" s="837"/>
      <c r="AM485" s="837"/>
      <c r="AN485" s="837"/>
      <c r="AO485" s="837"/>
      <c r="AP485" s="837"/>
      <c r="AQ485" s="837"/>
      <c r="AR485" s="837"/>
      <c r="AS485" s="874"/>
      <c r="AT485" s="837"/>
      <c r="AU485" s="836"/>
      <c r="AV485" s="836"/>
      <c r="AW485" s="836"/>
      <c r="AX485" s="836"/>
      <c r="AY485" s="836"/>
    </row>
    <row r="486" spans="4:51" s="526" customFormat="1" x14ac:dyDescent="0.2">
      <c r="D486" s="708"/>
      <c r="E486" s="708"/>
      <c r="F486" s="708"/>
      <c r="G486" s="527"/>
      <c r="H486" s="709"/>
      <c r="I486" s="710"/>
      <c r="J486" s="710"/>
      <c r="K486" s="711"/>
      <c r="L486" s="711"/>
      <c r="M486" s="710"/>
      <c r="N486" s="711"/>
      <c r="O486" s="710"/>
      <c r="P486" s="527"/>
      <c r="Q486" s="527"/>
      <c r="R486" s="711"/>
      <c r="U486" s="712"/>
      <c r="V486" s="712"/>
      <c r="W486" s="712"/>
      <c r="X486" s="604"/>
      <c r="Y486" s="604"/>
      <c r="Z486" s="873"/>
      <c r="AA486" s="866"/>
      <c r="AB486" s="864"/>
      <c r="AC486" s="837"/>
      <c r="AD486" s="837"/>
      <c r="AE486" s="837"/>
      <c r="AF486" s="837"/>
      <c r="AG486" s="837"/>
      <c r="AH486" s="837"/>
      <c r="AI486" s="837"/>
      <c r="AJ486" s="874"/>
      <c r="AK486" s="837"/>
      <c r="AL486" s="837"/>
      <c r="AM486" s="837"/>
      <c r="AN486" s="837"/>
      <c r="AO486" s="837"/>
      <c r="AP486" s="837"/>
      <c r="AQ486" s="837"/>
      <c r="AR486" s="837"/>
      <c r="AS486" s="874"/>
      <c r="AT486" s="837"/>
      <c r="AU486" s="836"/>
      <c r="AV486" s="836"/>
      <c r="AW486" s="836"/>
      <c r="AX486" s="836"/>
      <c r="AY486" s="836"/>
    </row>
    <row r="487" spans="4:51" s="526" customFormat="1" x14ac:dyDescent="0.2">
      <c r="D487" s="708"/>
      <c r="E487" s="708"/>
      <c r="F487" s="708"/>
      <c r="G487" s="527"/>
      <c r="H487" s="709"/>
      <c r="I487" s="710"/>
      <c r="J487" s="710"/>
      <c r="K487" s="711"/>
      <c r="L487" s="711"/>
      <c r="M487" s="710"/>
      <c r="N487" s="711"/>
      <c r="O487" s="710"/>
      <c r="P487" s="527"/>
      <c r="Q487" s="527"/>
      <c r="R487" s="711"/>
      <c r="U487" s="712"/>
      <c r="V487" s="712"/>
      <c r="W487" s="712"/>
      <c r="X487" s="604"/>
      <c r="Y487" s="604"/>
      <c r="Z487" s="873"/>
      <c r="AA487" s="866"/>
      <c r="AB487" s="864"/>
      <c r="AC487" s="837"/>
      <c r="AD487" s="837"/>
      <c r="AE487" s="837"/>
      <c r="AF487" s="837"/>
      <c r="AG487" s="837"/>
      <c r="AH487" s="837"/>
      <c r="AI487" s="837"/>
      <c r="AJ487" s="874"/>
      <c r="AK487" s="837"/>
      <c r="AL487" s="837"/>
      <c r="AM487" s="837"/>
      <c r="AN487" s="837"/>
      <c r="AO487" s="837"/>
      <c r="AP487" s="837"/>
      <c r="AQ487" s="837"/>
      <c r="AR487" s="837"/>
      <c r="AS487" s="874"/>
      <c r="AT487" s="837"/>
      <c r="AU487" s="836"/>
      <c r="AV487" s="836"/>
      <c r="AW487" s="836"/>
      <c r="AX487" s="836"/>
      <c r="AY487" s="836"/>
    </row>
    <row r="488" spans="4:51" s="526" customFormat="1" x14ac:dyDescent="0.2">
      <c r="D488" s="708"/>
      <c r="E488" s="708"/>
      <c r="F488" s="708"/>
      <c r="G488" s="527"/>
      <c r="H488" s="709"/>
      <c r="I488" s="710"/>
      <c r="J488" s="710"/>
      <c r="K488" s="711"/>
      <c r="L488" s="711"/>
      <c r="M488" s="710"/>
      <c r="N488" s="711"/>
      <c r="O488" s="710"/>
      <c r="P488" s="527"/>
      <c r="Q488" s="527"/>
      <c r="R488" s="711"/>
      <c r="U488" s="712"/>
      <c r="V488" s="712"/>
      <c r="W488" s="712"/>
      <c r="X488" s="604"/>
      <c r="Y488" s="604"/>
      <c r="Z488" s="873"/>
      <c r="AA488" s="866"/>
      <c r="AB488" s="864"/>
      <c r="AC488" s="837"/>
      <c r="AD488" s="837"/>
      <c r="AE488" s="837"/>
      <c r="AF488" s="837"/>
      <c r="AG488" s="837"/>
      <c r="AH488" s="837"/>
      <c r="AI488" s="837"/>
      <c r="AJ488" s="874"/>
      <c r="AK488" s="837"/>
      <c r="AL488" s="837"/>
      <c r="AM488" s="837"/>
      <c r="AN488" s="837"/>
      <c r="AO488" s="837"/>
      <c r="AP488" s="837"/>
      <c r="AQ488" s="837"/>
      <c r="AR488" s="837"/>
      <c r="AS488" s="874"/>
      <c r="AT488" s="837"/>
      <c r="AU488" s="836"/>
      <c r="AV488" s="836"/>
      <c r="AW488" s="836"/>
      <c r="AX488" s="836"/>
      <c r="AY488" s="836"/>
    </row>
    <row r="489" spans="4:51" s="526" customFormat="1" x14ac:dyDescent="0.2">
      <c r="D489" s="708"/>
      <c r="E489" s="708"/>
      <c r="F489" s="708"/>
      <c r="G489" s="527"/>
      <c r="H489" s="709"/>
      <c r="I489" s="710"/>
      <c r="J489" s="710"/>
      <c r="K489" s="711"/>
      <c r="L489" s="711"/>
      <c r="M489" s="710"/>
      <c r="N489" s="711"/>
      <c r="O489" s="710"/>
      <c r="P489" s="527"/>
      <c r="Q489" s="527"/>
      <c r="R489" s="711"/>
      <c r="U489" s="712"/>
      <c r="V489" s="712"/>
      <c r="W489" s="712"/>
      <c r="X489" s="604"/>
      <c r="Y489" s="604"/>
      <c r="Z489" s="873"/>
      <c r="AA489" s="866"/>
      <c r="AB489" s="864"/>
      <c r="AC489" s="837"/>
      <c r="AD489" s="837"/>
      <c r="AE489" s="837"/>
      <c r="AF489" s="837"/>
      <c r="AG489" s="837"/>
      <c r="AH489" s="837"/>
      <c r="AI489" s="837"/>
      <c r="AJ489" s="874"/>
      <c r="AK489" s="837"/>
      <c r="AL489" s="837"/>
      <c r="AM489" s="837"/>
      <c r="AN489" s="837"/>
      <c r="AO489" s="837"/>
      <c r="AP489" s="837"/>
      <c r="AQ489" s="837"/>
      <c r="AR489" s="837"/>
      <c r="AS489" s="874"/>
      <c r="AT489" s="837"/>
      <c r="AU489" s="836"/>
      <c r="AV489" s="836"/>
      <c r="AW489" s="836"/>
      <c r="AX489" s="836"/>
      <c r="AY489" s="836"/>
    </row>
    <row r="490" spans="4:51" s="526" customFormat="1" x14ac:dyDescent="0.2">
      <c r="D490" s="708"/>
      <c r="E490" s="708"/>
      <c r="F490" s="708"/>
      <c r="G490" s="527"/>
      <c r="H490" s="709"/>
      <c r="I490" s="710"/>
      <c r="J490" s="710"/>
      <c r="K490" s="711"/>
      <c r="L490" s="711"/>
      <c r="M490" s="710"/>
      <c r="N490" s="711"/>
      <c r="O490" s="710"/>
      <c r="P490" s="527"/>
      <c r="Q490" s="527"/>
      <c r="R490" s="711"/>
      <c r="U490" s="712"/>
      <c r="V490" s="712"/>
      <c r="W490" s="712"/>
      <c r="X490" s="604"/>
      <c r="Y490" s="604"/>
      <c r="Z490" s="873"/>
      <c r="AA490" s="866"/>
      <c r="AB490" s="864"/>
      <c r="AC490" s="837"/>
      <c r="AD490" s="837"/>
      <c r="AE490" s="837"/>
      <c r="AF490" s="837"/>
      <c r="AG490" s="837"/>
      <c r="AH490" s="837"/>
      <c r="AI490" s="837"/>
      <c r="AJ490" s="874"/>
      <c r="AK490" s="837"/>
      <c r="AL490" s="837"/>
      <c r="AM490" s="837"/>
      <c r="AN490" s="837"/>
      <c r="AO490" s="837"/>
      <c r="AP490" s="837"/>
      <c r="AQ490" s="837"/>
      <c r="AR490" s="837"/>
      <c r="AS490" s="874"/>
      <c r="AT490" s="837"/>
      <c r="AU490" s="836"/>
      <c r="AV490" s="836"/>
      <c r="AW490" s="836"/>
      <c r="AX490" s="836"/>
      <c r="AY490" s="836"/>
    </row>
    <row r="491" spans="4:51" s="526" customFormat="1" x14ac:dyDescent="0.2">
      <c r="D491" s="708"/>
      <c r="E491" s="708"/>
      <c r="F491" s="708"/>
      <c r="G491" s="527"/>
      <c r="H491" s="709"/>
      <c r="I491" s="710"/>
      <c r="J491" s="710"/>
      <c r="K491" s="711"/>
      <c r="L491" s="711"/>
      <c r="M491" s="710"/>
      <c r="N491" s="711"/>
      <c r="O491" s="710"/>
      <c r="P491" s="527"/>
      <c r="Q491" s="527"/>
      <c r="R491" s="711"/>
      <c r="U491" s="712"/>
      <c r="V491" s="712"/>
      <c r="W491" s="712"/>
      <c r="X491" s="604"/>
      <c r="Y491" s="604"/>
      <c r="Z491" s="873"/>
      <c r="AA491" s="866"/>
      <c r="AB491" s="864"/>
      <c r="AC491" s="837"/>
      <c r="AD491" s="837"/>
      <c r="AE491" s="837"/>
      <c r="AF491" s="837"/>
      <c r="AG491" s="837"/>
      <c r="AH491" s="837"/>
      <c r="AI491" s="837"/>
      <c r="AJ491" s="874"/>
      <c r="AK491" s="837"/>
      <c r="AL491" s="837"/>
      <c r="AM491" s="837"/>
      <c r="AN491" s="837"/>
      <c r="AO491" s="837"/>
      <c r="AP491" s="837"/>
      <c r="AQ491" s="837"/>
      <c r="AR491" s="837"/>
      <c r="AS491" s="874"/>
      <c r="AT491" s="837"/>
      <c r="AU491" s="836"/>
      <c r="AV491" s="836"/>
      <c r="AW491" s="836"/>
      <c r="AX491" s="836"/>
      <c r="AY491" s="836"/>
    </row>
    <row r="492" spans="4:51" s="526" customFormat="1" x14ac:dyDescent="0.2">
      <c r="D492" s="708"/>
      <c r="E492" s="708"/>
      <c r="F492" s="708"/>
      <c r="G492" s="527"/>
      <c r="H492" s="709"/>
      <c r="I492" s="710"/>
      <c r="J492" s="710"/>
      <c r="K492" s="711"/>
      <c r="L492" s="711"/>
      <c r="M492" s="710"/>
      <c r="N492" s="711"/>
      <c r="O492" s="710"/>
      <c r="P492" s="527"/>
      <c r="Q492" s="527"/>
      <c r="R492" s="711"/>
      <c r="U492" s="712"/>
      <c r="V492" s="712"/>
      <c r="W492" s="712"/>
      <c r="X492" s="604"/>
      <c r="Y492" s="604"/>
      <c r="Z492" s="873"/>
      <c r="AA492" s="866"/>
      <c r="AB492" s="864"/>
      <c r="AC492" s="837"/>
      <c r="AD492" s="837"/>
      <c r="AE492" s="837"/>
      <c r="AF492" s="837"/>
      <c r="AG492" s="837"/>
      <c r="AH492" s="837"/>
      <c r="AI492" s="837"/>
      <c r="AJ492" s="874"/>
      <c r="AK492" s="837"/>
      <c r="AL492" s="837"/>
      <c r="AM492" s="837"/>
      <c r="AN492" s="837"/>
      <c r="AO492" s="837"/>
      <c r="AP492" s="837"/>
      <c r="AQ492" s="837"/>
      <c r="AR492" s="837"/>
      <c r="AS492" s="874"/>
      <c r="AT492" s="837"/>
      <c r="AU492" s="836"/>
      <c r="AV492" s="836"/>
      <c r="AW492" s="836"/>
      <c r="AX492" s="836"/>
      <c r="AY492" s="836"/>
    </row>
    <row r="493" spans="4:51" s="526" customFormat="1" x14ac:dyDescent="0.2">
      <c r="D493" s="708"/>
      <c r="E493" s="708"/>
      <c r="F493" s="708"/>
      <c r="G493" s="527"/>
      <c r="H493" s="709"/>
      <c r="I493" s="710"/>
      <c r="J493" s="710"/>
      <c r="K493" s="711"/>
      <c r="L493" s="711"/>
      <c r="M493" s="710"/>
      <c r="N493" s="711"/>
      <c r="O493" s="710"/>
      <c r="P493" s="527"/>
      <c r="Q493" s="527"/>
      <c r="R493" s="711"/>
      <c r="U493" s="712"/>
      <c r="V493" s="712"/>
      <c r="W493" s="712"/>
      <c r="X493" s="604"/>
      <c r="Y493" s="604"/>
      <c r="Z493" s="873"/>
      <c r="AA493" s="866"/>
      <c r="AB493" s="864"/>
      <c r="AC493" s="837"/>
      <c r="AD493" s="837"/>
      <c r="AE493" s="837"/>
      <c r="AF493" s="837"/>
      <c r="AG493" s="837"/>
      <c r="AH493" s="837"/>
      <c r="AI493" s="837"/>
      <c r="AJ493" s="874"/>
      <c r="AK493" s="837"/>
      <c r="AL493" s="837"/>
      <c r="AM493" s="837"/>
      <c r="AN493" s="837"/>
      <c r="AO493" s="837"/>
      <c r="AP493" s="837"/>
      <c r="AQ493" s="837"/>
      <c r="AR493" s="837"/>
      <c r="AS493" s="874"/>
      <c r="AT493" s="837"/>
      <c r="AU493" s="836"/>
      <c r="AV493" s="836"/>
      <c r="AW493" s="836"/>
      <c r="AX493" s="836"/>
      <c r="AY493" s="836"/>
    </row>
    <row r="494" spans="4:51" s="526" customFormat="1" x14ac:dyDescent="0.2">
      <c r="D494" s="708"/>
      <c r="E494" s="708"/>
      <c r="F494" s="708"/>
      <c r="G494" s="527"/>
      <c r="H494" s="709"/>
      <c r="I494" s="710"/>
      <c r="J494" s="710"/>
      <c r="K494" s="711"/>
      <c r="L494" s="711"/>
      <c r="M494" s="710"/>
      <c r="N494" s="711"/>
      <c r="O494" s="710"/>
      <c r="P494" s="527"/>
      <c r="Q494" s="527"/>
      <c r="R494" s="711"/>
      <c r="U494" s="712"/>
      <c r="V494" s="712"/>
      <c r="W494" s="712"/>
      <c r="X494" s="604"/>
      <c r="Y494" s="604"/>
      <c r="Z494" s="873"/>
      <c r="AA494" s="866"/>
      <c r="AB494" s="864"/>
      <c r="AC494" s="837"/>
      <c r="AD494" s="837"/>
      <c r="AE494" s="837"/>
      <c r="AF494" s="837"/>
      <c r="AG494" s="837"/>
      <c r="AH494" s="837"/>
      <c r="AI494" s="837"/>
      <c r="AJ494" s="874"/>
      <c r="AK494" s="837"/>
      <c r="AL494" s="837"/>
      <c r="AM494" s="837"/>
      <c r="AN494" s="837"/>
      <c r="AO494" s="837"/>
      <c r="AP494" s="837"/>
      <c r="AQ494" s="837"/>
      <c r="AR494" s="837"/>
      <c r="AS494" s="874"/>
      <c r="AT494" s="837"/>
      <c r="AU494" s="836"/>
      <c r="AV494" s="836"/>
      <c r="AW494" s="836"/>
      <c r="AX494" s="836"/>
      <c r="AY494" s="836"/>
    </row>
    <row r="495" spans="4:51" s="526" customFormat="1" x14ac:dyDescent="0.2">
      <c r="D495" s="708"/>
      <c r="E495" s="708"/>
      <c r="F495" s="708"/>
      <c r="G495" s="527"/>
      <c r="H495" s="709"/>
      <c r="I495" s="710"/>
      <c r="J495" s="710"/>
      <c r="K495" s="711"/>
      <c r="L495" s="711"/>
      <c r="M495" s="710"/>
      <c r="N495" s="711"/>
      <c r="O495" s="710"/>
      <c r="P495" s="527"/>
      <c r="Q495" s="527"/>
      <c r="R495" s="711"/>
      <c r="U495" s="712"/>
      <c r="V495" s="712"/>
      <c r="W495" s="712"/>
      <c r="X495" s="604"/>
      <c r="Y495" s="604"/>
      <c r="Z495" s="873"/>
      <c r="AA495" s="866"/>
      <c r="AB495" s="864"/>
      <c r="AC495" s="837"/>
      <c r="AD495" s="837"/>
      <c r="AE495" s="837"/>
      <c r="AF495" s="837"/>
      <c r="AG495" s="837"/>
      <c r="AH495" s="837"/>
      <c r="AI495" s="837"/>
      <c r="AJ495" s="874"/>
      <c r="AK495" s="837"/>
      <c r="AL495" s="837"/>
      <c r="AM495" s="837"/>
      <c r="AN495" s="837"/>
      <c r="AO495" s="837"/>
      <c r="AP495" s="837"/>
      <c r="AQ495" s="837"/>
      <c r="AR495" s="837"/>
      <c r="AS495" s="874"/>
      <c r="AT495" s="837"/>
      <c r="AU495" s="836"/>
      <c r="AV495" s="836"/>
      <c r="AW495" s="836"/>
      <c r="AX495" s="836"/>
      <c r="AY495" s="836"/>
    </row>
    <row r="496" spans="4:51" s="526" customFormat="1" x14ac:dyDescent="0.2">
      <c r="D496" s="708"/>
      <c r="E496" s="708"/>
      <c r="F496" s="708"/>
      <c r="G496" s="527"/>
      <c r="H496" s="709"/>
      <c r="I496" s="710"/>
      <c r="J496" s="710"/>
      <c r="K496" s="711"/>
      <c r="L496" s="711"/>
      <c r="M496" s="710"/>
      <c r="N496" s="711"/>
      <c r="O496" s="710"/>
      <c r="P496" s="527"/>
      <c r="Q496" s="527"/>
      <c r="R496" s="711"/>
      <c r="U496" s="712"/>
      <c r="V496" s="712"/>
      <c r="W496" s="712"/>
      <c r="X496" s="604"/>
      <c r="Y496" s="604"/>
      <c r="Z496" s="873"/>
      <c r="AA496" s="866"/>
      <c r="AB496" s="864"/>
      <c r="AC496" s="837"/>
      <c r="AD496" s="837"/>
      <c r="AE496" s="837"/>
      <c r="AF496" s="837"/>
      <c r="AG496" s="837"/>
      <c r="AH496" s="837"/>
      <c r="AI496" s="837"/>
      <c r="AJ496" s="874"/>
      <c r="AK496" s="837"/>
      <c r="AL496" s="837"/>
      <c r="AM496" s="837"/>
      <c r="AN496" s="837"/>
      <c r="AO496" s="837"/>
      <c r="AP496" s="837"/>
      <c r="AQ496" s="837"/>
      <c r="AR496" s="837"/>
      <c r="AS496" s="874"/>
      <c r="AT496" s="837"/>
      <c r="AU496" s="836"/>
      <c r="AV496" s="836"/>
      <c r="AW496" s="836"/>
      <c r="AX496" s="836"/>
      <c r="AY496" s="836"/>
    </row>
    <row r="497" spans="4:51" s="526" customFormat="1" x14ac:dyDescent="0.2">
      <c r="D497" s="708"/>
      <c r="E497" s="708"/>
      <c r="F497" s="708"/>
      <c r="G497" s="527"/>
      <c r="H497" s="709"/>
      <c r="I497" s="710"/>
      <c r="J497" s="710"/>
      <c r="K497" s="711"/>
      <c r="L497" s="711"/>
      <c r="M497" s="710"/>
      <c r="N497" s="711"/>
      <c r="O497" s="710"/>
      <c r="P497" s="527"/>
      <c r="Q497" s="527"/>
      <c r="R497" s="711"/>
      <c r="U497" s="712"/>
      <c r="V497" s="712"/>
      <c r="W497" s="712"/>
      <c r="X497" s="604"/>
      <c r="Y497" s="604"/>
      <c r="Z497" s="873"/>
      <c r="AA497" s="866"/>
      <c r="AB497" s="864"/>
      <c r="AC497" s="837"/>
      <c r="AD497" s="837"/>
      <c r="AE497" s="837"/>
      <c r="AF497" s="837"/>
      <c r="AG497" s="837"/>
      <c r="AH497" s="837"/>
      <c r="AI497" s="837"/>
      <c r="AJ497" s="874"/>
      <c r="AK497" s="837"/>
      <c r="AL497" s="837"/>
      <c r="AM497" s="837"/>
      <c r="AN497" s="837"/>
      <c r="AO497" s="837"/>
      <c r="AP497" s="837"/>
      <c r="AQ497" s="837"/>
      <c r="AR497" s="837"/>
      <c r="AS497" s="874"/>
      <c r="AT497" s="837"/>
      <c r="AU497" s="836"/>
      <c r="AV497" s="836"/>
      <c r="AW497" s="836"/>
      <c r="AX497" s="836"/>
      <c r="AY497" s="836"/>
    </row>
    <row r="498" spans="4:51" s="526" customFormat="1" x14ac:dyDescent="0.2">
      <c r="D498" s="708"/>
      <c r="E498" s="708"/>
      <c r="F498" s="708"/>
      <c r="G498" s="527"/>
      <c r="H498" s="709"/>
      <c r="I498" s="710"/>
      <c r="J498" s="710"/>
      <c r="K498" s="711"/>
      <c r="L498" s="711"/>
      <c r="M498" s="710"/>
      <c r="N498" s="711"/>
      <c r="O498" s="710"/>
      <c r="P498" s="527"/>
      <c r="Q498" s="527"/>
      <c r="R498" s="711"/>
      <c r="U498" s="712"/>
      <c r="V498" s="712"/>
      <c r="W498" s="712"/>
      <c r="X498" s="604"/>
      <c r="Y498" s="604"/>
      <c r="Z498" s="873"/>
      <c r="AA498" s="866"/>
      <c r="AB498" s="864"/>
      <c r="AC498" s="837"/>
      <c r="AD498" s="837"/>
      <c r="AE498" s="837"/>
      <c r="AF498" s="837"/>
      <c r="AG498" s="837"/>
      <c r="AH498" s="837"/>
      <c r="AI498" s="837"/>
      <c r="AJ498" s="874"/>
      <c r="AK498" s="837"/>
      <c r="AL498" s="837"/>
      <c r="AM498" s="837"/>
      <c r="AN498" s="837"/>
      <c r="AO498" s="837"/>
      <c r="AP498" s="837"/>
      <c r="AQ498" s="837"/>
      <c r="AR498" s="837"/>
      <c r="AS498" s="874"/>
      <c r="AT498" s="837"/>
      <c r="AU498" s="836"/>
      <c r="AV498" s="836"/>
      <c r="AW498" s="836"/>
      <c r="AX498" s="836"/>
      <c r="AY498" s="836"/>
    </row>
    <row r="499" spans="4:51" s="526" customFormat="1" x14ac:dyDescent="0.2">
      <c r="D499" s="708"/>
      <c r="E499" s="708"/>
      <c r="F499" s="708"/>
      <c r="G499" s="527"/>
      <c r="H499" s="709"/>
      <c r="I499" s="710"/>
      <c r="J499" s="710"/>
      <c r="K499" s="711"/>
      <c r="L499" s="711"/>
      <c r="M499" s="710"/>
      <c r="N499" s="711"/>
      <c r="O499" s="710"/>
      <c r="P499" s="527"/>
      <c r="Q499" s="527"/>
      <c r="R499" s="711"/>
      <c r="U499" s="712"/>
      <c r="V499" s="712"/>
      <c r="W499" s="712"/>
      <c r="X499" s="604"/>
      <c r="Y499" s="604"/>
      <c r="Z499" s="873"/>
      <c r="AA499" s="866"/>
      <c r="AB499" s="864"/>
      <c r="AC499" s="837"/>
      <c r="AD499" s="837"/>
      <c r="AE499" s="837"/>
      <c r="AF499" s="837"/>
      <c r="AG499" s="837"/>
      <c r="AH499" s="837"/>
      <c r="AI499" s="837"/>
      <c r="AJ499" s="874"/>
      <c r="AK499" s="837"/>
      <c r="AL499" s="837"/>
      <c r="AM499" s="837"/>
      <c r="AN499" s="837"/>
      <c r="AO499" s="837"/>
      <c r="AP499" s="837"/>
      <c r="AQ499" s="837"/>
      <c r="AR499" s="837"/>
      <c r="AS499" s="874"/>
      <c r="AT499" s="837"/>
      <c r="AU499" s="836"/>
      <c r="AV499" s="836"/>
      <c r="AW499" s="836"/>
      <c r="AX499" s="836"/>
      <c r="AY499" s="836"/>
    </row>
    <row r="500" spans="4:51" s="526" customFormat="1" x14ac:dyDescent="0.2">
      <c r="D500" s="708"/>
      <c r="E500" s="708"/>
      <c r="F500" s="708"/>
      <c r="G500" s="527"/>
      <c r="H500" s="709"/>
      <c r="I500" s="710"/>
      <c r="J500" s="710"/>
      <c r="K500" s="711"/>
      <c r="L500" s="711"/>
      <c r="M500" s="710"/>
      <c r="N500" s="711"/>
      <c r="O500" s="710"/>
      <c r="P500" s="527"/>
      <c r="Q500" s="527"/>
      <c r="R500" s="711"/>
      <c r="U500" s="712"/>
      <c r="V500" s="712"/>
      <c r="W500" s="712"/>
      <c r="X500" s="604"/>
      <c r="Y500" s="604"/>
      <c r="Z500" s="873"/>
      <c r="AA500" s="866"/>
      <c r="AB500" s="864"/>
      <c r="AC500" s="837"/>
      <c r="AD500" s="837"/>
      <c r="AE500" s="837"/>
      <c r="AF500" s="837"/>
      <c r="AG500" s="837"/>
      <c r="AH500" s="837"/>
      <c r="AI500" s="837"/>
      <c r="AJ500" s="874"/>
      <c r="AK500" s="837"/>
      <c r="AL500" s="837"/>
      <c r="AM500" s="837"/>
      <c r="AN500" s="837"/>
      <c r="AO500" s="837"/>
      <c r="AP500" s="837"/>
      <c r="AQ500" s="837"/>
      <c r="AR500" s="837"/>
      <c r="AS500" s="874"/>
      <c r="AT500" s="837"/>
      <c r="AU500" s="836"/>
      <c r="AV500" s="836"/>
      <c r="AW500" s="836"/>
      <c r="AX500" s="836"/>
      <c r="AY500" s="836"/>
    </row>
    <row r="501" spans="4:51" s="526" customFormat="1" x14ac:dyDescent="0.2">
      <c r="D501" s="708"/>
      <c r="E501" s="708"/>
      <c r="F501" s="708"/>
      <c r="G501" s="527"/>
      <c r="H501" s="709"/>
      <c r="I501" s="710"/>
      <c r="J501" s="710"/>
      <c r="K501" s="711"/>
      <c r="L501" s="711"/>
      <c r="M501" s="710"/>
      <c r="N501" s="711"/>
      <c r="O501" s="710"/>
      <c r="P501" s="527"/>
      <c r="Q501" s="527"/>
      <c r="R501" s="711"/>
      <c r="U501" s="712"/>
      <c r="V501" s="712"/>
      <c r="W501" s="712"/>
      <c r="X501" s="604"/>
      <c r="Y501" s="604"/>
      <c r="Z501" s="873"/>
      <c r="AA501" s="866"/>
      <c r="AB501" s="864"/>
      <c r="AC501" s="837"/>
      <c r="AD501" s="837"/>
      <c r="AE501" s="837"/>
      <c r="AF501" s="837"/>
      <c r="AG501" s="837"/>
      <c r="AH501" s="837"/>
      <c r="AI501" s="837"/>
      <c r="AJ501" s="874"/>
      <c r="AK501" s="837"/>
      <c r="AL501" s="837"/>
      <c r="AM501" s="837"/>
      <c r="AN501" s="837"/>
      <c r="AO501" s="837"/>
      <c r="AP501" s="837"/>
      <c r="AQ501" s="837"/>
      <c r="AR501" s="837"/>
      <c r="AS501" s="874"/>
      <c r="AT501" s="837"/>
      <c r="AU501" s="836"/>
      <c r="AV501" s="836"/>
      <c r="AW501" s="836"/>
      <c r="AX501" s="836"/>
      <c r="AY501" s="836"/>
    </row>
    <row r="502" spans="4:51" s="526" customFormat="1" x14ac:dyDescent="0.2">
      <c r="D502" s="708"/>
      <c r="E502" s="708"/>
      <c r="F502" s="708"/>
      <c r="G502" s="527"/>
      <c r="H502" s="709"/>
      <c r="I502" s="710"/>
      <c r="J502" s="710"/>
      <c r="K502" s="711"/>
      <c r="L502" s="711"/>
      <c r="M502" s="710"/>
      <c r="N502" s="711"/>
      <c r="O502" s="710"/>
      <c r="P502" s="527"/>
      <c r="Q502" s="527"/>
      <c r="R502" s="711"/>
      <c r="U502" s="712"/>
      <c r="V502" s="712"/>
      <c r="W502" s="712"/>
      <c r="X502" s="604"/>
      <c r="Y502" s="604"/>
      <c r="Z502" s="873"/>
      <c r="AA502" s="866"/>
      <c r="AB502" s="864"/>
      <c r="AC502" s="837"/>
      <c r="AD502" s="837"/>
      <c r="AE502" s="837"/>
      <c r="AF502" s="837"/>
      <c r="AG502" s="837"/>
      <c r="AH502" s="837"/>
      <c r="AI502" s="837"/>
      <c r="AJ502" s="874"/>
      <c r="AK502" s="837"/>
      <c r="AL502" s="837"/>
      <c r="AM502" s="837"/>
      <c r="AN502" s="837"/>
      <c r="AO502" s="837"/>
      <c r="AP502" s="837"/>
      <c r="AQ502" s="837"/>
      <c r="AR502" s="837"/>
      <c r="AS502" s="874"/>
      <c r="AT502" s="837"/>
      <c r="AU502" s="836"/>
      <c r="AV502" s="836"/>
      <c r="AW502" s="836"/>
      <c r="AX502" s="836"/>
      <c r="AY502" s="836"/>
    </row>
    <row r="503" spans="4:51" s="526" customFormat="1" x14ac:dyDescent="0.2">
      <c r="D503" s="708"/>
      <c r="E503" s="708"/>
      <c r="F503" s="708"/>
      <c r="G503" s="527"/>
      <c r="H503" s="709"/>
      <c r="I503" s="710"/>
      <c r="J503" s="710"/>
      <c r="K503" s="711"/>
      <c r="L503" s="711"/>
      <c r="M503" s="710"/>
      <c r="N503" s="711"/>
      <c r="O503" s="710"/>
      <c r="P503" s="527"/>
      <c r="Q503" s="527"/>
      <c r="R503" s="711"/>
      <c r="U503" s="712"/>
      <c r="V503" s="712"/>
      <c r="W503" s="712"/>
      <c r="X503" s="604"/>
      <c r="Y503" s="604"/>
      <c r="Z503" s="873"/>
      <c r="AA503" s="866"/>
      <c r="AB503" s="864"/>
      <c r="AC503" s="837"/>
      <c r="AD503" s="837"/>
      <c r="AE503" s="837"/>
      <c r="AF503" s="837"/>
      <c r="AG503" s="837"/>
      <c r="AH503" s="837"/>
      <c r="AI503" s="837"/>
      <c r="AJ503" s="874"/>
      <c r="AK503" s="837"/>
      <c r="AL503" s="837"/>
      <c r="AM503" s="837"/>
      <c r="AN503" s="837"/>
      <c r="AO503" s="837"/>
      <c r="AP503" s="837"/>
      <c r="AQ503" s="837"/>
      <c r="AR503" s="837"/>
      <c r="AS503" s="874"/>
      <c r="AT503" s="837"/>
      <c r="AU503" s="836"/>
      <c r="AV503" s="836"/>
      <c r="AW503" s="836"/>
      <c r="AX503" s="836"/>
      <c r="AY503" s="836"/>
    </row>
    <row r="504" spans="4:51" s="526" customFormat="1" x14ac:dyDescent="0.2">
      <c r="D504" s="708"/>
      <c r="E504" s="708"/>
      <c r="F504" s="708"/>
      <c r="G504" s="527"/>
      <c r="H504" s="709"/>
      <c r="I504" s="710"/>
      <c r="J504" s="710"/>
      <c r="K504" s="711"/>
      <c r="L504" s="711"/>
      <c r="M504" s="710"/>
      <c r="N504" s="711"/>
      <c r="O504" s="710"/>
      <c r="P504" s="527"/>
      <c r="Q504" s="527"/>
      <c r="R504" s="711"/>
      <c r="U504" s="712"/>
      <c r="V504" s="712"/>
      <c r="W504" s="712"/>
      <c r="X504" s="604"/>
      <c r="Y504" s="604"/>
      <c r="Z504" s="873"/>
      <c r="AA504" s="866"/>
      <c r="AB504" s="864"/>
      <c r="AC504" s="837"/>
      <c r="AD504" s="837"/>
      <c r="AE504" s="837"/>
      <c r="AF504" s="837"/>
      <c r="AG504" s="837"/>
      <c r="AH504" s="837"/>
      <c r="AI504" s="837"/>
      <c r="AJ504" s="874"/>
      <c r="AK504" s="837"/>
      <c r="AL504" s="837"/>
      <c r="AM504" s="837"/>
      <c r="AN504" s="837"/>
      <c r="AO504" s="837"/>
      <c r="AP504" s="837"/>
      <c r="AQ504" s="837"/>
      <c r="AR504" s="837"/>
      <c r="AS504" s="874"/>
      <c r="AT504" s="837"/>
      <c r="AU504" s="836"/>
      <c r="AV504" s="836"/>
      <c r="AW504" s="836"/>
      <c r="AX504" s="836"/>
      <c r="AY504" s="836"/>
    </row>
    <row r="505" spans="4:51" s="526" customFormat="1" x14ac:dyDescent="0.2">
      <c r="D505" s="708"/>
      <c r="E505" s="708"/>
      <c r="F505" s="708"/>
      <c r="G505" s="527"/>
      <c r="H505" s="709"/>
      <c r="I505" s="710"/>
      <c r="J505" s="710"/>
      <c r="K505" s="711"/>
      <c r="L505" s="711"/>
      <c r="M505" s="710"/>
      <c r="N505" s="711"/>
      <c r="O505" s="710"/>
      <c r="P505" s="527"/>
      <c r="Q505" s="527"/>
      <c r="R505" s="711"/>
      <c r="U505" s="712"/>
      <c r="V505" s="712"/>
      <c r="W505" s="712"/>
      <c r="X505" s="604"/>
      <c r="Y505" s="604"/>
      <c r="Z505" s="873"/>
      <c r="AA505" s="866"/>
      <c r="AB505" s="864"/>
      <c r="AC505" s="837"/>
      <c r="AD505" s="837"/>
      <c r="AE505" s="837"/>
      <c r="AF505" s="837"/>
      <c r="AG505" s="837"/>
      <c r="AH505" s="837"/>
      <c r="AI505" s="837"/>
      <c r="AJ505" s="874"/>
      <c r="AK505" s="837"/>
      <c r="AL505" s="837"/>
      <c r="AM505" s="837"/>
      <c r="AN505" s="837"/>
      <c r="AO505" s="837"/>
      <c r="AP505" s="837"/>
      <c r="AQ505" s="837"/>
      <c r="AR505" s="837"/>
      <c r="AS505" s="874"/>
      <c r="AT505" s="837"/>
      <c r="AU505" s="836"/>
      <c r="AV505" s="836"/>
      <c r="AW505" s="836"/>
      <c r="AX505" s="836"/>
      <c r="AY505" s="836"/>
    </row>
    <row r="506" spans="4:51" s="526" customFormat="1" x14ac:dyDescent="0.2">
      <c r="D506" s="708"/>
      <c r="E506" s="708"/>
      <c r="F506" s="708"/>
      <c r="G506" s="527"/>
      <c r="H506" s="709"/>
      <c r="I506" s="710"/>
      <c r="J506" s="710"/>
      <c r="K506" s="711"/>
      <c r="L506" s="711"/>
      <c r="M506" s="710"/>
      <c r="N506" s="711"/>
      <c r="O506" s="710"/>
      <c r="P506" s="527"/>
      <c r="Q506" s="527"/>
      <c r="R506" s="711"/>
      <c r="U506" s="712"/>
      <c r="V506" s="712"/>
      <c r="W506" s="712"/>
      <c r="X506" s="604"/>
      <c r="Y506" s="604"/>
      <c r="Z506" s="873"/>
      <c r="AA506" s="866"/>
      <c r="AB506" s="864"/>
      <c r="AC506" s="837"/>
      <c r="AD506" s="837"/>
      <c r="AE506" s="837"/>
      <c r="AF506" s="837"/>
      <c r="AG506" s="837"/>
      <c r="AH506" s="837"/>
      <c r="AI506" s="837"/>
      <c r="AJ506" s="874"/>
      <c r="AK506" s="837"/>
      <c r="AL506" s="837"/>
      <c r="AM506" s="837"/>
      <c r="AN506" s="837"/>
      <c r="AO506" s="837"/>
      <c r="AP506" s="837"/>
      <c r="AQ506" s="837"/>
      <c r="AR506" s="837"/>
      <c r="AS506" s="874"/>
      <c r="AT506" s="837"/>
      <c r="AU506" s="836"/>
      <c r="AV506" s="836"/>
      <c r="AW506" s="836"/>
      <c r="AX506" s="836"/>
      <c r="AY506" s="836"/>
    </row>
    <row r="507" spans="4:51" s="526" customFormat="1" x14ac:dyDescent="0.2">
      <c r="D507" s="708"/>
      <c r="E507" s="708"/>
      <c r="F507" s="708"/>
      <c r="G507" s="527"/>
      <c r="H507" s="709"/>
      <c r="I507" s="710"/>
      <c r="J507" s="710"/>
      <c r="K507" s="711"/>
      <c r="L507" s="711"/>
      <c r="M507" s="710"/>
      <c r="N507" s="711"/>
      <c r="O507" s="710"/>
      <c r="P507" s="527"/>
      <c r="Q507" s="527"/>
      <c r="R507" s="711"/>
      <c r="U507" s="712"/>
      <c r="V507" s="712"/>
      <c r="W507" s="712"/>
      <c r="X507" s="604"/>
      <c r="Y507" s="604"/>
      <c r="Z507" s="873"/>
      <c r="AA507" s="866"/>
      <c r="AB507" s="864"/>
      <c r="AC507" s="837"/>
      <c r="AD507" s="837"/>
      <c r="AE507" s="837"/>
      <c r="AF507" s="837"/>
      <c r="AG507" s="837"/>
      <c r="AH507" s="837"/>
      <c r="AI507" s="837"/>
      <c r="AJ507" s="874"/>
      <c r="AK507" s="837"/>
      <c r="AL507" s="837"/>
      <c r="AM507" s="837"/>
      <c r="AN507" s="837"/>
      <c r="AO507" s="837"/>
      <c r="AP507" s="837"/>
      <c r="AQ507" s="837"/>
      <c r="AR507" s="837"/>
      <c r="AS507" s="874"/>
      <c r="AT507" s="837"/>
      <c r="AU507" s="836"/>
      <c r="AV507" s="836"/>
      <c r="AW507" s="836"/>
      <c r="AX507" s="836"/>
      <c r="AY507" s="836"/>
    </row>
    <row r="508" spans="4:51" s="526" customFormat="1" x14ac:dyDescent="0.2">
      <c r="D508" s="708"/>
      <c r="E508" s="708"/>
      <c r="F508" s="708"/>
      <c r="G508" s="527"/>
      <c r="H508" s="709"/>
      <c r="I508" s="710"/>
      <c r="J508" s="710"/>
      <c r="K508" s="711"/>
      <c r="L508" s="711"/>
      <c r="M508" s="710"/>
      <c r="N508" s="711"/>
      <c r="O508" s="710"/>
      <c r="P508" s="527"/>
      <c r="Q508" s="527"/>
      <c r="R508" s="711"/>
      <c r="U508" s="712"/>
      <c r="V508" s="712"/>
      <c r="W508" s="712"/>
      <c r="X508" s="604"/>
      <c r="Y508" s="604"/>
      <c r="Z508" s="873"/>
      <c r="AA508" s="866"/>
      <c r="AB508" s="864"/>
      <c r="AC508" s="837"/>
      <c r="AD508" s="837"/>
      <c r="AE508" s="837"/>
      <c r="AF508" s="837"/>
      <c r="AG508" s="837"/>
      <c r="AH508" s="837"/>
      <c r="AI508" s="837"/>
      <c r="AJ508" s="874"/>
      <c r="AK508" s="837"/>
      <c r="AL508" s="837"/>
      <c r="AM508" s="837"/>
      <c r="AN508" s="837"/>
      <c r="AO508" s="837"/>
      <c r="AP508" s="837"/>
      <c r="AQ508" s="837"/>
      <c r="AR508" s="837"/>
      <c r="AS508" s="874"/>
      <c r="AT508" s="837"/>
      <c r="AU508" s="836"/>
      <c r="AV508" s="836"/>
      <c r="AW508" s="836"/>
      <c r="AX508" s="836"/>
      <c r="AY508" s="836"/>
    </row>
    <row r="509" spans="4:51" s="526" customFormat="1" x14ac:dyDescent="0.2">
      <c r="D509" s="708"/>
      <c r="E509" s="708"/>
      <c r="F509" s="708"/>
      <c r="G509" s="527"/>
      <c r="H509" s="709"/>
      <c r="I509" s="710"/>
      <c r="J509" s="710"/>
      <c r="K509" s="711"/>
      <c r="L509" s="711"/>
      <c r="M509" s="710"/>
      <c r="N509" s="711"/>
      <c r="O509" s="710"/>
      <c r="P509" s="527"/>
      <c r="Q509" s="527"/>
      <c r="R509" s="711"/>
      <c r="U509" s="712"/>
      <c r="V509" s="712"/>
      <c r="W509" s="712"/>
      <c r="X509" s="604"/>
      <c r="Y509" s="604"/>
      <c r="Z509" s="873"/>
      <c r="AA509" s="866"/>
      <c r="AB509" s="864"/>
      <c r="AC509" s="837"/>
      <c r="AD509" s="837"/>
      <c r="AE509" s="837"/>
      <c r="AF509" s="837"/>
      <c r="AG509" s="837"/>
      <c r="AH509" s="837"/>
      <c r="AI509" s="837"/>
      <c r="AJ509" s="874"/>
      <c r="AK509" s="837"/>
      <c r="AL509" s="837"/>
      <c r="AM509" s="837"/>
      <c r="AN509" s="837"/>
      <c r="AO509" s="837"/>
      <c r="AP509" s="837"/>
      <c r="AQ509" s="837"/>
      <c r="AR509" s="837"/>
      <c r="AS509" s="874"/>
      <c r="AT509" s="837"/>
      <c r="AU509" s="836"/>
      <c r="AV509" s="836"/>
      <c r="AW509" s="836"/>
      <c r="AX509" s="836"/>
      <c r="AY509" s="836"/>
    </row>
    <row r="510" spans="4:51" s="526" customFormat="1" x14ac:dyDescent="0.2">
      <c r="D510" s="708"/>
      <c r="E510" s="708"/>
      <c r="F510" s="708"/>
      <c r="G510" s="527"/>
      <c r="H510" s="709"/>
      <c r="I510" s="710"/>
      <c r="J510" s="710"/>
      <c r="K510" s="711"/>
      <c r="L510" s="711"/>
      <c r="M510" s="710"/>
      <c r="N510" s="711"/>
      <c r="O510" s="710"/>
      <c r="P510" s="527"/>
      <c r="Q510" s="527"/>
      <c r="R510" s="711"/>
      <c r="U510" s="712"/>
      <c r="V510" s="712"/>
      <c r="W510" s="712"/>
      <c r="X510" s="604"/>
      <c r="Y510" s="604"/>
      <c r="Z510" s="873"/>
      <c r="AA510" s="866"/>
      <c r="AB510" s="864"/>
      <c r="AC510" s="837"/>
      <c r="AD510" s="837"/>
      <c r="AE510" s="837"/>
      <c r="AF510" s="837"/>
      <c r="AG510" s="837"/>
      <c r="AH510" s="837"/>
      <c r="AI510" s="837"/>
      <c r="AJ510" s="874"/>
      <c r="AK510" s="837"/>
      <c r="AL510" s="837"/>
      <c r="AM510" s="837"/>
      <c r="AN510" s="837"/>
      <c r="AO510" s="837"/>
      <c r="AP510" s="837"/>
      <c r="AQ510" s="837"/>
      <c r="AR510" s="837"/>
      <c r="AS510" s="874"/>
      <c r="AT510" s="837"/>
      <c r="AU510" s="836"/>
      <c r="AV510" s="836"/>
      <c r="AW510" s="836"/>
      <c r="AX510" s="836"/>
      <c r="AY510" s="836"/>
    </row>
    <row r="511" spans="4:51" s="526" customFormat="1" x14ac:dyDescent="0.2">
      <c r="D511" s="708"/>
      <c r="E511" s="708"/>
      <c r="F511" s="708"/>
      <c r="G511" s="527"/>
      <c r="H511" s="709"/>
      <c r="I511" s="710"/>
      <c r="J511" s="710"/>
      <c r="K511" s="711"/>
      <c r="L511" s="711"/>
      <c r="M511" s="710"/>
      <c r="N511" s="711"/>
      <c r="O511" s="710"/>
      <c r="P511" s="527"/>
      <c r="Q511" s="527"/>
      <c r="R511" s="711"/>
      <c r="U511" s="712"/>
      <c r="V511" s="712"/>
      <c r="W511" s="712"/>
      <c r="X511" s="604"/>
      <c r="Y511" s="604"/>
      <c r="Z511" s="873"/>
      <c r="AA511" s="866"/>
      <c r="AB511" s="864"/>
      <c r="AC511" s="837"/>
      <c r="AD511" s="837"/>
      <c r="AE511" s="837"/>
      <c r="AF511" s="837"/>
      <c r="AG511" s="837"/>
      <c r="AH511" s="837"/>
      <c r="AI511" s="837"/>
      <c r="AJ511" s="874"/>
      <c r="AK511" s="837"/>
      <c r="AL511" s="837"/>
      <c r="AM511" s="837"/>
      <c r="AN511" s="837"/>
      <c r="AO511" s="837"/>
      <c r="AP511" s="837"/>
      <c r="AQ511" s="837"/>
      <c r="AR511" s="837"/>
      <c r="AS511" s="874"/>
      <c r="AT511" s="837"/>
      <c r="AU511" s="836"/>
      <c r="AV511" s="836"/>
      <c r="AW511" s="836"/>
      <c r="AX511" s="836"/>
      <c r="AY511" s="836"/>
    </row>
    <row r="512" spans="4:51" s="526" customFormat="1" x14ac:dyDescent="0.2">
      <c r="D512" s="708"/>
      <c r="E512" s="708"/>
      <c r="F512" s="708"/>
      <c r="G512" s="527"/>
      <c r="H512" s="709"/>
      <c r="I512" s="710"/>
      <c r="J512" s="710"/>
      <c r="K512" s="711"/>
      <c r="L512" s="711"/>
      <c r="M512" s="710"/>
      <c r="N512" s="711"/>
      <c r="O512" s="710"/>
      <c r="P512" s="527"/>
      <c r="Q512" s="527"/>
      <c r="R512" s="711"/>
      <c r="U512" s="712"/>
      <c r="V512" s="712"/>
      <c r="W512" s="712"/>
      <c r="X512" s="604"/>
      <c r="Y512" s="604"/>
      <c r="Z512" s="873"/>
      <c r="AA512" s="866"/>
      <c r="AB512" s="864"/>
      <c r="AC512" s="837"/>
      <c r="AD512" s="837"/>
      <c r="AE512" s="837"/>
      <c r="AF512" s="837"/>
      <c r="AG512" s="837"/>
      <c r="AH512" s="837"/>
      <c r="AI512" s="837"/>
      <c r="AJ512" s="874"/>
      <c r="AK512" s="837"/>
      <c r="AL512" s="837"/>
      <c r="AM512" s="837"/>
      <c r="AN512" s="837"/>
      <c r="AO512" s="837"/>
      <c r="AP512" s="837"/>
      <c r="AQ512" s="837"/>
      <c r="AR512" s="837"/>
      <c r="AS512" s="874"/>
      <c r="AT512" s="837"/>
      <c r="AU512" s="836"/>
      <c r="AV512" s="836"/>
      <c r="AW512" s="836"/>
      <c r="AX512" s="836"/>
      <c r="AY512" s="836"/>
    </row>
    <row r="513" spans="4:51" s="526" customFormat="1" x14ac:dyDescent="0.2">
      <c r="D513" s="708"/>
      <c r="E513" s="708"/>
      <c r="F513" s="708"/>
      <c r="G513" s="527"/>
      <c r="H513" s="709"/>
      <c r="I513" s="710"/>
      <c r="J513" s="710"/>
      <c r="K513" s="711"/>
      <c r="L513" s="711"/>
      <c r="M513" s="710"/>
      <c r="N513" s="711"/>
      <c r="O513" s="710"/>
      <c r="P513" s="527"/>
      <c r="Q513" s="527"/>
      <c r="R513" s="711"/>
      <c r="U513" s="712"/>
      <c r="V513" s="712"/>
      <c r="W513" s="712"/>
      <c r="X513" s="604"/>
      <c r="Y513" s="604"/>
      <c r="Z513" s="873"/>
      <c r="AA513" s="866"/>
      <c r="AB513" s="864"/>
      <c r="AC513" s="837"/>
      <c r="AD513" s="837"/>
      <c r="AE513" s="837"/>
      <c r="AF513" s="837"/>
      <c r="AG513" s="837"/>
      <c r="AH513" s="837"/>
      <c r="AI513" s="837"/>
      <c r="AJ513" s="874"/>
      <c r="AK513" s="837"/>
      <c r="AL513" s="837"/>
      <c r="AM513" s="837"/>
      <c r="AN513" s="837"/>
      <c r="AO513" s="837"/>
      <c r="AP513" s="837"/>
      <c r="AQ513" s="837"/>
      <c r="AR513" s="837"/>
      <c r="AS513" s="874"/>
      <c r="AT513" s="837"/>
      <c r="AU513" s="836"/>
      <c r="AV513" s="836"/>
      <c r="AW513" s="836"/>
      <c r="AX513" s="836"/>
      <c r="AY513" s="836"/>
    </row>
    <row r="514" spans="4:51" s="526" customFormat="1" x14ac:dyDescent="0.2">
      <c r="D514" s="708"/>
      <c r="E514" s="708"/>
      <c r="F514" s="708"/>
      <c r="G514" s="527"/>
      <c r="H514" s="709"/>
      <c r="I514" s="710"/>
      <c r="J514" s="710"/>
      <c r="K514" s="711"/>
      <c r="L514" s="711"/>
      <c r="M514" s="710"/>
      <c r="N514" s="711"/>
      <c r="O514" s="710"/>
      <c r="P514" s="527"/>
      <c r="Q514" s="527"/>
      <c r="R514" s="711"/>
      <c r="U514" s="712"/>
      <c r="V514" s="712"/>
      <c r="W514" s="712"/>
      <c r="X514" s="604"/>
      <c r="Y514" s="604"/>
      <c r="Z514" s="873"/>
      <c r="AA514" s="866"/>
      <c r="AB514" s="864"/>
      <c r="AC514" s="837"/>
      <c r="AD514" s="837"/>
      <c r="AE514" s="837"/>
      <c r="AF514" s="837"/>
      <c r="AG514" s="837"/>
      <c r="AH514" s="837"/>
      <c r="AI514" s="837"/>
      <c r="AJ514" s="874"/>
      <c r="AK514" s="837"/>
      <c r="AL514" s="837"/>
      <c r="AM514" s="837"/>
      <c r="AN514" s="837"/>
      <c r="AO514" s="837"/>
      <c r="AP514" s="837"/>
      <c r="AQ514" s="837"/>
      <c r="AR514" s="837"/>
      <c r="AS514" s="874"/>
      <c r="AT514" s="837"/>
      <c r="AU514" s="836"/>
      <c r="AV514" s="836"/>
      <c r="AW514" s="836"/>
      <c r="AX514" s="836"/>
      <c r="AY514" s="836"/>
    </row>
    <row r="515" spans="4:51" s="526" customFormat="1" x14ac:dyDescent="0.2">
      <c r="D515" s="708"/>
      <c r="E515" s="708"/>
      <c r="F515" s="708"/>
      <c r="G515" s="527"/>
      <c r="H515" s="709"/>
      <c r="I515" s="710"/>
      <c r="J515" s="710"/>
      <c r="K515" s="711"/>
      <c r="L515" s="711"/>
      <c r="M515" s="710"/>
      <c r="N515" s="711"/>
      <c r="O515" s="710"/>
      <c r="P515" s="527"/>
      <c r="Q515" s="527"/>
      <c r="R515" s="711"/>
      <c r="U515" s="712"/>
      <c r="V515" s="712"/>
      <c r="W515" s="712"/>
      <c r="X515" s="604"/>
      <c r="Y515" s="604"/>
      <c r="Z515" s="873"/>
      <c r="AA515" s="866"/>
      <c r="AB515" s="864"/>
      <c r="AC515" s="837"/>
      <c r="AD515" s="837"/>
      <c r="AE515" s="837"/>
      <c r="AF515" s="837"/>
      <c r="AG515" s="837"/>
      <c r="AH515" s="837"/>
      <c r="AI515" s="837"/>
      <c r="AJ515" s="874"/>
      <c r="AK515" s="837"/>
      <c r="AL515" s="837"/>
      <c r="AM515" s="837"/>
      <c r="AN515" s="837"/>
      <c r="AO515" s="837"/>
      <c r="AP515" s="837"/>
      <c r="AQ515" s="837"/>
      <c r="AR515" s="837"/>
      <c r="AS515" s="874"/>
      <c r="AT515" s="837"/>
      <c r="AU515" s="836"/>
      <c r="AV515" s="836"/>
      <c r="AW515" s="836"/>
      <c r="AX515" s="836"/>
      <c r="AY515" s="836"/>
    </row>
    <row r="516" spans="4:51" s="526" customFormat="1" x14ac:dyDescent="0.2">
      <c r="D516" s="708"/>
      <c r="E516" s="708"/>
      <c r="F516" s="708"/>
      <c r="G516" s="527"/>
      <c r="H516" s="709"/>
      <c r="I516" s="710"/>
      <c r="J516" s="710"/>
      <c r="K516" s="711"/>
      <c r="L516" s="711"/>
      <c r="M516" s="710"/>
      <c r="N516" s="711"/>
      <c r="O516" s="710"/>
      <c r="P516" s="527"/>
      <c r="Q516" s="527"/>
      <c r="R516" s="711"/>
      <c r="U516" s="712"/>
      <c r="V516" s="712"/>
      <c r="W516" s="712"/>
      <c r="X516" s="604"/>
      <c r="Y516" s="604"/>
      <c r="Z516" s="873"/>
      <c r="AA516" s="866"/>
      <c r="AB516" s="864"/>
      <c r="AC516" s="837"/>
      <c r="AD516" s="837"/>
      <c r="AE516" s="837"/>
      <c r="AF516" s="837"/>
      <c r="AG516" s="837"/>
      <c r="AH516" s="837"/>
      <c r="AI516" s="837"/>
      <c r="AJ516" s="874"/>
      <c r="AK516" s="837"/>
      <c r="AL516" s="837"/>
      <c r="AM516" s="837"/>
      <c r="AN516" s="837"/>
      <c r="AO516" s="837"/>
      <c r="AP516" s="837"/>
      <c r="AQ516" s="837"/>
      <c r="AR516" s="837"/>
      <c r="AS516" s="874"/>
      <c r="AT516" s="837"/>
      <c r="AU516" s="836"/>
      <c r="AV516" s="836"/>
      <c r="AW516" s="836"/>
      <c r="AX516" s="836"/>
      <c r="AY516" s="836"/>
    </row>
    <row r="517" spans="4:51" s="526" customFormat="1" x14ac:dyDescent="0.2">
      <c r="D517" s="708"/>
      <c r="E517" s="708"/>
      <c r="F517" s="708"/>
      <c r="G517" s="527"/>
      <c r="H517" s="709"/>
      <c r="I517" s="710"/>
      <c r="J517" s="710"/>
      <c r="K517" s="711"/>
      <c r="L517" s="711"/>
      <c r="M517" s="710"/>
      <c r="N517" s="711"/>
      <c r="O517" s="710"/>
      <c r="P517" s="527"/>
      <c r="Q517" s="527"/>
      <c r="R517" s="711"/>
      <c r="U517" s="712"/>
      <c r="V517" s="712"/>
      <c r="W517" s="712"/>
      <c r="X517" s="604"/>
      <c r="Y517" s="604"/>
      <c r="Z517" s="873"/>
      <c r="AA517" s="866"/>
      <c r="AB517" s="864"/>
      <c r="AC517" s="837"/>
      <c r="AD517" s="837"/>
      <c r="AE517" s="837"/>
      <c r="AF517" s="837"/>
      <c r="AG517" s="837"/>
      <c r="AH517" s="837"/>
      <c r="AI517" s="837"/>
      <c r="AJ517" s="874"/>
      <c r="AK517" s="837"/>
      <c r="AL517" s="837"/>
      <c r="AM517" s="837"/>
      <c r="AN517" s="837"/>
      <c r="AO517" s="837"/>
      <c r="AP517" s="837"/>
      <c r="AQ517" s="837"/>
      <c r="AR517" s="837"/>
      <c r="AS517" s="874"/>
      <c r="AT517" s="837"/>
      <c r="AU517" s="836"/>
      <c r="AV517" s="836"/>
      <c r="AW517" s="836"/>
      <c r="AX517" s="836"/>
      <c r="AY517" s="836"/>
    </row>
    <row r="518" spans="4:51" s="526" customFormat="1" x14ac:dyDescent="0.2">
      <c r="D518" s="708"/>
      <c r="E518" s="708"/>
      <c r="F518" s="708"/>
      <c r="G518" s="527"/>
      <c r="H518" s="709"/>
      <c r="I518" s="710"/>
      <c r="J518" s="710"/>
      <c r="K518" s="711"/>
      <c r="L518" s="711"/>
      <c r="M518" s="710"/>
      <c r="N518" s="711"/>
      <c r="O518" s="710"/>
      <c r="P518" s="527"/>
      <c r="Q518" s="527"/>
      <c r="R518" s="711"/>
      <c r="U518" s="712"/>
      <c r="V518" s="712"/>
      <c r="W518" s="712"/>
      <c r="X518" s="604"/>
      <c r="Y518" s="604"/>
      <c r="Z518" s="873"/>
      <c r="AA518" s="866"/>
      <c r="AB518" s="864"/>
      <c r="AC518" s="837"/>
      <c r="AD518" s="837"/>
      <c r="AE518" s="837"/>
      <c r="AF518" s="837"/>
      <c r="AG518" s="837"/>
      <c r="AH518" s="837"/>
      <c r="AI518" s="837"/>
      <c r="AJ518" s="874"/>
      <c r="AK518" s="837"/>
      <c r="AL518" s="837"/>
      <c r="AM518" s="837"/>
      <c r="AN518" s="837"/>
      <c r="AO518" s="837"/>
      <c r="AP518" s="837"/>
      <c r="AQ518" s="837"/>
      <c r="AR518" s="837"/>
      <c r="AS518" s="874"/>
      <c r="AT518" s="837"/>
      <c r="AU518" s="836"/>
      <c r="AV518" s="836"/>
      <c r="AW518" s="836"/>
      <c r="AX518" s="836"/>
      <c r="AY518" s="836"/>
    </row>
    <row r="519" spans="4:51" s="526" customFormat="1" x14ac:dyDescent="0.2">
      <c r="D519" s="708"/>
      <c r="E519" s="708"/>
      <c r="F519" s="708"/>
      <c r="G519" s="527"/>
      <c r="H519" s="709"/>
      <c r="I519" s="710"/>
      <c r="J519" s="710"/>
      <c r="K519" s="711"/>
      <c r="L519" s="711"/>
      <c r="M519" s="710"/>
      <c r="N519" s="711"/>
      <c r="O519" s="710"/>
      <c r="P519" s="527"/>
      <c r="Q519" s="527"/>
      <c r="R519" s="711"/>
      <c r="U519" s="712"/>
      <c r="V519" s="712"/>
      <c r="W519" s="712"/>
      <c r="X519" s="604"/>
      <c r="Y519" s="604"/>
      <c r="Z519" s="873"/>
      <c r="AA519" s="866"/>
      <c r="AB519" s="864"/>
      <c r="AC519" s="837"/>
      <c r="AD519" s="837"/>
      <c r="AE519" s="837"/>
      <c r="AF519" s="837"/>
      <c r="AG519" s="837"/>
      <c r="AH519" s="837"/>
      <c r="AI519" s="837"/>
      <c r="AJ519" s="874"/>
      <c r="AK519" s="837"/>
      <c r="AL519" s="837"/>
      <c r="AM519" s="837"/>
      <c r="AN519" s="837"/>
      <c r="AO519" s="837"/>
      <c r="AP519" s="837"/>
      <c r="AQ519" s="837"/>
      <c r="AR519" s="837"/>
      <c r="AS519" s="874"/>
      <c r="AT519" s="837"/>
      <c r="AU519" s="836"/>
      <c r="AV519" s="836"/>
      <c r="AW519" s="836"/>
      <c r="AX519" s="836"/>
      <c r="AY519" s="836"/>
    </row>
    <row r="520" spans="4:51" s="526" customFormat="1" x14ac:dyDescent="0.2">
      <c r="D520" s="708"/>
      <c r="E520" s="708"/>
      <c r="F520" s="708"/>
      <c r="G520" s="527"/>
      <c r="H520" s="709"/>
      <c r="I520" s="710"/>
      <c r="J520" s="710"/>
      <c r="K520" s="711"/>
      <c r="L520" s="711"/>
      <c r="M520" s="710"/>
      <c r="N520" s="711"/>
      <c r="O520" s="710"/>
      <c r="P520" s="527"/>
      <c r="Q520" s="527"/>
      <c r="R520" s="711"/>
      <c r="U520" s="712"/>
      <c r="V520" s="712"/>
      <c r="W520" s="712"/>
      <c r="X520" s="604"/>
      <c r="Y520" s="604"/>
      <c r="Z520" s="873"/>
      <c r="AA520" s="866"/>
      <c r="AB520" s="864"/>
      <c r="AC520" s="837"/>
      <c r="AD520" s="837"/>
      <c r="AE520" s="837"/>
      <c r="AF520" s="837"/>
      <c r="AG520" s="837"/>
      <c r="AH520" s="837"/>
      <c r="AI520" s="837"/>
      <c r="AJ520" s="874"/>
      <c r="AK520" s="837"/>
      <c r="AL520" s="837"/>
      <c r="AM520" s="837"/>
      <c r="AN520" s="837"/>
      <c r="AO520" s="837"/>
      <c r="AP520" s="837"/>
      <c r="AQ520" s="837"/>
      <c r="AR520" s="837"/>
      <c r="AS520" s="874"/>
      <c r="AT520" s="837"/>
      <c r="AU520" s="836"/>
      <c r="AV520" s="836"/>
      <c r="AW520" s="836"/>
      <c r="AX520" s="836"/>
      <c r="AY520" s="836"/>
    </row>
    <row r="521" spans="4:51" s="526" customFormat="1" x14ac:dyDescent="0.2">
      <c r="D521" s="708"/>
      <c r="E521" s="708"/>
      <c r="F521" s="708"/>
      <c r="G521" s="527"/>
      <c r="H521" s="709"/>
      <c r="I521" s="710"/>
      <c r="J521" s="710"/>
      <c r="K521" s="711"/>
      <c r="L521" s="711"/>
      <c r="M521" s="710"/>
      <c r="N521" s="711"/>
      <c r="O521" s="710"/>
      <c r="P521" s="527"/>
      <c r="Q521" s="527"/>
      <c r="R521" s="711"/>
      <c r="U521" s="712"/>
      <c r="V521" s="712"/>
      <c r="W521" s="712"/>
      <c r="X521" s="604"/>
      <c r="Y521" s="604"/>
      <c r="Z521" s="873"/>
      <c r="AA521" s="866"/>
      <c r="AB521" s="864"/>
      <c r="AC521" s="837"/>
      <c r="AD521" s="837"/>
      <c r="AE521" s="837"/>
      <c r="AF521" s="837"/>
      <c r="AG521" s="837"/>
      <c r="AH521" s="837"/>
      <c r="AI521" s="837"/>
      <c r="AJ521" s="874"/>
      <c r="AK521" s="837"/>
      <c r="AL521" s="837"/>
      <c r="AM521" s="837"/>
      <c r="AN521" s="837"/>
      <c r="AO521" s="837"/>
      <c r="AP521" s="837"/>
      <c r="AQ521" s="837"/>
      <c r="AR521" s="837"/>
      <c r="AS521" s="874"/>
      <c r="AT521" s="837"/>
      <c r="AU521" s="836"/>
      <c r="AV521" s="836"/>
      <c r="AW521" s="836"/>
      <c r="AX521" s="836"/>
      <c r="AY521" s="836"/>
    </row>
    <row r="522" spans="4:51" s="526" customFormat="1" x14ac:dyDescent="0.2">
      <c r="D522" s="708"/>
      <c r="E522" s="708"/>
      <c r="F522" s="708"/>
      <c r="G522" s="527"/>
      <c r="H522" s="709"/>
      <c r="I522" s="710"/>
      <c r="J522" s="710"/>
      <c r="K522" s="711"/>
      <c r="L522" s="711"/>
      <c r="M522" s="710"/>
      <c r="N522" s="711"/>
      <c r="O522" s="710"/>
      <c r="P522" s="527"/>
      <c r="Q522" s="527"/>
      <c r="R522" s="711"/>
      <c r="U522" s="712"/>
      <c r="V522" s="712"/>
      <c r="W522" s="712"/>
      <c r="X522" s="604"/>
      <c r="Y522" s="604"/>
      <c r="Z522" s="873"/>
      <c r="AA522" s="866"/>
      <c r="AB522" s="864"/>
      <c r="AC522" s="837"/>
      <c r="AD522" s="837"/>
      <c r="AE522" s="837"/>
      <c r="AF522" s="837"/>
      <c r="AG522" s="837"/>
      <c r="AH522" s="837"/>
      <c r="AI522" s="837"/>
      <c r="AJ522" s="874"/>
      <c r="AK522" s="837"/>
      <c r="AL522" s="837"/>
      <c r="AM522" s="837"/>
      <c r="AN522" s="837"/>
      <c r="AO522" s="837"/>
      <c r="AP522" s="837"/>
      <c r="AQ522" s="837"/>
      <c r="AR522" s="837"/>
      <c r="AS522" s="874"/>
      <c r="AT522" s="837"/>
      <c r="AU522" s="836"/>
      <c r="AV522" s="836"/>
      <c r="AW522" s="836"/>
      <c r="AX522" s="836"/>
      <c r="AY522" s="836"/>
    </row>
    <row r="523" spans="4:51" s="526" customFormat="1" x14ac:dyDescent="0.2">
      <c r="D523" s="708"/>
      <c r="E523" s="708"/>
      <c r="F523" s="708"/>
      <c r="G523" s="527"/>
      <c r="H523" s="709"/>
      <c r="I523" s="710"/>
      <c r="J523" s="710"/>
      <c r="K523" s="711"/>
      <c r="L523" s="711"/>
      <c r="M523" s="710"/>
      <c r="N523" s="711"/>
      <c r="O523" s="710"/>
      <c r="P523" s="527"/>
      <c r="Q523" s="527"/>
      <c r="R523" s="711"/>
      <c r="U523" s="712"/>
      <c r="V523" s="712"/>
      <c r="W523" s="712"/>
      <c r="X523" s="604"/>
      <c r="Y523" s="604"/>
      <c r="Z523" s="873"/>
      <c r="AA523" s="866"/>
      <c r="AB523" s="864"/>
      <c r="AC523" s="837"/>
      <c r="AD523" s="837"/>
      <c r="AE523" s="837"/>
      <c r="AF523" s="837"/>
      <c r="AG523" s="837"/>
      <c r="AH523" s="837"/>
      <c r="AI523" s="837"/>
      <c r="AJ523" s="874"/>
      <c r="AK523" s="837"/>
      <c r="AL523" s="837"/>
      <c r="AM523" s="837"/>
      <c r="AN523" s="837"/>
      <c r="AO523" s="837"/>
      <c r="AP523" s="837"/>
      <c r="AQ523" s="837"/>
      <c r="AR523" s="837"/>
      <c r="AS523" s="874"/>
      <c r="AT523" s="837"/>
      <c r="AU523" s="836"/>
      <c r="AV523" s="836"/>
      <c r="AW523" s="836"/>
      <c r="AX523" s="836"/>
      <c r="AY523" s="836"/>
    </row>
    <row r="524" spans="4:51" s="526" customFormat="1" x14ac:dyDescent="0.2">
      <c r="D524" s="708"/>
      <c r="E524" s="708"/>
      <c r="F524" s="708"/>
      <c r="G524" s="527"/>
      <c r="H524" s="709"/>
      <c r="I524" s="710"/>
      <c r="J524" s="710"/>
      <c r="K524" s="711"/>
      <c r="L524" s="711"/>
      <c r="M524" s="710"/>
      <c r="N524" s="711"/>
      <c r="O524" s="710"/>
      <c r="P524" s="527"/>
      <c r="Q524" s="527"/>
      <c r="R524" s="711"/>
      <c r="U524" s="712"/>
      <c r="V524" s="712"/>
      <c r="W524" s="712"/>
      <c r="X524" s="604"/>
      <c r="Y524" s="604"/>
      <c r="Z524" s="873"/>
      <c r="AA524" s="866"/>
      <c r="AB524" s="864"/>
      <c r="AC524" s="837"/>
      <c r="AD524" s="837"/>
      <c r="AE524" s="837"/>
      <c r="AF524" s="837"/>
      <c r="AG524" s="837"/>
      <c r="AH524" s="837"/>
      <c r="AI524" s="837"/>
      <c r="AJ524" s="874"/>
      <c r="AK524" s="837"/>
      <c r="AL524" s="837"/>
      <c r="AM524" s="837"/>
      <c r="AN524" s="837"/>
      <c r="AO524" s="837"/>
      <c r="AP524" s="837"/>
      <c r="AQ524" s="837"/>
      <c r="AR524" s="837"/>
      <c r="AS524" s="874"/>
      <c r="AT524" s="837"/>
      <c r="AU524" s="836"/>
      <c r="AV524" s="836"/>
      <c r="AW524" s="836"/>
      <c r="AX524" s="836"/>
      <c r="AY524" s="836"/>
    </row>
    <row r="525" spans="4:51" s="526" customFormat="1" x14ac:dyDescent="0.2">
      <c r="D525" s="708"/>
      <c r="E525" s="708"/>
      <c r="F525" s="708"/>
      <c r="G525" s="527"/>
      <c r="H525" s="709"/>
      <c r="I525" s="710"/>
      <c r="J525" s="710"/>
      <c r="K525" s="711"/>
      <c r="L525" s="711"/>
      <c r="M525" s="710"/>
      <c r="N525" s="711"/>
      <c r="O525" s="710"/>
      <c r="P525" s="527"/>
      <c r="Q525" s="527"/>
      <c r="R525" s="711"/>
      <c r="U525" s="712"/>
      <c r="V525" s="712"/>
      <c r="W525" s="712"/>
      <c r="X525" s="604"/>
      <c r="Y525" s="604"/>
      <c r="Z525" s="873"/>
      <c r="AA525" s="866"/>
      <c r="AB525" s="864"/>
      <c r="AC525" s="837"/>
      <c r="AD525" s="837"/>
      <c r="AE525" s="837"/>
      <c r="AF525" s="837"/>
      <c r="AG525" s="837"/>
      <c r="AH525" s="837"/>
      <c r="AI525" s="837"/>
      <c r="AJ525" s="874"/>
      <c r="AK525" s="837"/>
      <c r="AL525" s="837"/>
      <c r="AM525" s="837"/>
      <c r="AN525" s="837"/>
      <c r="AO525" s="837"/>
      <c r="AP525" s="837"/>
      <c r="AQ525" s="837"/>
      <c r="AR525" s="837"/>
      <c r="AS525" s="874"/>
      <c r="AT525" s="837"/>
      <c r="AU525" s="836"/>
      <c r="AV525" s="836"/>
      <c r="AW525" s="836"/>
      <c r="AX525" s="836"/>
      <c r="AY525" s="836"/>
    </row>
    <row r="526" spans="4:51" s="526" customFormat="1" x14ac:dyDescent="0.2">
      <c r="D526" s="708"/>
      <c r="E526" s="708"/>
      <c r="F526" s="708"/>
      <c r="G526" s="527"/>
      <c r="H526" s="709"/>
      <c r="I526" s="710"/>
      <c r="J526" s="710"/>
      <c r="K526" s="711"/>
      <c r="L526" s="711"/>
      <c r="M526" s="710"/>
      <c r="N526" s="711"/>
      <c r="O526" s="710"/>
      <c r="P526" s="527"/>
      <c r="Q526" s="527"/>
      <c r="R526" s="711"/>
      <c r="U526" s="712"/>
      <c r="V526" s="712"/>
      <c r="W526" s="712"/>
      <c r="X526" s="604"/>
      <c r="Y526" s="604"/>
      <c r="Z526" s="873"/>
      <c r="AA526" s="866"/>
      <c r="AB526" s="864"/>
      <c r="AC526" s="837"/>
      <c r="AD526" s="837"/>
      <c r="AE526" s="837"/>
      <c r="AF526" s="837"/>
      <c r="AG526" s="837"/>
      <c r="AH526" s="837"/>
      <c r="AI526" s="837"/>
      <c r="AJ526" s="874"/>
      <c r="AK526" s="837"/>
      <c r="AL526" s="837"/>
      <c r="AM526" s="837"/>
      <c r="AN526" s="837"/>
      <c r="AO526" s="837"/>
      <c r="AP526" s="837"/>
      <c r="AQ526" s="837"/>
      <c r="AR526" s="837"/>
      <c r="AS526" s="874"/>
      <c r="AT526" s="837"/>
      <c r="AU526" s="836"/>
      <c r="AV526" s="836"/>
      <c r="AW526" s="836"/>
      <c r="AX526" s="836"/>
      <c r="AY526" s="836"/>
    </row>
    <row r="527" spans="4:51" s="526" customFormat="1" x14ac:dyDescent="0.2">
      <c r="D527" s="708"/>
      <c r="E527" s="708"/>
      <c r="F527" s="708"/>
      <c r="G527" s="527"/>
      <c r="H527" s="709"/>
      <c r="I527" s="710"/>
      <c r="J527" s="710"/>
      <c r="K527" s="711"/>
      <c r="L527" s="711"/>
      <c r="M527" s="710"/>
      <c r="N527" s="711"/>
      <c r="O527" s="710"/>
      <c r="P527" s="527"/>
      <c r="Q527" s="527"/>
      <c r="R527" s="711"/>
      <c r="U527" s="712"/>
      <c r="V527" s="712"/>
      <c r="W527" s="712"/>
      <c r="X527" s="604"/>
      <c r="Y527" s="604"/>
      <c r="Z527" s="873"/>
      <c r="AA527" s="866"/>
      <c r="AB527" s="864"/>
      <c r="AC527" s="837"/>
      <c r="AD527" s="837"/>
      <c r="AE527" s="837"/>
      <c r="AF527" s="837"/>
      <c r="AG527" s="837"/>
      <c r="AH527" s="837"/>
      <c r="AI527" s="837"/>
      <c r="AJ527" s="874"/>
      <c r="AK527" s="837"/>
      <c r="AL527" s="837"/>
      <c r="AM527" s="837"/>
      <c r="AN527" s="837"/>
      <c r="AO527" s="837"/>
      <c r="AP527" s="837"/>
      <c r="AQ527" s="837"/>
      <c r="AR527" s="837"/>
      <c r="AS527" s="874"/>
      <c r="AT527" s="837"/>
      <c r="AU527" s="836"/>
      <c r="AV527" s="836"/>
      <c r="AW527" s="836"/>
      <c r="AX527" s="836"/>
      <c r="AY527" s="836"/>
    </row>
    <row r="528" spans="4:51" s="526" customFormat="1" x14ac:dyDescent="0.2">
      <c r="D528" s="708"/>
      <c r="E528" s="708"/>
      <c r="F528" s="708"/>
      <c r="G528" s="527"/>
      <c r="H528" s="709"/>
      <c r="I528" s="710"/>
      <c r="J528" s="710"/>
      <c r="K528" s="711"/>
      <c r="L528" s="711"/>
      <c r="M528" s="710"/>
      <c r="N528" s="711"/>
      <c r="O528" s="710"/>
      <c r="P528" s="527"/>
      <c r="Q528" s="527"/>
      <c r="R528" s="711"/>
      <c r="U528" s="712"/>
      <c r="V528" s="712"/>
      <c r="W528" s="712"/>
      <c r="X528" s="604"/>
      <c r="Y528" s="604"/>
      <c r="Z528" s="873"/>
      <c r="AA528" s="866"/>
      <c r="AB528" s="864"/>
      <c r="AC528" s="837"/>
      <c r="AD528" s="837"/>
      <c r="AE528" s="837"/>
      <c r="AF528" s="837"/>
      <c r="AG528" s="837"/>
      <c r="AH528" s="837"/>
      <c r="AI528" s="837"/>
      <c r="AJ528" s="874"/>
      <c r="AK528" s="837"/>
      <c r="AL528" s="837"/>
      <c r="AM528" s="837"/>
      <c r="AN528" s="837"/>
      <c r="AO528" s="837"/>
      <c r="AP528" s="837"/>
      <c r="AQ528" s="837"/>
      <c r="AR528" s="837"/>
      <c r="AS528" s="874"/>
      <c r="AT528" s="837"/>
      <c r="AU528" s="836"/>
      <c r="AV528" s="836"/>
      <c r="AW528" s="836"/>
      <c r="AX528" s="836"/>
      <c r="AY528" s="836"/>
    </row>
    <row r="529" spans="4:51" s="526" customFormat="1" x14ac:dyDescent="0.2">
      <c r="D529" s="708"/>
      <c r="E529" s="708"/>
      <c r="F529" s="708"/>
      <c r="G529" s="527"/>
      <c r="H529" s="709"/>
      <c r="I529" s="710"/>
      <c r="J529" s="710"/>
      <c r="K529" s="711"/>
      <c r="L529" s="711"/>
      <c r="M529" s="710"/>
      <c r="N529" s="711"/>
      <c r="O529" s="710"/>
      <c r="P529" s="527"/>
      <c r="Q529" s="527"/>
      <c r="R529" s="711"/>
      <c r="U529" s="712"/>
      <c r="V529" s="712"/>
      <c r="W529" s="712"/>
      <c r="X529" s="604"/>
      <c r="Y529" s="604"/>
      <c r="Z529" s="873"/>
      <c r="AA529" s="866"/>
      <c r="AB529" s="864"/>
      <c r="AC529" s="837"/>
      <c r="AD529" s="837"/>
      <c r="AE529" s="837"/>
      <c r="AF529" s="837"/>
      <c r="AG529" s="837"/>
      <c r="AH529" s="837"/>
      <c r="AI529" s="837"/>
      <c r="AJ529" s="874"/>
      <c r="AK529" s="837"/>
      <c r="AL529" s="837"/>
      <c r="AM529" s="837"/>
      <c r="AN529" s="837"/>
      <c r="AO529" s="837"/>
      <c r="AP529" s="837"/>
      <c r="AQ529" s="837"/>
      <c r="AR529" s="837"/>
      <c r="AS529" s="874"/>
      <c r="AT529" s="837"/>
      <c r="AU529" s="836"/>
      <c r="AV529" s="836"/>
      <c r="AW529" s="836"/>
      <c r="AX529" s="836"/>
      <c r="AY529" s="836"/>
    </row>
    <row r="530" spans="4:51" s="526" customFormat="1" x14ac:dyDescent="0.2">
      <c r="D530" s="708"/>
      <c r="E530" s="708"/>
      <c r="F530" s="708"/>
      <c r="G530" s="527"/>
      <c r="H530" s="709"/>
      <c r="I530" s="710"/>
      <c r="J530" s="710"/>
      <c r="K530" s="711"/>
      <c r="L530" s="711"/>
      <c r="M530" s="710"/>
      <c r="N530" s="711"/>
      <c r="O530" s="710"/>
      <c r="P530" s="527"/>
      <c r="Q530" s="527"/>
      <c r="R530" s="711"/>
      <c r="U530" s="712"/>
      <c r="V530" s="712"/>
      <c r="W530" s="712"/>
      <c r="X530" s="604"/>
      <c r="Y530" s="604"/>
      <c r="Z530" s="873"/>
      <c r="AA530" s="866"/>
      <c r="AB530" s="864"/>
      <c r="AC530" s="837"/>
      <c r="AD530" s="837"/>
      <c r="AE530" s="837"/>
      <c r="AF530" s="837"/>
      <c r="AG530" s="837"/>
      <c r="AH530" s="837"/>
      <c r="AI530" s="837"/>
      <c r="AJ530" s="874"/>
      <c r="AK530" s="837"/>
      <c r="AL530" s="837"/>
      <c r="AM530" s="837"/>
      <c r="AN530" s="837"/>
      <c r="AO530" s="837"/>
      <c r="AP530" s="837"/>
      <c r="AQ530" s="837"/>
      <c r="AR530" s="837"/>
      <c r="AS530" s="874"/>
      <c r="AT530" s="837"/>
      <c r="AU530" s="836"/>
      <c r="AV530" s="836"/>
      <c r="AW530" s="836"/>
      <c r="AX530" s="836"/>
      <c r="AY530" s="836"/>
    </row>
    <row r="531" spans="4:51" s="526" customFormat="1" x14ac:dyDescent="0.2">
      <c r="D531" s="708"/>
      <c r="E531" s="708"/>
      <c r="F531" s="708"/>
      <c r="G531" s="527"/>
      <c r="H531" s="709"/>
      <c r="I531" s="710"/>
      <c r="J531" s="710"/>
      <c r="K531" s="711"/>
      <c r="L531" s="711"/>
      <c r="M531" s="710"/>
      <c r="N531" s="711"/>
      <c r="O531" s="710"/>
      <c r="P531" s="527"/>
      <c r="Q531" s="527"/>
      <c r="R531" s="711"/>
      <c r="U531" s="712"/>
      <c r="V531" s="712"/>
      <c r="W531" s="712"/>
      <c r="X531" s="604"/>
      <c r="Y531" s="604"/>
      <c r="Z531" s="873"/>
      <c r="AA531" s="866"/>
      <c r="AB531" s="864"/>
      <c r="AC531" s="837"/>
      <c r="AD531" s="837"/>
      <c r="AE531" s="837"/>
      <c r="AF531" s="837"/>
      <c r="AG531" s="837"/>
      <c r="AH531" s="837"/>
      <c r="AI531" s="837"/>
      <c r="AJ531" s="874"/>
      <c r="AK531" s="837"/>
      <c r="AL531" s="837"/>
      <c r="AM531" s="837"/>
      <c r="AN531" s="837"/>
      <c r="AO531" s="837"/>
      <c r="AP531" s="837"/>
      <c r="AQ531" s="837"/>
      <c r="AR531" s="837"/>
      <c r="AS531" s="874"/>
      <c r="AT531" s="837"/>
      <c r="AU531" s="836"/>
      <c r="AV531" s="836"/>
      <c r="AW531" s="836"/>
      <c r="AX531" s="836"/>
      <c r="AY531" s="836"/>
    </row>
    <row r="532" spans="4:51" s="526" customFormat="1" x14ac:dyDescent="0.2">
      <c r="D532" s="708"/>
      <c r="E532" s="708"/>
      <c r="F532" s="708"/>
      <c r="G532" s="527"/>
      <c r="H532" s="709"/>
      <c r="I532" s="710"/>
      <c r="J532" s="710"/>
      <c r="K532" s="711"/>
      <c r="L532" s="711"/>
      <c r="M532" s="710"/>
      <c r="N532" s="711"/>
      <c r="O532" s="710"/>
      <c r="P532" s="527"/>
      <c r="Q532" s="527"/>
      <c r="R532" s="711"/>
      <c r="U532" s="712"/>
      <c r="V532" s="712"/>
      <c r="W532" s="712"/>
      <c r="X532" s="604"/>
      <c r="Y532" s="604"/>
      <c r="Z532" s="873"/>
      <c r="AA532" s="866"/>
      <c r="AB532" s="864"/>
      <c r="AC532" s="837"/>
      <c r="AD532" s="837"/>
      <c r="AE532" s="837"/>
      <c r="AF532" s="837"/>
      <c r="AG532" s="837"/>
      <c r="AH532" s="837"/>
      <c r="AI532" s="837"/>
      <c r="AJ532" s="874"/>
      <c r="AK532" s="837"/>
      <c r="AL532" s="837"/>
      <c r="AM532" s="837"/>
      <c r="AN532" s="837"/>
      <c r="AO532" s="837"/>
      <c r="AP532" s="837"/>
      <c r="AQ532" s="837"/>
      <c r="AR532" s="837"/>
      <c r="AS532" s="874"/>
      <c r="AT532" s="837"/>
      <c r="AU532" s="836"/>
      <c r="AV532" s="836"/>
      <c r="AW532" s="836"/>
      <c r="AX532" s="836"/>
      <c r="AY532" s="836"/>
    </row>
    <row r="533" spans="4:51" s="526" customFormat="1" x14ac:dyDescent="0.2">
      <c r="D533" s="708"/>
      <c r="E533" s="708"/>
      <c r="F533" s="708"/>
      <c r="G533" s="527"/>
      <c r="H533" s="709"/>
      <c r="I533" s="710"/>
      <c r="J533" s="710"/>
      <c r="K533" s="711"/>
      <c r="L533" s="711"/>
      <c r="M533" s="710"/>
      <c r="N533" s="711"/>
      <c r="O533" s="710"/>
      <c r="P533" s="527"/>
      <c r="Q533" s="527"/>
      <c r="R533" s="711"/>
      <c r="U533" s="712"/>
      <c r="V533" s="712"/>
      <c r="W533" s="712"/>
      <c r="X533" s="604"/>
      <c r="Y533" s="604"/>
      <c r="Z533" s="873"/>
      <c r="AA533" s="866"/>
      <c r="AB533" s="864"/>
      <c r="AC533" s="837"/>
      <c r="AD533" s="837"/>
      <c r="AE533" s="837"/>
      <c r="AF533" s="837"/>
      <c r="AG533" s="837"/>
      <c r="AH533" s="837"/>
      <c r="AI533" s="837"/>
      <c r="AJ533" s="874"/>
      <c r="AK533" s="837"/>
      <c r="AL533" s="837"/>
      <c r="AM533" s="837"/>
      <c r="AN533" s="837"/>
      <c r="AO533" s="837"/>
      <c r="AP533" s="837"/>
      <c r="AQ533" s="837"/>
      <c r="AR533" s="837"/>
      <c r="AS533" s="874"/>
      <c r="AT533" s="837"/>
      <c r="AU533" s="836"/>
      <c r="AV533" s="836"/>
      <c r="AW533" s="836"/>
      <c r="AX533" s="836"/>
      <c r="AY533" s="836"/>
    </row>
    <row r="534" spans="4:51" s="526" customFormat="1" x14ac:dyDescent="0.2">
      <c r="D534" s="708"/>
      <c r="E534" s="708"/>
      <c r="F534" s="708"/>
      <c r="G534" s="527"/>
      <c r="H534" s="709"/>
      <c r="I534" s="710"/>
      <c r="J534" s="710"/>
      <c r="K534" s="711"/>
      <c r="L534" s="711"/>
      <c r="M534" s="710"/>
      <c r="N534" s="711"/>
      <c r="O534" s="710"/>
      <c r="P534" s="527"/>
      <c r="Q534" s="527"/>
      <c r="R534" s="711"/>
      <c r="U534" s="712"/>
      <c r="V534" s="712"/>
      <c r="W534" s="712"/>
      <c r="X534" s="604"/>
      <c r="Y534" s="604"/>
      <c r="Z534" s="873"/>
      <c r="AA534" s="866"/>
      <c r="AB534" s="864"/>
      <c r="AC534" s="837"/>
      <c r="AD534" s="837"/>
      <c r="AE534" s="837"/>
      <c r="AF534" s="837"/>
      <c r="AG534" s="837"/>
      <c r="AH534" s="837"/>
      <c r="AI534" s="837"/>
      <c r="AJ534" s="874"/>
      <c r="AK534" s="837"/>
      <c r="AL534" s="837"/>
      <c r="AM534" s="837"/>
      <c r="AN534" s="837"/>
      <c r="AO534" s="837"/>
      <c r="AP534" s="837"/>
      <c r="AQ534" s="837"/>
      <c r="AR534" s="837"/>
      <c r="AS534" s="874"/>
      <c r="AT534" s="837"/>
      <c r="AU534" s="836"/>
      <c r="AV534" s="836"/>
      <c r="AW534" s="836"/>
      <c r="AX534" s="836"/>
      <c r="AY534" s="836"/>
    </row>
    <row r="535" spans="4:51" s="526" customFormat="1" x14ac:dyDescent="0.2">
      <c r="D535" s="708"/>
      <c r="E535" s="708"/>
      <c r="F535" s="708"/>
      <c r="G535" s="527"/>
      <c r="H535" s="709"/>
      <c r="I535" s="710"/>
      <c r="J535" s="710"/>
      <c r="K535" s="711"/>
      <c r="L535" s="711"/>
      <c r="M535" s="710"/>
      <c r="N535" s="711"/>
      <c r="O535" s="710"/>
      <c r="P535" s="527"/>
      <c r="Q535" s="527"/>
      <c r="R535" s="711"/>
      <c r="U535" s="712"/>
      <c r="V535" s="712"/>
      <c r="W535" s="712"/>
      <c r="X535" s="604"/>
      <c r="Y535" s="604"/>
      <c r="Z535" s="873"/>
      <c r="AA535" s="866"/>
      <c r="AB535" s="864"/>
      <c r="AC535" s="837"/>
      <c r="AD535" s="837"/>
      <c r="AE535" s="837"/>
      <c r="AF535" s="837"/>
      <c r="AG535" s="837"/>
      <c r="AH535" s="837"/>
      <c r="AI535" s="837"/>
      <c r="AJ535" s="874"/>
      <c r="AK535" s="837"/>
      <c r="AL535" s="837"/>
      <c r="AM535" s="837"/>
      <c r="AN535" s="837"/>
      <c r="AO535" s="837"/>
      <c r="AP535" s="837"/>
      <c r="AQ535" s="837"/>
      <c r="AR535" s="837"/>
      <c r="AS535" s="874"/>
      <c r="AT535" s="837"/>
      <c r="AU535" s="836"/>
      <c r="AV535" s="836"/>
      <c r="AW535" s="836"/>
      <c r="AX535" s="836"/>
      <c r="AY535" s="836"/>
    </row>
    <row r="536" spans="4:51" s="526" customFormat="1" x14ac:dyDescent="0.2">
      <c r="D536" s="708"/>
      <c r="E536" s="708"/>
      <c r="F536" s="708"/>
      <c r="G536" s="527"/>
      <c r="H536" s="709"/>
      <c r="I536" s="710"/>
      <c r="J536" s="710"/>
      <c r="K536" s="711"/>
      <c r="L536" s="711"/>
      <c r="M536" s="710"/>
      <c r="N536" s="711"/>
      <c r="O536" s="710"/>
      <c r="P536" s="527"/>
      <c r="Q536" s="527"/>
      <c r="R536" s="711"/>
      <c r="U536" s="712"/>
      <c r="V536" s="712"/>
      <c r="W536" s="712"/>
      <c r="X536" s="604"/>
      <c r="Y536" s="604"/>
      <c r="Z536" s="873"/>
      <c r="AA536" s="866"/>
      <c r="AB536" s="864"/>
      <c r="AC536" s="837"/>
      <c r="AD536" s="837"/>
      <c r="AE536" s="837"/>
      <c r="AF536" s="837"/>
      <c r="AG536" s="837"/>
      <c r="AH536" s="837"/>
      <c r="AI536" s="837"/>
      <c r="AJ536" s="874"/>
      <c r="AK536" s="837"/>
      <c r="AL536" s="837"/>
      <c r="AM536" s="837"/>
      <c r="AN536" s="837"/>
      <c r="AO536" s="837"/>
      <c r="AP536" s="837"/>
      <c r="AQ536" s="837"/>
      <c r="AR536" s="837"/>
      <c r="AS536" s="874"/>
      <c r="AT536" s="837"/>
      <c r="AU536" s="836"/>
      <c r="AV536" s="836"/>
      <c r="AW536" s="836"/>
      <c r="AX536" s="836"/>
      <c r="AY536" s="836"/>
    </row>
    <row r="537" spans="4:51" s="526" customFormat="1" x14ac:dyDescent="0.2">
      <c r="D537" s="708"/>
      <c r="E537" s="708"/>
      <c r="F537" s="708"/>
      <c r="G537" s="527"/>
      <c r="H537" s="709"/>
      <c r="I537" s="710"/>
      <c r="J537" s="710"/>
      <c r="K537" s="711"/>
      <c r="L537" s="711"/>
      <c r="M537" s="710"/>
      <c r="N537" s="711"/>
      <c r="O537" s="710"/>
      <c r="P537" s="527"/>
      <c r="Q537" s="527"/>
      <c r="R537" s="711"/>
      <c r="U537" s="712"/>
      <c r="V537" s="712"/>
      <c r="W537" s="712"/>
      <c r="X537" s="604"/>
      <c r="Y537" s="604"/>
      <c r="Z537" s="873"/>
      <c r="AA537" s="866"/>
      <c r="AB537" s="864"/>
      <c r="AC537" s="837"/>
      <c r="AD537" s="837"/>
      <c r="AE537" s="837"/>
      <c r="AF537" s="837"/>
      <c r="AG537" s="837"/>
      <c r="AH537" s="837"/>
      <c r="AI537" s="837"/>
      <c r="AJ537" s="874"/>
      <c r="AK537" s="837"/>
      <c r="AL537" s="837"/>
      <c r="AM537" s="837"/>
      <c r="AN537" s="837"/>
      <c r="AO537" s="837"/>
      <c r="AP537" s="837"/>
      <c r="AQ537" s="837"/>
      <c r="AR537" s="837"/>
      <c r="AS537" s="874"/>
      <c r="AT537" s="837"/>
      <c r="AU537" s="836"/>
      <c r="AV537" s="836"/>
      <c r="AW537" s="836"/>
      <c r="AX537" s="836"/>
      <c r="AY537" s="836"/>
    </row>
    <row r="538" spans="4:51" s="526" customFormat="1" x14ac:dyDescent="0.2">
      <c r="D538" s="708"/>
      <c r="E538" s="708"/>
      <c r="F538" s="708"/>
      <c r="G538" s="527"/>
      <c r="H538" s="709"/>
      <c r="I538" s="710"/>
      <c r="J538" s="710"/>
      <c r="K538" s="711"/>
      <c r="L538" s="711"/>
      <c r="M538" s="710"/>
      <c r="N538" s="711"/>
      <c r="O538" s="710"/>
      <c r="P538" s="527"/>
      <c r="Q538" s="527"/>
      <c r="R538" s="711"/>
      <c r="U538" s="712"/>
      <c r="V538" s="712"/>
      <c r="W538" s="712"/>
      <c r="X538" s="604"/>
      <c r="Y538" s="604"/>
      <c r="Z538" s="873"/>
      <c r="AA538" s="866"/>
      <c r="AB538" s="864"/>
      <c r="AC538" s="837"/>
      <c r="AD538" s="837"/>
      <c r="AE538" s="837"/>
      <c r="AF538" s="837"/>
      <c r="AG538" s="837"/>
      <c r="AH538" s="837"/>
      <c r="AI538" s="837"/>
      <c r="AJ538" s="874"/>
      <c r="AK538" s="837"/>
      <c r="AL538" s="837"/>
      <c r="AM538" s="837"/>
      <c r="AN538" s="837"/>
      <c r="AO538" s="837"/>
      <c r="AP538" s="837"/>
      <c r="AQ538" s="837"/>
      <c r="AR538" s="837"/>
      <c r="AS538" s="874"/>
      <c r="AT538" s="837"/>
      <c r="AU538" s="836"/>
      <c r="AV538" s="836"/>
      <c r="AW538" s="836"/>
      <c r="AX538" s="836"/>
      <c r="AY538" s="836"/>
    </row>
    <row r="539" spans="4:51" s="526" customFormat="1" x14ac:dyDescent="0.2">
      <c r="D539" s="708"/>
      <c r="E539" s="708"/>
      <c r="F539" s="708"/>
      <c r="G539" s="527"/>
      <c r="H539" s="709"/>
      <c r="I539" s="710"/>
      <c r="J539" s="710"/>
      <c r="K539" s="711"/>
      <c r="L539" s="711"/>
      <c r="M539" s="710"/>
      <c r="N539" s="711"/>
      <c r="O539" s="710"/>
      <c r="P539" s="527"/>
      <c r="Q539" s="527"/>
      <c r="R539" s="711"/>
      <c r="U539" s="712"/>
      <c r="V539" s="712"/>
      <c r="W539" s="712"/>
      <c r="X539" s="604"/>
      <c r="Y539" s="604"/>
      <c r="Z539" s="873"/>
      <c r="AA539" s="866"/>
      <c r="AB539" s="864"/>
      <c r="AC539" s="837"/>
      <c r="AD539" s="837"/>
      <c r="AE539" s="837"/>
      <c r="AF539" s="837"/>
      <c r="AG539" s="837"/>
      <c r="AH539" s="837"/>
      <c r="AI539" s="837"/>
      <c r="AJ539" s="874"/>
      <c r="AK539" s="837"/>
      <c r="AL539" s="837"/>
      <c r="AM539" s="837"/>
      <c r="AN539" s="837"/>
      <c r="AO539" s="837"/>
      <c r="AP539" s="837"/>
      <c r="AQ539" s="837"/>
      <c r="AR539" s="837"/>
      <c r="AS539" s="874"/>
      <c r="AT539" s="837"/>
      <c r="AU539" s="836"/>
      <c r="AV539" s="836"/>
      <c r="AW539" s="836"/>
      <c r="AX539" s="836"/>
      <c r="AY539" s="836"/>
    </row>
    <row r="540" spans="4:51" s="526" customFormat="1" x14ac:dyDescent="0.2">
      <c r="D540" s="708"/>
      <c r="E540" s="708"/>
      <c r="F540" s="708"/>
      <c r="G540" s="527"/>
      <c r="H540" s="709"/>
      <c r="I540" s="710"/>
      <c r="J540" s="710"/>
      <c r="K540" s="711"/>
      <c r="L540" s="711"/>
      <c r="M540" s="710"/>
      <c r="N540" s="711"/>
      <c r="O540" s="710"/>
      <c r="P540" s="527"/>
      <c r="Q540" s="527"/>
      <c r="R540" s="711"/>
      <c r="U540" s="712"/>
      <c r="V540" s="712"/>
      <c r="W540" s="712"/>
      <c r="X540" s="604"/>
      <c r="Y540" s="604"/>
      <c r="Z540" s="873"/>
      <c r="AA540" s="866"/>
      <c r="AB540" s="864"/>
      <c r="AC540" s="837"/>
      <c r="AD540" s="837"/>
      <c r="AE540" s="837"/>
      <c r="AF540" s="837"/>
      <c r="AG540" s="837"/>
      <c r="AH540" s="837"/>
      <c r="AI540" s="837"/>
      <c r="AJ540" s="874"/>
      <c r="AK540" s="837"/>
      <c r="AL540" s="837"/>
      <c r="AM540" s="837"/>
      <c r="AN540" s="837"/>
      <c r="AO540" s="837"/>
      <c r="AP540" s="837"/>
      <c r="AQ540" s="837"/>
      <c r="AR540" s="837"/>
      <c r="AS540" s="874"/>
      <c r="AT540" s="837"/>
      <c r="AU540" s="836"/>
      <c r="AV540" s="836"/>
      <c r="AW540" s="836"/>
      <c r="AX540" s="836"/>
      <c r="AY540" s="836"/>
    </row>
    <row r="541" spans="4:51" s="526" customFormat="1" x14ac:dyDescent="0.2">
      <c r="D541" s="708"/>
      <c r="E541" s="708"/>
      <c r="F541" s="708"/>
      <c r="G541" s="527"/>
      <c r="H541" s="709"/>
      <c r="I541" s="710"/>
      <c r="J541" s="710"/>
      <c r="K541" s="711"/>
      <c r="L541" s="711"/>
      <c r="M541" s="710"/>
      <c r="N541" s="711"/>
      <c r="O541" s="710"/>
      <c r="P541" s="527"/>
      <c r="Q541" s="527"/>
      <c r="R541" s="711"/>
      <c r="U541" s="712"/>
      <c r="V541" s="712"/>
      <c r="W541" s="712"/>
      <c r="X541" s="604"/>
      <c r="Y541" s="604"/>
      <c r="Z541" s="873"/>
      <c r="AA541" s="866"/>
      <c r="AB541" s="864"/>
      <c r="AC541" s="837"/>
      <c r="AD541" s="837"/>
      <c r="AE541" s="837"/>
      <c r="AF541" s="837"/>
      <c r="AG541" s="837"/>
      <c r="AH541" s="837"/>
      <c r="AI541" s="837"/>
      <c r="AJ541" s="874"/>
      <c r="AK541" s="837"/>
      <c r="AL541" s="837"/>
      <c r="AM541" s="837"/>
      <c r="AN541" s="837"/>
      <c r="AO541" s="837"/>
      <c r="AP541" s="837"/>
      <c r="AQ541" s="837"/>
      <c r="AR541" s="837"/>
      <c r="AS541" s="874"/>
      <c r="AT541" s="837"/>
      <c r="AU541" s="836"/>
      <c r="AV541" s="836"/>
      <c r="AW541" s="836"/>
      <c r="AX541" s="836"/>
      <c r="AY541" s="836"/>
    </row>
    <row r="542" spans="4:51" s="526" customFormat="1" x14ac:dyDescent="0.2">
      <c r="D542" s="708"/>
      <c r="E542" s="708"/>
      <c r="F542" s="708"/>
      <c r="G542" s="527"/>
      <c r="H542" s="709"/>
      <c r="I542" s="710"/>
      <c r="J542" s="710"/>
      <c r="K542" s="711"/>
      <c r="L542" s="711"/>
      <c r="M542" s="710"/>
      <c r="N542" s="711"/>
      <c r="O542" s="710"/>
      <c r="P542" s="527"/>
      <c r="Q542" s="527"/>
      <c r="R542" s="711"/>
      <c r="U542" s="712"/>
      <c r="V542" s="712"/>
      <c r="W542" s="712"/>
      <c r="X542" s="604"/>
      <c r="Y542" s="604"/>
      <c r="Z542" s="873"/>
      <c r="AA542" s="866"/>
      <c r="AB542" s="864"/>
      <c r="AC542" s="837"/>
      <c r="AD542" s="837"/>
      <c r="AE542" s="837"/>
      <c r="AF542" s="837"/>
      <c r="AG542" s="837"/>
      <c r="AH542" s="837"/>
      <c r="AI542" s="837"/>
      <c r="AJ542" s="874"/>
      <c r="AK542" s="837"/>
      <c r="AL542" s="837"/>
      <c r="AM542" s="837"/>
      <c r="AN542" s="837"/>
      <c r="AO542" s="837"/>
      <c r="AP542" s="837"/>
      <c r="AQ542" s="837"/>
      <c r="AR542" s="837"/>
      <c r="AS542" s="874"/>
      <c r="AT542" s="837"/>
      <c r="AU542" s="836"/>
      <c r="AV542" s="836"/>
      <c r="AW542" s="836"/>
      <c r="AX542" s="836"/>
      <c r="AY542" s="836"/>
    </row>
    <row r="543" spans="4:51" s="526" customFormat="1" x14ac:dyDescent="0.2">
      <c r="D543" s="708"/>
      <c r="E543" s="708"/>
      <c r="F543" s="708"/>
      <c r="G543" s="527"/>
      <c r="H543" s="709"/>
      <c r="I543" s="710"/>
      <c r="J543" s="710"/>
      <c r="K543" s="711"/>
      <c r="L543" s="711"/>
      <c r="M543" s="710"/>
      <c r="N543" s="711"/>
      <c r="O543" s="710"/>
      <c r="P543" s="527"/>
      <c r="Q543" s="527"/>
      <c r="R543" s="711"/>
      <c r="U543" s="712"/>
      <c r="V543" s="712"/>
      <c r="W543" s="712"/>
      <c r="X543" s="604"/>
      <c r="Y543" s="604"/>
      <c r="Z543" s="873"/>
      <c r="AA543" s="866"/>
      <c r="AB543" s="864"/>
      <c r="AC543" s="837"/>
      <c r="AD543" s="837"/>
      <c r="AE543" s="837"/>
      <c r="AF543" s="837"/>
      <c r="AG543" s="837"/>
      <c r="AH543" s="837"/>
      <c r="AI543" s="837"/>
      <c r="AJ543" s="874"/>
      <c r="AK543" s="837"/>
      <c r="AL543" s="837"/>
      <c r="AM543" s="837"/>
      <c r="AN543" s="837"/>
      <c r="AO543" s="837"/>
      <c r="AP543" s="837"/>
      <c r="AQ543" s="837"/>
      <c r="AR543" s="837"/>
      <c r="AS543" s="874"/>
      <c r="AT543" s="837"/>
      <c r="AU543" s="836"/>
      <c r="AV543" s="836"/>
      <c r="AW543" s="836"/>
      <c r="AX543" s="836"/>
      <c r="AY543" s="836"/>
    </row>
    <row r="544" spans="4:51" s="526" customFormat="1" x14ac:dyDescent="0.2">
      <c r="D544" s="708"/>
      <c r="E544" s="708"/>
      <c r="F544" s="708"/>
      <c r="G544" s="527"/>
      <c r="H544" s="709"/>
      <c r="I544" s="710"/>
      <c r="J544" s="710"/>
      <c r="K544" s="711"/>
      <c r="L544" s="711"/>
      <c r="M544" s="710"/>
      <c r="N544" s="711"/>
      <c r="O544" s="710"/>
      <c r="P544" s="527"/>
      <c r="Q544" s="527"/>
      <c r="R544" s="711"/>
      <c r="U544" s="712"/>
      <c r="V544" s="712"/>
      <c r="W544" s="712"/>
      <c r="X544" s="604"/>
      <c r="Y544" s="604"/>
      <c r="Z544" s="873"/>
      <c r="AA544" s="866"/>
      <c r="AB544" s="864"/>
      <c r="AC544" s="837"/>
      <c r="AD544" s="837"/>
      <c r="AE544" s="837"/>
      <c r="AF544" s="837"/>
      <c r="AG544" s="837"/>
      <c r="AH544" s="837"/>
      <c r="AI544" s="837"/>
      <c r="AJ544" s="874"/>
      <c r="AK544" s="837"/>
      <c r="AL544" s="837"/>
      <c r="AM544" s="837"/>
      <c r="AN544" s="837"/>
      <c r="AO544" s="837"/>
      <c r="AP544" s="837"/>
      <c r="AQ544" s="837"/>
      <c r="AR544" s="837"/>
      <c r="AS544" s="874"/>
      <c r="AT544" s="837"/>
      <c r="AU544" s="836"/>
      <c r="AV544" s="836"/>
      <c r="AW544" s="836"/>
      <c r="AX544" s="836"/>
      <c r="AY544" s="836"/>
    </row>
    <row r="545" spans="4:51" s="526" customFormat="1" x14ac:dyDescent="0.2">
      <c r="D545" s="708"/>
      <c r="E545" s="708"/>
      <c r="F545" s="708"/>
      <c r="G545" s="527"/>
      <c r="H545" s="709"/>
      <c r="I545" s="710"/>
      <c r="J545" s="710"/>
      <c r="K545" s="711"/>
      <c r="L545" s="711"/>
      <c r="M545" s="710"/>
      <c r="N545" s="711"/>
      <c r="O545" s="710"/>
      <c r="P545" s="527"/>
      <c r="Q545" s="527"/>
      <c r="R545" s="711"/>
      <c r="U545" s="712"/>
      <c r="V545" s="712"/>
      <c r="W545" s="712"/>
      <c r="X545" s="604"/>
      <c r="Y545" s="604"/>
      <c r="Z545" s="873"/>
      <c r="AA545" s="866"/>
      <c r="AB545" s="864"/>
      <c r="AC545" s="837"/>
      <c r="AD545" s="837"/>
      <c r="AE545" s="837"/>
      <c r="AF545" s="837"/>
      <c r="AG545" s="837"/>
      <c r="AH545" s="837"/>
      <c r="AI545" s="837"/>
      <c r="AJ545" s="874"/>
      <c r="AK545" s="837"/>
      <c r="AL545" s="837"/>
      <c r="AM545" s="837"/>
      <c r="AN545" s="837"/>
      <c r="AO545" s="837"/>
      <c r="AP545" s="837"/>
      <c r="AQ545" s="837"/>
      <c r="AR545" s="837"/>
      <c r="AS545" s="874"/>
      <c r="AT545" s="837"/>
      <c r="AU545" s="836"/>
      <c r="AV545" s="836"/>
      <c r="AW545" s="836"/>
      <c r="AX545" s="836"/>
      <c r="AY545" s="836"/>
    </row>
    <row r="546" spans="4:51" s="526" customFormat="1" x14ac:dyDescent="0.2">
      <c r="D546" s="708"/>
      <c r="E546" s="708"/>
      <c r="F546" s="708"/>
      <c r="G546" s="527"/>
      <c r="H546" s="709"/>
      <c r="I546" s="710"/>
      <c r="J546" s="710"/>
      <c r="K546" s="711"/>
      <c r="L546" s="711"/>
      <c r="M546" s="710"/>
      <c r="N546" s="711"/>
      <c r="O546" s="710"/>
      <c r="P546" s="527"/>
      <c r="Q546" s="527"/>
      <c r="R546" s="711"/>
      <c r="U546" s="712"/>
      <c r="V546" s="712"/>
      <c r="W546" s="712"/>
      <c r="X546" s="604"/>
      <c r="Y546" s="604"/>
      <c r="Z546" s="873"/>
      <c r="AA546" s="866"/>
      <c r="AB546" s="864"/>
      <c r="AC546" s="837"/>
      <c r="AD546" s="837"/>
      <c r="AE546" s="837"/>
      <c r="AF546" s="837"/>
      <c r="AG546" s="837"/>
      <c r="AH546" s="837"/>
      <c r="AI546" s="837"/>
      <c r="AJ546" s="874"/>
      <c r="AK546" s="837"/>
      <c r="AL546" s="837"/>
      <c r="AM546" s="837"/>
      <c r="AN546" s="837"/>
      <c r="AO546" s="837"/>
      <c r="AP546" s="837"/>
      <c r="AQ546" s="837"/>
      <c r="AR546" s="837"/>
      <c r="AS546" s="874"/>
      <c r="AT546" s="837"/>
      <c r="AU546" s="836"/>
      <c r="AV546" s="836"/>
      <c r="AW546" s="836"/>
      <c r="AX546" s="836"/>
      <c r="AY546" s="836"/>
    </row>
    <row r="547" spans="4:51" s="526" customFormat="1" x14ac:dyDescent="0.2">
      <c r="D547" s="708"/>
      <c r="E547" s="708"/>
      <c r="F547" s="708"/>
      <c r="G547" s="527"/>
      <c r="H547" s="709"/>
      <c r="I547" s="710"/>
      <c r="J547" s="710"/>
      <c r="K547" s="711"/>
      <c r="L547" s="711"/>
      <c r="M547" s="710"/>
      <c r="N547" s="711"/>
      <c r="O547" s="710"/>
      <c r="P547" s="527"/>
      <c r="Q547" s="527"/>
      <c r="R547" s="711"/>
      <c r="U547" s="712"/>
      <c r="V547" s="712"/>
      <c r="W547" s="712"/>
      <c r="X547" s="604"/>
      <c r="Y547" s="604"/>
      <c r="Z547" s="873"/>
      <c r="AA547" s="866"/>
      <c r="AB547" s="864"/>
      <c r="AC547" s="837"/>
      <c r="AD547" s="837"/>
      <c r="AE547" s="837"/>
      <c r="AF547" s="837"/>
      <c r="AG547" s="837"/>
      <c r="AH547" s="837"/>
      <c r="AI547" s="837"/>
      <c r="AJ547" s="874"/>
      <c r="AK547" s="837"/>
      <c r="AL547" s="837"/>
      <c r="AM547" s="837"/>
      <c r="AN547" s="837"/>
      <c r="AO547" s="837"/>
      <c r="AP547" s="837"/>
      <c r="AQ547" s="837"/>
      <c r="AR547" s="837"/>
      <c r="AS547" s="874"/>
      <c r="AT547" s="837"/>
      <c r="AU547" s="836"/>
      <c r="AV547" s="836"/>
      <c r="AW547" s="836"/>
      <c r="AX547" s="836"/>
      <c r="AY547" s="836"/>
    </row>
    <row r="548" spans="4:51" s="526" customFormat="1" x14ac:dyDescent="0.2">
      <c r="D548" s="708"/>
      <c r="E548" s="708"/>
      <c r="F548" s="708"/>
      <c r="G548" s="527"/>
      <c r="H548" s="709"/>
      <c r="I548" s="710"/>
      <c r="J548" s="710"/>
      <c r="K548" s="711"/>
      <c r="L548" s="711"/>
      <c r="M548" s="710"/>
      <c r="N548" s="711"/>
      <c r="O548" s="710"/>
      <c r="P548" s="527"/>
      <c r="Q548" s="527"/>
      <c r="R548" s="711"/>
      <c r="U548" s="712"/>
      <c r="V548" s="712"/>
      <c r="W548" s="712"/>
      <c r="X548" s="604"/>
      <c r="Y548" s="604"/>
      <c r="Z548" s="873"/>
      <c r="AA548" s="866"/>
      <c r="AB548" s="864"/>
      <c r="AC548" s="837"/>
      <c r="AD548" s="837"/>
      <c r="AE548" s="837"/>
      <c r="AF548" s="837"/>
      <c r="AG548" s="837"/>
      <c r="AH548" s="837"/>
      <c r="AI548" s="837"/>
      <c r="AJ548" s="874"/>
      <c r="AK548" s="837"/>
      <c r="AL548" s="837"/>
      <c r="AM548" s="837"/>
      <c r="AN548" s="837"/>
      <c r="AO548" s="837"/>
      <c r="AP548" s="837"/>
      <c r="AQ548" s="837"/>
      <c r="AR548" s="837"/>
      <c r="AS548" s="874"/>
      <c r="AT548" s="837"/>
      <c r="AU548" s="836"/>
      <c r="AV548" s="836"/>
      <c r="AW548" s="836"/>
      <c r="AX548" s="836"/>
      <c r="AY548" s="836"/>
    </row>
    <row r="549" spans="4:51" s="526" customFormat="1" x14ac:dyDescent="0.2">
      <c r="D549" s="708"/>
      <c r="E549" s="708"/>
      <c r="F549" s="708"/>
      <c r="G549" s="527"/>
      <c r="H549" s="709"/>
      <c r="I549" s="710"/>
      <c r="J549" s="710"/>
      <c r="K549" s="711"/>
      <c r="L549" s="711"/>
      <c r="M549" s="710"/>
      <c r="N549" s="711"/>
      <c r="O549" s="710"/>
      <c r="P549" s="527"/>
      <c r="Q549" s="527"/>
      <c r="R549" s="711"/>
      <c r="U549" s="712"/>
      <c r="V549" s="712"/>
      <c r="W549" s="712"/>
      <c r="X549" s="604"/>
      <c r="Y549" s="604"/>
      <c r="Z549" s="873"/>
      <c r="AA549" s="866"/>
      <c r="AB549" s="864"/>
      <c r="AC549" s="837"/>
      <c r="AD549" s="837"/>
      <c r="AE549" s="837"/>
      <c r="AF549" s="837"/>
      <c r="AG549" s="837"/>
      <c r="AH549" s="837"/>
      <c r="AI549" s="837"/>
      <c r="AJ549" s="874"/>
      <c r="AK549" s="837"/>
      <c r="AL549" s="837"/>
      <c r="AM549" s="837"/>
      <c r="AN549" s="837"/>
      <c r="AO549" s="837"/>
      <c r="AP549" s="837"/>
      <c r="AQ549" s="837"/>
      <c r="AR549" s="837"/>
      <c r="AS549" s="874"/>
      <c r="AT549" s="837"/>
      <c r="AU549" s="836"/>
      <c r="AV549" s="836"/>
      <c r="AW549" s="836"/>
      <c r="AX549" s="836"/>
      <c r="AY549" s="836"/>
    </row>
    <row r="550" spans="4:51" s="526" customFormat="1" x14ac:dyDescent="0.2">
      <c r="D550" s="708"/>
      <c r="E550" s="708"/>
      <c r="F550" s="708"/>
      <c r="G550" s="527"/>
      <c r="H550" s="709"/>
      <c r="I550" s="710"/>
      <c r="J550" s="710"/>
      <c r="K550" s="711"/>
      <c r="L550" s="711"/>
      <c r="M550" s="710"/>
      <c r="N550" s="711"/>
      <c r="O550" s="710"/>
      <c r="P550" s="527"/>
      <c r="Q550" s="527"/>
      <c r="R550" s="711"/>
      <c r="U550" s="712"/>
      <c r="V550" s="712"/>
      <c r="W550" s="712"/>
      <c r="X550" s="604"/>
      <c r="Y550" s="604"/>
      <c r="Z550" s="873"/>
      <c r="AA550" s="866"/>
      <c r="AB550" s="864"/>
      <c r="AC550" s="837"/>
      <c r="AD550" s="837"/>
      <c r="AE550" s="837"/>
      <c r="AF550" s="837"/>
      <c r="AG550" s="837"/>
      <c r="AH550" s="837"/>
      <c r="AI550" s="837"/>
      <c r="AJ550" s="874"/>
      <c r="AK550" s="837"/>
      <c r="AL550" s="837"/>
      <c r="AM550" s="837"/>
      <c r="AN550" s="837"/>
      <c r="AO550" s="837"/>
      <c r="AP550" s="837"/>
      <c r="AQ550" s="837"/>
      <c r="AR550" s="837"/>
      <c r="AS550" s="874"/>
      <c r="AT550" s="837"/>
      <c r="AU550" s="836"/>
      <c r="AV550" s="836"/>
      <c r="AW550" s="836"/>
      <c r="AX550" s="836"/>
      <c r="AY550" s="836"/>
    </row>
    <row r="551" spans="4:51" s="526" customFormat="1" x14ac:dyDescent="0.2">
      <c r="D551" s="708"/>
      <c r="E551" s="708"/>
      <c r="F551" s="708"/>
      <c r="G551" s="527"/>
      <c r="H551" s="709"/>
      <c r="I551" s="710"/>
      <c r="J551" s="710"/>
      <c r="K551" s="711"/>
      <c r="L551" s="711"/>
      <c r="M551" s="710"/>
      <c r="N551" s="711"/>
      <c r="O551" s="710"/>
      <c r="P551" s="527"/>
      <c r="Q551" s="527"/>
      <c r="R551" s="711"/>
      <c r="U551" s="712"/>
      <c r="V551" s="712"/>
      <c r="W551" s="712"/>
      <c r="X551" s="604"/>
      <c r="Y551" s="604"/>
      <c r="Z551" s="873"/>
      <c r="AA551" s="866"/>
      <c r="AB551" s="864"/>
      <c r="AC551" s="837"/>
      <c r="AD551" s="837"/>
      <c r="AE551" s="837"/>
      <c r="AF551" s="837"/>
      <c r="AG551" s="837"/>
      <c r="AH551" s="837"/>
      <c r="AI551" s="837"/>
      <c r="AJ551" s="874"/>
      <c r="AK551" s="837"/>
      <c r="AL551" s="837"/>
      <c r="AM551" s="837"/>
      <c r="AN551" s="837"/>
      <c r="AO551" s="837"/>
      <c r="AP551" s="837"/>
      <c r="AQ551" s="837"/>
      <c r="AR551" s="837"/>
      <c r="AS551" s="874"/>
      <c r="AT551" s="837"/>
      <c r="AU551" s="836"/>
      <c r="AV551" s="836"/>
      <c r="AW551" s="836"/>
      <c r="AX551" s="836"/>
      <c r="AY551" s="836"/>
    </row>
    <row r="552" spans="4:51" s="526" customFormat="1" x14ac:dyDescent="0.2">
      <c r="D552" s="708"/>
      <c r="E552" s="708"/>
      <c r="F552" s="708"/>
      <c r="G552" s="527"/>
      <c r="H552" s="709"/>
      <c r="I552" s="710"/>
      <c r="J552" s="710"/>
      <c r="K552" s="711"/>
      <c r="L552" s="711"/>
      <c r="M552" s="710"/>
      <c r="N552" s="711"/>
      <c r="O552" s="710"/>
      <c r="P552" s="527"/>
      <c r="Q552" s="527"/>
      <c r="R552" s="711"/>
      <c r="U552" s="712"/>
      <c r="V552" s="712"/>
      <c r="W552" s="712"/>
      <c r="X552" s="604"/>
      <c r="Y552" s="604"/>
      <c r="Z552" s="873"/>
      <c r="AA552" s="866"/>
      <c r="AB552" s="864"/>
      <c r="AC552" s="837"/>
      <c r="AD552" s="837"/>
      <c r="AE552" s="837"/>
      <c r="AF552" s="837"/>
      <c r="AG552" s="837"/>
      <c r="AH552" s="837"/>
      <c r="AI552" s="837"/>
      <c r="AJ552" s="874"/>
      <c r="AK552" s="837"/>
      <c r="AL552" s="837"/>
      <c r="AM552" s="837"/>
      <c r="AN552" s="837"/>
      <c r="AO552" s="837"/>
      <c r="AP552" s="837"/>
      <c r="AQ552" s="837"/>
      <c r="AR552" s="837"/>
      <c r="AS552" s="874"/>
      <c r="AT552" s="837"/>
      <c r="AU552" s="836"/>
      <c r="AV552" s="836"/>
      <c r="AW552" s="836"/>
      <c r="AX552" s="836"/>
      <c r="AY552" s="836"/>
    </row>
    <row r="553" spans="4:51" s="526" customFormat="1" x14ac:dyDescent="0.2">
      <c r="D553" s="708"/>
      <c r="E553" s="708"/>
      <c r="F553" s="708"/>
      <c r="G553" s="527"/>
      <c r="H553" s="709"/>
      <c r="I553" s="710"/>
      <c r="J553" s="710"/>
      <c r="K553" s="711"/>
      <c r="L553" s="711"/>
      <c r="M553" s="710"/>
      <c r="N553" s="711"/>
      <c r="O553" s="710"/>
      <c r="P553" s="527"/>
      <c r="Q553" s="527"/>
      <c r="R553" s="711"/>
      <c r="U553" s="712"/>
      <c r="V553" s="712"/>
      <c r="W553" s="712"/>
      <c r="X553" s="604"/>
      <c r="Y553" s="604"/>
      <c r="Z553" s="873"/>
      <c r="AA553" s="866"/>
      <c r="AB553" s="864"/>
      <c r="AC553" s="837"/>
      <c r="AD553" s="837"/>
      <c r="AE553" s="837"/>
      <c r="AF553" s="837"/>
      <c r="AG553" s="837"/>
      <c r="AH553" s="837"/>
      <c r="AI553" s="837"/>
      <c r="AJ553" s="874"/>
      <c r="AK553" s="837"/>
      <c r="AL553" s="837"/>
      <c r="AM553" s="837"/>
      <c r="AN553" s="837"/>
      <c r="AO553" s="837"/>
      <c r="AP553" s="837"/>
      <c r="AQ553" s="837"/>
      <c r="AR553" s="837"/>
      <c r="AS553" s="874"/>
      <c r="AT553" s="837"/>
      <c r="AU553" s="836"/>
      <c r="AV553" s="836"/>
      <c r="AW553" s="836"/>
      <c r="AX553" s="836"/>
      <c r="AY553" s="836"/>
    </row>
    <row r="554" spans="4:51" s="526" customFormat="1" x14ac:dyDescent="0.2">
      <c r="D554" s="708"/>
      <c r="E554" s="708"/>
      <c r="F554" s="708"/>
      <c r="G554" s="527"/>
      <c r="H554" s="709"/>
      <c r="I554" s="710"/>
      <c r="J554" s="710"/>
      <c r="K554" s="711"/>
      <c r="L554" s="711"/>
      <c r="M554" s="710"/>
      <c r="N554" s="711"/>
      <c r="O554" s="710"/>
      <c r="P554" s="527"/>
      <c r="Q554" s="527"/>
      <c r="R554" s="711"/>
      <c r="U554" s="712"/>
      <c r="V554" s="712"/>
      <c r="W554" s="712"/>
      <c r="X554" s="604"/>
      <c r="Y554" s="604"/>
      <c r="Z554" s="873"/>
      <c r="AA554" s="866"/>
      <c r="AB554" s="864"/>
      <c r="AC554" s="837"/>
      <c r="AD554" s="837"/>
      <c r="AE554" s="837"/>
      <c r="AF554" s="837"/>
      <c r="AG554" s="837"/>
      <c r="AH554" s="837"/>
      <c r="AI554" s="837"/>
      <c r="AJ554" s="874"/>
      <c r="AK554" s="837"/>
      <c r="AL554" s="837"/>
      <c r="AM554" s="837"/>
      <c r="AN554" s="837"/>
      <c r="AO554" s="837"/>
      <c r="AP554" s="837"/>
      <c r="AQ554" s="837"/>
      <c r="AR554" s="837"/>
      <c r="AS554" s="874"/>
      <c r="AT554" s="837"/>
      <c r="AU554" s="836"/>
      <c r="AV554" s="836"/>
      <c r="AW554" s="836"/>
      <c r="AX554" s="836"/>
      <c r="AY554" s="836"/>
    </row>
    <row r="555" spans="4:51" s="526" customFormat="1" x14ac:dyDescent="0.2">
      <c r="D555" s="708"/>
      <c r="E555" s="708"/>
      <c r="F555" s="708"/>
      <c r="G555" s="527"/>
      <c r="H555" s="709"/>
      <c r="I555" s="710"/>
      <c r="J555" s="710"/>
      <c r="K555" s="711"/>
      <c r="L555" s="711"/>
      <c r="M555" s="710"/>
      <c r="N555" s="711"/>
      <c r="O555" s="710"/>
      <c r="P555" s="527"/>
      <c r="Q555" s="527"/>
      <c r="R555" s="711"/>
      <c r="U555" s="712"/>
      <c r="V555" s="712"/>
      <c r="W555" s="712"/>
      <c r="X555" s="604"/>
      <c r="Y555" s="604"/>
      <c r="Z555" s="873"/>
      <c r="AA555" s="866"/>
      <c r="AB555" s="864"/>
      <c r="AC555" s="837"/>
      <c r="AD555" s="837"/>
      <c r="AE555" s="837"/>
      <c r="AF555" s="837"/>
      <c r="AG555" s="837"/>
      <c r="AH555" s="837"/>
      <c r="AI555" s="837"/>
      <c r="AJ555" s="874"/>
      <c r="AK555" s="837"/>
      <c r="AL555" s="837"/>
      <c r="AM555" s="837"/>
      <c r="AN555" s="837"/>
      <c r="AO555" s="837"/>
      <c r="AP555" s="837"/>
      <c r="AQ555" s="837"/>
      <c r="AR555" s="837"/>
      <c r="AS555" s="874"/>
      <c r="AT555" s="837"/>
      <c r="AU555" s="836"/>
      <c r="AV555" s="836"/>
      <c r="AW555" s="836"/>
      <c r="AX555" s="836"/>
      <c r="AY555" s="836"/>
    </row>
    <row r="556" spans="4:51" s="526" customFormat="1" x14ac:dyDescent="0.2">
      <c r="D556" s="708"/>
      <c r="E556" s="708"/>
      <c r="F556" s="708"/>
      <c r="G556" s="527"/>
      <c r="H556" s="709"/>
      <c r="I556" s="710"/>
      <c r="J556" s="710"/>
      <c r="K556" s="711"/>
      <c r="L556" s="711"/>
      <c r="M556" s="710"/>
      <c r="N556" s="711"/>
      <c r="O556" s="710"/>
      <c r="P556" s="527"/>
      <c r="Q556" s="527"/>
      <c r="R556" s="711"/>
      <c r="U556" s="712"/>
      <c r="V556" s="712"/>
      <c r="W556" s="712"/>
      <c r="X556" s="604"/>
      <c r="Y556" s="604"/>
      <c r="Z556" s="873"/>
      <c r="AA556" s="866"/>
      <c r="AB556" s="864"/>
      <c r="AC556" s="837"/>
      <c r="AD556" s="837"/>
      <c r="AE556" s="837"/>
      <c r="AF556" s="837"/>
      <c r="AG556" s="837"/>
      <c r="AH556" s="837"/>
      <c r="AI556" s="837"/>
      <c r="AJ556" s="874"/>
      <c r="AK556" s="837"/>
      <c r="AL556" s="837"/>
      <c r="AM556" s="837"/>
      <c r="AN556" s="837"/>
      <c r="AO556" s="837"/>
      <c r="AP556" s="837"/>
      <c r="AQ556" s="837"/>
      <c r="AR556" s="837"/>
      <c r="AS556" s="874"/>
      <c r="AT556" s="837"/>
      <c r="AU556" s="836"/>
      <c r="AV556" s="836"/>
      <c r="AW556" s="836"/>
      <c r="AX556" s="836"/>
      <c r="AY556" s="836"/>
    </row>
    <row r="557" spans="4:51" s="526" customFormat="1" x14ac:dyDescent="0.2">
      <c r="D557" s="708"/>
      <c r="E557" s="708"/>
      <c r="F557" s="708"/>
      <c r="G557" s="527"/>
      <c r="H557" s="709"/>
      <c r="I557" s="710"/>
      <c r="J557" s="710"/>
      <c r="K557" s="711"/>
      <c r="L557" s="711"/>
      <c r="M557" s="710"/>
      <c r="N557" s="711"/>
      <c r="O557" s="710"/>
      <c r="P557" s="527"/>
      <c r="Q557" s="527"/>
      <c r="R557" s="711"/>
      <c r="U557" s="712"/>
      <c r="V557" s="712"/>
      <c r="W557" s="712"/>
      <c r="X557" s="604"/>
      <c r="Y557" s="604"/>
      <c r="Z557" s="873"/>
      <c r="AA557" s="866"/>
      <c r="AB557" s="864"/>
      <c r="AC557" s="837"/>
      <c r="AD557" s="837"/>
      <c r="AE557" s="837"/>
      <c r="AF557" s="837"/>
      <c r="AG557" s="837"/>
      <c r="AH557" s="837"/>
      <c r="AI557" s="837"/>
      <c r="AJ557" s="874"/>
      <c r="AK557" s="837"/>
      <c r="AL557" s="837"/>
      <c r="AM557" s="837"/>
      <c r="AN557" s="837"/>
      <c r="AO557" s="837"/>
      <c r="AP557" s="837"/>
      <c r="AQ557" s="837"/>
      <c r="AR557" s="837"/>
      <c r="AS557" s="874"/>
      <c r="AT557" s="837"/>
      <c r="AU557" s="836"/>
      <c r="AV557" s="836"/>
      <c r="AW557" s="836"/>
      <c r="AX557" s="836"/>
      <c r="AY557" s="836"/>
    </row>
    <row r="558" spans="4:51" s="526" customFormat="1" x14ac:dyDescent="0.2">
      <c r="D558" s="708"/>
      <c r="E558" s="708"/>
      <c r="F558" s="708"/>
      <c r="G558" s="527"/>
      <c r="H558" s="709"/>
      <c r="I558" s="710"/>
      <c r="J558" s="710"/>
      <c r="K558" s="711"/>
      <c r="L558" s="711"/>
      <c r="M558" s="710"/>
      <c r="N558" s="711"/>
      <c r="O558" s="710"/>
      <c r="P558" s="527"/>
      <c r="Q558" s="527"/>
      <c r="R558" s="711"/>
      <c r="U558" s="712"/>
      <c r="V558" s="712"/>
      <c r="W558" s="712"/>
      <c r="X558" s="604"/>
      <c r="Y558" s="604"/>
      <c r="Z558" s="873"/>
      <c r="AA558" s="866"/>
      <c r="AB558" s="864"/>
      <c r="AC558" s="837"/>
      <c r="AD558" s="837"/>
      <c r="AE558" s="837"/>
      <c r="AF558" s="837"/>
      <c r="AG558" s="837"/>
      <c r="AH558" s="837"/>
      <c r="AI558" s="837"/>
      <c r="AJ558" s="874"/>
      <c r="AK558" s="837"/>
      <c r="AL558" s="837"/>
      <c r="AM558" s="837"/>
      <c r="AN558" s="837"/>
      <c r="AO558" s="837"/>
      <c r="AP558" s="837"/>
      <c r="AQ558" s="837"/>
      <c r="AR558" s="837"/>
      <c r="AS558" s="874"/>
      <c r="AT558" s="837"/>
      <c r="AU558" s="836"/>
      <c r="AV558" s="836"/>
      <c r="AW558" s="836"/>
      <c r="AX558" s="836"/>
      <c r="AY558" s="836"/>
    </row>
    <row r="559" spans="4:51" s="526" customFormat="1" x14ac:dyDescent="0.2">
      <c r="D559" s="708"/>
      <c r="E559" s="708"/>
      <c r="F559" s="708"/>
      <c r="G559" s="527"/>
      <c r="H559" s="709"/>
      <c r="I559" s="710"/>
      <c r="J559" s="710"/>
      <c r="K559" s="711"/>
      <c r="L559" s="711"/>
      <c r="M559" s="710"/>
      <c r="N559" s="711"/>
      <c r="O559" s="710"/>
      <c r="P559" s="527"/>
      <c r="Q559" s="527"/>
      <c r="R559" s="711"/>
      <c r="U559" s="712"/>
      <c r="V559" s="712"/>
      <c r="W559" s="712"/>
      <c r="X559" s="604"/>
      <c r="Y559" s="604"/>
      <c r="Z559" s="873"/>
      <c r="AA559" s="866"/>
      <c r="AB559" s="864"/>
      <c r="AC559" s="837"/>
      <c r="AD559" s="837"/>
      <c r="AE559" s="837"/>
      <c r="AF559" s="837"/>
      <c r="AG559" s="837"/>
      <c r="AH559" s="837"/>
      <c r="AI559" s="837"/>
      <c r="AJ559" s="874"/>
      <c r="AK559" s="837"/>
      <c r="AL559" s="837"/>
      <c r="AM559" s="837"/>
      <c r="AN559" s="837"/>
      <c r="AO559" s="837"/>
      <c r="AP559" s="837"/>
      <c r="AQ559" s="837"/>
      <c r="AR559" s="837"/>
      <c r="AS559" s="874"/>
      <c r="AT559" s="837"/>
      <c r="AU559" s="836"/>
      <c r="AV559" s="836"/>
      <c r="AW559" s="836"/>
      <c r="AX559" s="836"/>
      <c r="AY559" s="836"/>
    </row>
    <row r="560" spans="4:51" s="526" customFormat="1" x14ac:dyDescent="0.2">
      <c r="D560" s="708"/>
      <c r="E560" s="708"/>
      <c r="F560" s="708"/>
      <c r="G560" s="527"/>
      <c r="H560" s="709"/>
      <c r="I560" s="710"/>
      <c r="J560" s="710"/>
      <c r="K560" s="711"/>
      <c r="L560" s="711"/>
      <c r="M560" s="710"/>
      <c r="N560" s="711"/>
      <c r="O560" s="710"/>
      <c r="P560" s="527"/>
      <c r="Q560" s="527"/>
      <c r="R560" s="711"/>
      <c r="U560" s="712"/>
      <c r="V560" s="712"/>
      <c r="W560" s="712"/>
      <c r="X560" s="604"/>
      <c r="Y560" s="604"/>
      <c r="Z560" s="873"/>
      <c r="AA560" s="866"/>
      <c r="AB560" s="864"/>
      <c r="AC560" s="837"/>
      <c r="AD560" s="837"/>
      <c r="AE560" s="837"/>
      <c r="AF560" s="837"/>
      <c r="AG560" s="837"/>
      <c r="AH560" s="837"/>
      <c r="AI560" s="837"/>
      <c r="AJ560" s="874"/>
      <c r="AK560" s="837"/>
      <c r="AL560" s="837"/>
      <c r="AM560" s="837"/>
      <c r="AN560" s="837"/>
      <c r="AO560" s="837"/>
      <c r="AP560" s="837"/>
      <c r="AQ560" s="837"/>
      <c r="AR560" s="837"/>
      <c r="AS560" s="874"/>
      <c r="AT560" s="837"/>
      <c r="AU560" s="836"/>
      <c r="AV560" s="836"/>
      <c r="AW560" s="836"/>
      <c r="AX560" s="836"/>
      <c r="AY560" s="836"/>
    </row>
    <row r="561" spans="4:51" s="526" customFormat="1" x14ac:dyDescent="0.2">
      <c r="D561" s="708"/>
      <c r="E561" s="708"/>
      <c r="F561" s="708"/>
      <c r="G561" s="527"/>
      <c r="H561" s="709"/>
      <c r="I561" s="710"/>
      <c r="J561" s="710"/>
      <c r="K561" s="711"/>
      <c r="L561" s="711"/>
      <c r="M561" s="710"/>
      <c r="N561" s="711"/>
      <c r="O561" s="710"/>
      <c r="P561" s="527"/>
      <c r="Q561" s="527"/>
      <c r="R561" s="711"/>
      <c r="U561" s="712"/>
      <c r="V561" s="712"/>
      <c r="W561" s="712"/>
      <c r="X561" s="604"/>
      <c r="Y561" s="604"/>
      <c r="Z561" s="873"/>
      <c r="AA561" s="866"/>
      <c r="AB561" s="864"/>
      <c r="AC561" s="837"/>
      <c r="AD561" s="837"/>
      <c r="AE561" s="837"/>
      <c r="AF561" s="837"/>
      <c r="AG561" s="837"/>
      <c r="AH561" s="837"/>
      <c r="AI561" s="837"/>
      <c r="AJ561" s="874"/>
      <c r="AK561" s="837"/>
      <c r="AL561" s="837"/>
      <c r="AM561" s="837"/>
      <c r="AN561" s="837"/>
      <c r="AO561" s="837"/>
      <c r="AP561" s="837"/>
      <c r="AQ561" s="837"/>
      <c r="AR561" s="837"/>
      <c r="AS561" s="874"/>
      <c r="AT561" s="837"/>
      <c r="AU561" s="836"/>
      <c r="AV561" s="836"/>
      <c r="AW561" s="836"/>
      <c r="AX561" s="836"/>
      <c r="AY561" s="836"/>
    </row>
    <row r="562" spans="4:51" s="526" customFormat="1" x14ac:dyDescent="0.2">
      <c r="D562" s="708"/>
      <c r="E562" s="708"/>
      <c r="F562" s="708"/>
      <c r="G562" s="527"/>
      <c r="H562" s="709"/>
      <c r="I562" s="710"/>
      <c r="J562" s="710"/>
      <c r="K562" s="711"/>
      <c r="L562" s="711"/>
      <c r="M562" s="710"/>
      <c r="N562" s="711"/>
      <c r="O562" s="710"/>
      <c r="P562" s="527"/>
      <c r="Q562" s="527"/>
      <c r="R562" s="711"/>
      <c r="U562" s="712"/>
      <c r="V562" s="712"/>
      <c r="W562" s="712"/>
      <c r="X562" s="604"/>
      <c r="Y562" s="604"/>
      <c r="Z562" s="873"/>
      <c r="AA562" s="866"/>
      <c r="AB562" s="864"/>
      <c r="AC562" s="837"/>
      <c r="AD562" s="837"/>
      <c r="AE562" s="837"/>
      <c r="AF562" s="837"/>
      <c r="AG562" s="837"/>
      <c r="AH562" s="837"/>
      <c r="AI562" s="837"/>
      <c r="AJ562" s="874"/>
      <c r="AK562" s="837"/>
      <c r="AL562" s="837"/>
      <c r="AM562" s="837"/>
      <c r="AN562" s="837"/>
      <c r="AO562" s="837"/>
      <c r="AP562" s="837"/>
      <c r="AQ562" s="837"/>
      <c r="AR562" s="837"/>
      <c r="AS562" s="874"/>
      <c r="AT562" s="837"/>
      <c r="AU562" s="836"/>
      <c r="AV562" s="836"/>
      <c r="AW562" s="836"/>
      <c r="AX562" s="836"/>
      <c r="AY562" s="836"/>
    </row>
    <row r="563" spans="4:51" s="526" customFormat="1" x14ac:dyDescent="0.2">
      <c r="D563" s="708"/>
      <c r="E563" s="708"/>
      <c r="F563" s="708"/>
      <c r="G563" s="527"/>
      <c r="H563" s="709"/>
      <c r="I563" s="710"/>
      <c r="J563" s="710"/>
      <c r="K563" s="711"/>
      <c r="L563" s="711"/>
      <c r="M563" s="710"/>
      <c r="N563" s="711"/>
      <c r="O563" s="710"/>
      <c r="P563" s="527"/>
      <c r="Q563" s="527"/>
      <c r="R563" s="711"/>
      <c r="U563" s="712"/>
      <c r="V563" s="712"/>
      <c r="W563" s="712"/>
      <c r="X563" s="604"/>
      <c r="Y563" s="604"/>
      <c r="Z563" s="873"/>
      <c r="AA563" s="866"/>
      <c r="AB563" s="864"/>
      <c r="AC563" s="837"/>
      <c r="AD563" s="837"/>
      <c r="AE563" s="837"/>
      <c r="AF563" s="837"/>
      <c r="AG563" s="837"/>
      <c r="AH563" s="837"/>
      <c r="AI563" s="837"/>
      <c r="AJ563" s="874"/>
      <c r="AK563" s="837"/>
      <c r="AL563" s="837"/>
      <c r="AM563" s="837"/>
      <c r="AN563" s="837"/>
      <c r="AO563" s="837"/>
      <c r="AP563" s="837"/>
      <c r="AQ563" s="837"/>
      <c r="AR563" s="837"/>
      <c r="AS563" s="874"/>
      <c r="AT563" s="837"/>
      <c r="AU563" s="836"/>
      <c r="AV563" s="836"/>
      <c r="AW563" s="836"/>
      <c r="AX563" s="836"/>
      <c r="AY563" s="836"/>
    </row>
    <row r="564" spans="4:51" s="526" customFormat="1" x14ac:dyDescent="0.2">
      <c r="D564" s="708"/>
      <c r="E564" s="708"/>
      <c r="F564" s="708"/>
      <c r="G564" s="527"/>
      <c r="H564" s="709"/>
      <c r="I564" s="710"/>
      <c r="J564" s="710"/>
      <c r="K564" s="711"/>
      <c r="L564" s="711"/>
      <c r="M564" s="710"/>
      <c r="N564" s="711"/>
      <c r="O564" s="710"/>
      <c r="P564" s="527"/>
      <c r="Q564" s="527"/>
      <c r="R564" s="711"/>
      <c r="U564" s="712"/>
      <c r="V564" s="712"/>
      <c r="W564" s="712"/>
      <c r="X564" s="604"/>
      <c r="Y564" s="604"/>
      <c r="Z564" s="873"/>
      <c r="AA564" s="866"/>
      <c r="AB564" s="864"/>
      <c r="AC564" s="837"/>
      <c r="AD564" s="837"/>
      <c r="AE564" s="837"/>
      <c r="AF564" s="837"/>
      <c r="AG564" s="837"/>
      <c r="AH564" s="837"/>
      <c r="AI564" s="837"/>
      <c r="AJ564" s="874"/>
      <c r="AK564" s="837"/>
      <c r="AL564" s="837"/>
      <c r="AM564" s="837"/>
      <c r="AN564" s="837"/>
      <c r="AO564" s="837"/>
      <c r="AP564" s="837"/>
      <c r="AQ564" s="837"/>
      <c r="AR564" s="837"/>
      <c r="AS564" s="874"/>
      <c r="AT564" s="837"/>
      <c r="AU564" s="836"/>
      <c r="AV564" s="836"/>
      <c r="AW564" s="836"/>
      <c r="AX564" s="836"/>
      <c r="AY564" s="836"/>
    </row>
    <row r="565" spans="4:51" s="526" customFormat="1" x14ac:dyDescent="0.2">
      <c r="D565" s="708"/>
      <c r="E565" s="708"/>
      <c r="F565" s="708"/>
      <c r="G565" s="527"/>
      <c r="H565" s="709"/>
      <c r="I565" s="710"/>
      <c r="J565" s="710"/>
      <c r="K565" s="711"/>
      <c r="L565" s="711"/>
      <c r="M565" s="710"/>
      <c r="N565" s="711"/>
      <c r="O565" s="710"/>
      <c r="P565" s="527"/>
      <c r="Q565" s="527"/>
      <c r="R565" s="711"/>
      <c r="U565" s="712"/>
      <c r="V565" s="712"/>
      <c r="W565" s="712"/>
      <c r="X565" s="604"/>
      <c r="Y565" s="604"/>
      <c r="Z565" s="873"/>
      <c r="AA565" s="866"/>
      <c r="AB565" s="864"/>
      <c r="AC565" s="837"/>
      <c r="AD565" s="837"/>
      <c r="AE565" s="837"/>
      <c r="AF565" s="837"/>
      <c r="AG565" s="837"/>
      <c r="AH565" s="837"/>
      <c r="AI565" s="837"/>
      <c r="AJ565" s="874"/>
      <c r="AK565" s="837"/>
      <c r="AL565" s="837"/>
      <c r="AM565" s="837"/>
      <c r="AN565" s="837"/>
      <c r="AO565" s="837"/>
      <c r="AP565" s="837"/>
      <c r="AQ565" s="837"/>
      <c r="AR565" s="837"/>
      <c r="AS565" s="874"/>
      <c r="AT565" s="837"/>
      <c r="AU565" s="836"/>
      <c r="AV565" s="836"/>
      <c r="AW565" s="836"/>
      <c r="AX565" s="836"/>
      <c r="AY565" s="836"/>
    </row>
    <row r="566" spans="4:51" s="526" customFormat="1" x14ac:dyDescent="0.2">
      <c r="D566" s="708"/>
      <c r="E566" s="708"/>
      <c r="F566" s="708"/>
      <c r="G566" s="527"/>
      <c r="H566" s="709"/>
      <c r="I566" s="710"/>
      <c r="J566" s="710"/>
      <c r="K566" s="711"/>
      <c r="L566" s="711"/>
      <c r="M566" s="710"/>
      <c r="N566" s="711"/>
      <c r="O566" s="710"/>
      <c r="P566" s="527"/>
      <c r="Q566" s="527"/>
      <c r="R566" s="711"/>
      <c r="U566" s="712"/>
      <c r="V566" s="712"/>
      <c r="W566" s="712"/>
      <c r="X566" s="604"/>
      <c r="Y566" s="604"/>
      <c r="Z566" s="873"/>
      <c r="AA566" s="866"/>
      <c r="AB566" s="864"/>
      <c r="AC566" s="837"/>
      <c r="AD566" s="837"/>
      <c r="AE566" s="837"/>
      <c r="AF566" s="837"/>
      <c r="AG566" s="837"/>
      <c r="AH566" s="837"/>
      <c r="AI566" s="837"/>
      <c r="AJ566" s="874"/>
      <c r="AK566" s="837"/>
      <c r="AL566" s="837"/>
      <c r="AM566" s="837"/>
      <c r="AN566" s="837"/>
      <c r="AO566" s="837"/>
      <c r="AP566" s="837"/>
      <c r="AQ566" s="837"/>
      <c r="AR566" s="837"/>
      <c r="AS566" s="874"/>
      <c r="AT566" s="837"/>
      <c r="AU566" s="836"/>
      <c r="AV566" s="836"/>
      <c r="AW566" s="836"/>
      <c r="AX566" s="836"/>
      <c r="AY566" s="836"/>
    </row>
    <row r="567" spans="4:51" s="526" customFormat="1" x14ac:dyDescent="0.2">
      <c r="D567" s="708"/>
      <c r="E567" s="708"/>
      <c r="F567" s="708"/>
      <c r="G567" s="527"/>
      <c r="H567" s="709"/>
      <c r="I567" s="710"/>
      <c r="J567" s="710"/>
      <c r="K567" s="711"/>
      <c r="L567" s="711"/>
      <c r="M567" s="710"/>
      <c r="N567" s="711"/>
      <c r="O567" s="710"/>
      <c r="P567" s="527"/>
      <c r="Q567" s="527"/>
      <c r="R567" s="711"/>
      <c r="U567" s="712"/>
      <c r="V567" s="712"/>
      <c r="W567" s="712"/>
      <c r="X567" s="604"/>
      <c r="Y567" s="604"/>
      <c r="Z567" s="873"/>
      <c r="AA567" s="866"/>
      <c r="AB567" s="864"/>
      <c r="AC567" s="837"/>
      <c r="AD567" s="837"/>
      <c r="AE567" s="837"/>
      <c r="AF567" s="837"/>
      <c r="AG567" s="837"/>
      <c r="AH567" s="837"/>
      <c r="AI567" s="837"/>
      <c r="AJ567" s="874"/>
      <c r="AK567" s="837"/>
      <c r="AL567" s="837"/>
      <c r="AM567" s="837"/>
      <c r="AN567" s="837"/>
      <c r="AO567" s="837"/>
      <c r="AP567" s="837"/>
      <c r="AQ567" s="837"/>
      <c r="AR567" s="837"/>
      <c r="AS567" s="874"/>
      <c r="AT567" s="837"/>
      <c r="AU567" s="836"/>
      <c r="AV567" s="836"/>
      <c r="AW567" s="836"/>
      <c r="AX567" s="836"/>
      <c r="AY567" s="836"/>
    </row>
    <row r="568" spans="4:51" s="526" customFormat="1" x14ac:dyDescent="0.2">
      <c r="D568" s="708"/>
      <c r="E568" s="708"/>
      <c r="F568" s="708"/>
      <c r="G568" s="527"/>
      <c r="H568" s="709"/>
      <c r="I568" s="710"/>
      <c r="J568" s="710"/>
      <c r="K568" s="711"/>
      <c r="L568" s="711"/>
      <c r="M568" s="710"/>
      <c r="N568" s="711"/>
      <c r="O568" s="710"/>
      <c r="P568" s="527"/>
      <c r="Q568" s="527"/>
      <c r="R568" s="711"/>
      <c r="U568" s="712"/>
      <c r="V568" s="712"/>
      <c r="W568" s="712"/>
      <c r="X568" s="604"/>
      <c r="Y568" s="604"/>
      <c r="Z568" s="873"/>
      <c r="AA568" s="866"/>
      <c r="AB568" s="864"/>
      <c r="AC568" s="837"/>
      <c r="AD568" s="837"/>
      <c r="AE568" s="837"/>
      <c r="AF568" s="837"/>
      <c r="AG568" s="837"/>
      <c r="AH568" s="837"/>
      <c r="AI568" s="837"/>
      <c r="AJ568" s="874"/>
      <c r="AK568" s="837"/>
      <c r="AL568" s="837"/>
      <c r="AM568" s="837"/>
      <c r="AN568" s="837"/>
      <c r="AO568" s="837"/>
      <c r="AP568" s="837"/>
      <c r="AQ568" s="837"/>
      <c r="AR568" s="837"/>
      <c r="AS568" s="874"/>
      <c r="AT568" s="837"/>
      <c r="AU568" s="836"/>
      <c r="AV568" s="836"/>
      <c r="AW568" s="836"/>
      <c r="AX568" s="836"/>
      <c r="AY568" s="836"/>
    </row>
    <row r="569" spans="4:51" s="526" customFormat="1" x14ac:dyDescent="0.2">
      <c r="D569" s="708"/>
      <c r="E569" s="708"/>
      <c r="F569" s="708"/>
      <c r="G569" s="527"/>
      <c r="H569" s="709"/>
      <c r="I569" s="710"/>
      <c r="J569" s="710"/>
      <c r="K569" s="711"/>
      <c r="L569" s="711"/>
      <c r="M569" s="710"/>
      <c r="N569" s="711"/>
      <c r="O569" s="710"/>
      <c r="P569" s="527"/>
      <c r="Q569" s="527"/>
      <c r="R569" s="711"/>
      <c r="U569" s="712"/>
      <c r="V569" s="712"/>
      <c r="W569" s="712"/>
      <c r="X569" s="604"/>
      <c r="Y569" s="604"/>
      <c r="Z569" s="873"/>
      <c r="AA569" s="866"/>
      <c r="AB569" s="864"/>
      <c r="AC569" s="837"/>
      <c r="AD569" s="837"/>
      <c r="AE569" s="837"/>
      <c r="AF569" s="837"/>
      <c r="AG569" s="837"/>
      <c r="AH569" s="837"/>
      <c r="AI569" s="837"/>
      <c r="AJ569" s="874"/>
      <c r="AK569" s="837"/>
      <c r="AL569" s="837"/>
      <c r="AM569" s="837"/>
      <c r="AN569" s="837"/>
      <c r="AO569" s="837"/>
      <c r="AP569" s="837"/>
      <c r="AQ569" s="837"/>
      <c r="AR569" s="837"/>
      <c r="AS569" s="874"/>
      <c r="AT569" s="837"/>
      <c r="AU569" s="836"/>
      <c r="AV569" s="836"/>
      <c r="AW569" s="836"/>
      <c r="AX569" s="836"/>
      <c r="AY569" s="836"/>
    </row>
    <row r="570" spans="4:51" s="526" customFormat="1" x14ac:dyDescent="0.2">
      <c r="D570" s="708"/>
      <c r="E570" s="708"/>
      <c r="F570" s="708"/>
      <c r="G570" s="527"/>
      <c r="H570" s="709"/>
      <c r="I570" s="710"/>
      <c r="J570" s="710"/>
      <c r="K570" s="711"/>
      <c r="L570" s="711"/>
      <c r="M570" s="710"/>
      <c r="N570" s="711"/>
      <c r="O570" s="710"/>
      <c r="P570" s="527"/>
      <c r="Q570" s="527"/>
      <c r="R570" s="711"/>
      <c r="U570" s="712"/>
      <c r="V570" s="712"/>
      <c r="W570" s="712"/>
      <c r="X570" s="604"/>
      <c r="Y570" s="604"/>
      <c r="Z570" s="873"/>
      <c r="AA570" s="866"/>
      <c r="AB570" s="864"/>
      <c r="AC570" s="837"/>
      <c r="AD570" s="837"/>
      <c r="AE570" s="837"/>
      <c r="AF570" s="837"/>
      <c r="AG570" s="837"/>
      <c r="AH570" s="837"/>
      <c r="AI570" s="837"/>
      <c r="AJ570" s="874"/>
      <c r="AK570" s="837"/>
      <c r="AL570" s="837"/>
      <c r="AM570" s="837"/>
      <c r="AN570" s="837"/>
      <c r="AO570" s="837"/>
      <c r="AP570" s="837"/>
      <c r="AQ570" s="837"/>
      <c r="AR570" s="837"/>
      <c r="AS570" s="874"/>
      <c r="AT570" s="837"/>
      <c r="AU570" s="836"/>
      <c r="AV570" s="836"/>
      <c r="AW570" s="836"/>
      <c r="AX570" s="836"/>
      <c r="AY570" s="836"/>
    </row>
    <row r="571" spans="4:51" s="526" customFormat="1" x14ac:dyDescent="0.2">
      <c r="D571" s="708"/>
      <c r="E571" s="708"/>
      <c r="F571" s="708"/>
      <c r="G571" s="527"/>
      <c r="H571" s="709"/>
      <c r="I571" s="710"/>
      <c r="J571" s="710"/>
      <c r="K571" s="711"/>
      <c r="L571" s="711"/>
      <c r="M571" s="710"/>
      <c r="N571" s="711"/>
      <c r="O571" s="710"/>
      <c r="P571" s="527"/>
      <c r="Q571" s="527"/>
      <c r="R571" s="711"/>
      <c r="U571" s="712"/>
      <c r="V571" s="712"/>
      <c r="W571" s="712"/>
      <c r="X571" s="604"/>
      <c r="Y571" s="604"/>
      <c r="Z571" s="873"/>
      <c r="AA571" s="866"/>
      <c r="AB571" s="864"/>
      <c r="AC571" s="837"/>
      <c r="AD571" s="837"/>
      <c r="AE571" s="837"/>
      <c r="AF571" s="837"/>
      <c r="AG571" s="837"/>
      <c r="AH571" s="837"/>
      <c r="AI571" s="837"/>
      <c r="AJ571" s="874"/>
      <c r="AK571" s="837"/>
      <c r="AL571" s="837"/>
      <c r="AM571" s="837"/>
      <c r="AN571" s="837"/>
      <c r="AO571" s="837"/>
      <c r="AP571" s="837"/>
      <c r="AQ571" s="837"/>
      <c r="AR571" s="837"/>
      <c r="AS571" s="874"/>
      <c r="AT571" s="837"/>
      <c r="AU571" s="836"/>
      <c r="AV571" s="836"/>
      <c r="AW571" s="836"/>
      <c r="AX571" s="836"/>
      <c r="AY571" s="836"/>
    </row>
    <row r="572" spans="4:51" s="526" customFormat="1" x14ac:dyDescent="0.2">
      <c r="D572" s="708"/>
      <c r="E572" s="708"/>
      <c r="F572" s="708"/>
      <c r="G572" s="527"/>
      <c r="H572" s="709"/>
      <c r="I572" s="710"/>
      <c r="J572" s="710"/>
      <c r="K572" s="711"/>
      <c r="L572" s="711"/>
      <c r="M572" s="710"/>
      <c r="N572" s="711"/>
      <c r="O572" s="710"/>
      <c r="P572" s="527"/>
      <c r="Q572" s="527"/>
      <c r="R572" s="711"/>
      <c r="U572" s="712"/>
      <c r="V572" s="712"/>
      <c r="W572" s="712"/>
      <c r="X572" s="604"/>
      <c r="Y572" s="604"/>
      <c r="Z572" s="873"/>
      <c r="AA572" s="866"/>
      <c r="AB572" s="864"/>
      <c r="AC572" s="837"/>
      <c r="AD572" s="837"/>
      <c r="AE572" s="837"/>
      <c r="AF572" s="837"/>
      <c r="AG572" s="837"/>
      <c r="AH572" s="837"/>
      <c r="AI572" s="837"/>
      <c r="AJ572" s="874"/>
      <c r="AK572" s="837"/>
      <c r="AL572" s="837"/>
      <c r="AM572" s="837"/>
      <c r="AN572" s="837"/>
      <c r="AO572" s="837"/>
      <c r="AP572" s="837"/>
      <c r="AQ572" s="837"/>
      <c r="AR572" s="837"/>
      <c r="AS572" s="874"/>
      <c r="AT572" s="837"/>
      <c r="AU572" s="836"/>
      <c r="AV572" s="836"/>
      <c r="AW572" s="836"/>
      <c r="AX572" s="836"/>
      <c r="AY572" s="836"/>
    </row>
    <row r="573" spans="4:51" s="526" customFormat="1" x14ac:dyDescent="0.2">
      <c r="D573" s="708"/>
      <c r="E573" s="708"/>
      <c r="F573" s="708"/>
      <c r="G573" s="527"/>
      <c r="H573" s="709"/>
      <c r="I573" s="710"/>
      <c r="J573" s="710"/>
      <c r="K573" s="711"/>
      <c r="L573" s="711"/>
      <c r="M573" s="710"/>
      <c r="N573" s="711"/>
      <c r="O573" s="710"/>
      <c r="P573" s="527"/>
      <c r="Q573" s="527"/>
      <c r="R573" s="711"/>
      <c r="U573" s="712"/>
      <c r="V573" s="712"/>
      <c r="W573" s="712"/>
      <c r="X573" s="604"/>
      <c r="Y573" s="604"/>
      <c r="Z573" s="873"/>
      <c r="AA573" s="866"/>
      <c r="AB573" s="864"/>
      <c r="AC573" s="837"/>
      <c r="AD573" s="837"/>
      <c r="AE573" s="837"/>
      <c r="AF573" s="837"/>
      <c r="AG573" s="837"/>
      <c r="AH573" s="837"/>
      <c r="AI573" s="837"/>
      <c r="AJ573" s="874"/>
      <c r="AK573" s="837"/>
      <c r="AL573" s="837"/>
      <c r="AM573" s="837"/>
      <c r="AN573" s="837"/>
      <c r="AO573" s="837"/>
      <c r="AP573" s="837"/>
      <c r="AQ573" s="837"/>
      <c r="AR573" s="837"/>
      <c r="AS573" s="874"/>
      <c r="AT573" s="837"/>
      <c r="AU573" s="836"/>
      <c r="AV573" s="836"/>
      <c r="AW573" s="836"/>
      <c r="AX573" s="836"/>
      <c r="AY573" s="836"/>
    </row>
    <row r="574" spans="4:51" s="526" customFormat="1" x14ac:dyDescent="0.2">
      <c r="D574" s="708"/>
      <c r="E574" s="708"/>
      <c r="F574" s="708"/>
      <c r="G574" s="527"/>
      <c r="H574" s="709"/>
      <c r="I574" s="710"/>
      <c r="J574" s="710"/>
      <c r="K574" s="711"/>
      <c r="L574" s="711"/>
      <c r="M574" s="710"/>
      <c r="N574" s="711"/>
      <c r="O574" s="710"/>
      <c r="P574" s="527"/>
      <c r="Q574" s="527"/>
      <c r="R574" s="711"/>
      <c r="U574" s="712"/>
      <c r="V574" s="712"/>
      <c r="W574" s="712"/>
      <c r="X574" s="604"/>
      <c r="Y574" s="604"/>
      <c r="Z574" s="873"/>
      <c r="AA574" s="866"/>
      <c r="AB574" s="864"/>
      <c r="AC574" s="837"/>
      <c r="AD574" s="837"/>
      <c r="AE574" s="837"/>
      <c r="AF574" s="837"/>
      <c r="AG574" s="837"/>
      <c r="AH574" s="837"/>
      <c r="AI574" s="837"/>
      <c r="AJ574" s="874"/>
      <c r="AK574" s="837"/>
      <c r="AL574" s="837"/>
      <c r="AM574" s="837"/>
      <c r="AN574" s="837"/>
      <c r="AO574" s="837"/>
      <c r="AP574" s="837"/>
      <c r="AQ574" s="837"/>
      <c r="AR574" s="837"/>
      <c r="AS574" s="874"/>
      <c r="AT574" s="837"/>
      <c r="AU574" s="836"/>
      <c r="AV574" s="836"/>
      <c r="AW574" s="836"/>
      <c r="AX574" s="836"/>
      <c r="AY574" s="836"/>
    </row>
    <row r="575" spans="4:51" s="526" customFormat="1" x14ac:dyDescent="0.2">
      <c r="D575" s="708"/>
      <c r="E575" s="708"/>
      <c r="F575" s="708"/>
      <c r="G575" s="527"/>
      <c r="H575" s="709"/>
      <c r="I575" s="710"/>
      <c r="J575" s="710"/>
      <c r="K575" s="711"/>
      <c r="L575" s="711"/>
      <c r="M575" s="710"/>
      <c r="N575" s="711"/>
      <c r="O575" s="710"/>
      <c r="P575" s="527"/>
      <c r="Q575" s="527"/>
      <c r="R575" s="711"/>
      <c r="U575" s="712"/>
      <c r="V575" s="712"/>
      <c r="W575" s="712"/>
      <c r="X575" s="604"/>
      <c r="Y575" s="604"/>
      <c r="Z575" s="873"/>
      <c r="AA575" s="866"/>
      <c r="AB575" s="864"/>
      <c r="AC575" s="837"/>
      <c r="AD575" s="837"/>
      <c r="AE575" s="837"/>
      <c r="AF575" s="837"/>
      <c r="AG575" s="837"/>
      <c r="AH575" s="837"/>
      <c r="AI575" s="837"/>
      <c r="AJ575" s="874"/>
      <c r="AK575" s="837"/>
      <c r="AL575" s="837"/>
      <c r="AM575" s="837"/>
      <c r="AN575" s="837"/>
      <c r="AO575" s="837"/>
      <c r="AP575" s="837"/>
      <c r="AQ575" s="837"/>
      <c r="AR575" s="837"/>
      <c r="AS575" s="874"/>
      <c r="AT575" s="837"/>
      <c r="AU575" s="836"/>
      <c r="AV575" s="836"/>
      <c r="AW575" s="836"/>
      <c r="AX575" s="836"/>
      <c r="AY575" s="836"/>
    </row>
    <row r="576" spans="4:51" s="526" customFormat="1" x14ac:dyDescent="0.2">
      <c r="D576" s="708"/>
      <c r="E576" s="708"/>
      <c r="F576" s="708"/>
      <c r="G576" s="527"/>
      <c r="H576" s="709"/>
      <c r="I576" s="710"/>
      <c r="J576" s="710"/>
      <c r="K576" s="711"/>
      <c r="L576" s="711"/>
      <c r="M576" s="710"/>
      <c r="N576" s="711"/>
      <c r="O576" s="710"/>
      <c r="P576" s="527"/>
      <c r="Q576" s="527"/>
      <c r="R576" s="711"/>
      <c r="U576" s="712"/>
      <c r="V576" s="712"/>
      <c r="W576" s="712"/>
      <c r="X576" s="604"/>
      <c r="Y576" s="604"/>
      <c r="Z576" s="873"/>
      <c r="AA576" s="866"/>
      <c r="AB576" s="864"/>
      <c r="AC576" s="837"/>
      <c r="AD576" s="837"/>
      <c r="AE576" s="837"/>
      <c r="AF576" s="837"/>
      <c r="AG576" s="837"/>
      <c r="AH576" s="837"/>
      <c r="AI576" s="837"/>
      <c r="AJ576" s="874"/>
      <c r="AK576" s="837"/>
      <c r="AL576" s="837"/>
      <c r="AM576" s="837"/>
      <c r="AN576" s="837"/>
      <c r="AO576" s="837"/>
      <c r="AP576" s="837"/>
      <c r="AQ576" s="837"/>
      <c r="AR576" s="837"/>
      <c r="AS576" s="874"/>
      <c r="AT576" s="837"/>
      <c r="AU576" s="836"/>
      <c r="AV576" s="836"/>
      <c r="AW576" s="836"/>
      <c r="AX576" s="836"/>
      <c r="AY576" s="836"/>
    </row>
    <row r="577" spans="4:51" s="526" customFormat="1" x14ac:dyDescent="0.2">
      <c r="D577" s="708"/>
      <c r="E577" s="708"/>
      <c r="F577" s="708"/>
      <c r="G577" s="527"/>
      <c r="H577" s="709"/>
      <c r="I577" s="710"/>
      <c r="J577" s="710"/>
      <c r="K577" s="711"/>
      <c r="L577" s="711"/>
      <c r="M577" s="710"/>
      <c r="N577" s="711"/>
      <c r="O577" s="710"/>
      <c r="P577" s="527"/>
      <c r="Q577" s="527"/>
      <c r="R577" s="711"/>
      <c r="U577" s="712"/>
      <c r="V577" s="712"/>
      <c r="W577" s="712"/>
      <c r="X577" s="604"/>
      <c r="Y577" s="604"/>
      <c r="Z577" s="873"/>
      <c r="AA577" s="866"/>
      <c r="AB577" s="864"/>
      <c r="AC577" s="837"/>
      <c r="AD577" s="837"/>
      <c r="AE577" s="837"/>
      <c r="AF577" s="837"/>
      <c r="AG577" s="837"/>
      <c r="AH577" s="837"/>
      <c r="AI577" s="837"/>
      <c r="AJ577" s="874"/>
      <c r="AK577" s="837"/>
      <c r="AL577" s="837"/>
      <c r="AM577" s="837"/>
      <c r="AN577" s="837"/>
      <c r="AO577" s="837"/>
      <c r="AP577" s="837"/>
      <c r="AQ577" s="837"/>
      <c r="AR577" s="837"/>
      <c r="AS577" s="874"/>
      <c r="AT577" s="837"/>
      <c r="AU577" s="836"/>
      <c r="AV577" s="836"/>
      <c r="AW577" s="836"/>
      <c r="AX577" s="836"/>
      <c r="AY577" s="836"/>
    </row>
    <row r="578" spans="4:51" s="526" customFormat="1" x14ac:dyDescent="0.2">
      <c r="D578" s="708"/>
      <c r="E578" s="708"/>
      <c r="F578" s="708"/>
      <c r="G578" s="527"/>
      <c r="H578" s="709"/>
      <c r="I578" s="710"/>
      <c r="J578" s="710"/>
      <c r="K578" s="711"/>
      <c r="L578" s="711"/>
      <c r="M578" s="710"/>
      <c r="N578" s="711"/>
      <c r="O578" s="710"/>
      <c r="P578" s="527"/>
      <c r="Q578" s="527"/>
      <c r="R578" s="711"/>
      <c r="U578" s="712"/>
      <c r="V578" s="712"/>
      <c r="W578" s="712"/>
      <c r="X578" s="604"/>
      <c r="Y578" s="604"/>
      <c r="Z578" s="873"/>
      <c r="AA578" s="866"/>
      <c r="AB578" s="864"/>
      <c r="AC578" s="837"/>
      <c r="AD578" s="837"/>
      <c r="AE578" s="837"/>
      <c r="AF578" s="837"/>
      <c r="AG578" s="837"/>
      <c r="AH578" s="837"/>
      <c r="AI578" s="837"/>
      <c r="AJ578" s="874"/>
      <c r="AK578" s="837"/>
      <c r="AL578" s="837"/>
      <c r="AM578" s="837"/>
      <c r="AN578" s="837"/>
      <c r="AO578" s="837"/>
      <c r="AP578" s="837"/>
      <c r="AQ578" s="837"/>
      <c r="AR578" s="837"/>
      <c r="AS578" s="874"/>
      <c r="AT578" s="837"/>
      <c r="AU578" s="836"/>
      <c r="AV578" s="836"/>
      <c r="AW578" s="836"/>
      <c r="AX578" s="836"/>
      <c r="AY578" s="836"/>
    </row>
    <row r="579" spans="4:51" s="526" customFormat="1" x14ac:dyDescent="0.2">
      <c r="D579" s="708"/>
      <c r="E579" s="708"/>
      <c r="F579" s="708"/>
      <c r="G579" s="527"/>
      <c r="H579" s="709"/>
      <c r="I579" s="710"/>
      <c r="J579" s="710"/>
      <c r="K579" s="711"/>
      <c r="L579" s="711"/>
      <c r="M579" s="710"/>
      <c r="N579" s="711"/>
      <c r="O579" s="710"/>
      <c r="P579" s="527"/>
      <c r="Q579" s="527"/>
      <c r="R579" s="711"/>
      <c r="U579" s="712"/>
      <c r="V579" s="712"/>
      <c r="W579" s="712"/>
      <c r="X579" s="604"/>
      <c r="Y579" s="604"/>
      <c r="Z579" s="873"/>
      <c r="AA579" s="866"/>
      <c r="AB579" s="864"/>
      <c r="AC579" s="837"/>
      <c r="AD579" s="837"/>
      <c r="AE579" s="837"/>
      <c r="AF579" s="837"/>
      <c r="AG579" s="837"/>
      <c r="AH579" s="837"/>
      <c r="AI579" s="837"/>
      <c r="AJ579" s="874"/>
      <c r="AK579" s="837"/>
      <c r="AL579" s="837"/>
      <c r="AM579" s="837"/>
      <c r="AN579" s="837"/>
      <c r="AO579" s="837"/>
      <c r="AP579" s="837"/>
      <c r="AQ579" s="837"/>
      <c r="AR579" s="837"/>
      <c r="AS579" s="874"/>
      <c r="AT579" s="837"/>
      <c r="AU579" s="836"/>
      <c r="AV579" s="836"/>
      <c r="AW579" s="836"/>
      <c r="AX579" s="836"/>
      <c r="AY579" s="836"/>
    </row>
    <row r="580" spans="4:51" s="526" customFormat="1" x14ac:dyDescent="0.2">
      <c r="D580" s="708"/>
      <c r="E580" s="708"/>
      <c r="F580" s="708"/>
      <c r="G580" s="527"/>
      <c r="H580" s="709"/>
      <c r="I580" s="710"/>
      <c r="J580" s="710"/>
      <c r="K580" s="711"/>
      <c r="L580" s="711"/>
      <c r="M580" s="710"/>
      <c r="N580" s="711"/>
      <c r="O580" s="710"/>
      <c r="P580" s="527"/>
      <c r="Q580" s="527"/>
      <c r="R580" s="711"/>
      <c r="U580" s="712"/>
      <c r="V580" s="712"/>
      <c r="W580" s="712"/>
      <c r="X580" s="604"/>
      <c r="Y580" s="604"/>
      <c r="Z580" s="873"/>
      <c r="AA580" s="866"/>
      <c r="AB580" s="864"/>
      <c r="AC580" s="837"/>
      <c r="AD580" s="837"/>
      <c r="AE580" s="837"/>
      <c r="AF580" s="837"/>
      <c r="AG580" s="837"/>
      <c r="AH580" s="837"/>
      <c r="AI580" s="837"/>
      <c r="AJ580" s="874"/>
      <c r="AK580" s="837"/>
      <c r="AL580" s="837"/>
      <c r="AM580" s="837"/>
      <c r="AN580" s="837"/>
      <c r="AO580" s="837"/>
      <c r="AP580" s="837"/>
      <c r="AQ580" s="837"/>
      <c r="AR580" s="837"/>
      <c r="AS580" s="874"/>
      <c r="AT580" s="837"/>
      <c r="AU580" s="836"/>
      <c r="AV580" s="836"/>
      <c r="AW580" s="836"/>
      <c r="AX580" s="836"/>
      <c r="AY580" s="836"/>
    </row>
    <row r="581" spans="4:51" s="526" customFormat="1" x14ac:dyDescent="0.2">
      <c r="D581" s="708"/>
      <c r="E581" s="708"/>
      <c r="F581" s="708"/>
      <c r="G581" s="527"/>
      <c r="H581" s="709"/>
      <c r="I581" s="710"/>
      <c r="J581" s="710"/>
      <c r="K581" s="711"/>
      <c r="L581" s="711"/>
      <c r="M581" s="710"/>
      <c r="N581" s="711"/>
      <c r="O581" s="710"/>
      <c r="P581" s="527"/>
      <c r="Q581" s="527"/>
      <c r="R581" s="711"/>
      <c r="U581" s="712"/>
      <c r="V581" s="712"/>
      <c r="W581" s="712"/>
      <c r="X581" s="604"/>
      <c r="Y581" s="604"/>
      <c r="Z581" s="873"/>
      <c r="AA581" s="866"/>
      <c r="AB581" s="864"/>
      <c r="AC581" s="837"/>
      <c r="AD581" s="837"/>
      <c r="AE581" s="837"/>
      <c r="AF581" s="837"/>
      <c r="AG581" s="837"/>
      <c r="AH581" s="837"/>
      <c r="AI581" s="837"/>
      <c r="AJ581" s="874"/>
      <c r="AK581" s="837"/>
      <c r="AL581" s="837"/>
      <c r="AM581" s="837"/>
      <c r="AN581" s="837"/>
      <c r="AO581" s="837"/>
      <c r="AP581" s="837"/>
      <c r="AQ581" s="837"/>
      <c r="AR581" s="837"/>
      <c r="AS581" s="874"/>
      <c r="AT581" s="837"/>
      <c r="AU581" s="836"/>
      <c r="AV581" s="836"/>
      <c r="AW581" s="836"/>
      <c r="AX581" s="836"/>
      <c r="AY581" s="836"/>
    </row>
    <row r="582" spans="4:51" s="526" customFormat="1" x14ac:dyDescent="0.2">
      <c r="D582" s="708"/>
      <c r="E582" s="708"/>
      <c r="F582" s="708"/>
      <c r="G582" s="527"/>
      <c r="H582" s="709"/>
      <c r="I582" s="710"/>
      <c r="J582" s="710"/>
      <c r="K582" s="711"/>
      <c r="L582" s="711"/>
      <c r="M582" s="710"/>
      <c r="N582" s="711"/>
      <c r="O582" s="710"/>
      <c r="P582" s="527"/>
      <c r="Q582" s="527"/>
      <c r="R582" s="711"/>
      <c r="U582" s="712"/>
      <c r="V582" s="712"/>
      <c r="W582" s="712"/>
      <c r="X582" s="604"/>
      <c r="Y582" s="604"/>
      <c r="Z582" s="873"/>
      <c r="AA582" s="866"/>
      <c r="AB582" s="864"/>
      <c r="AC582" s="837"/>
      <c r="AD582" s="837"/>
      <c r="AE582" s="837"/>
      <c r="AF582" s="837"/>
      <c r="AG582" s="837"/>
      <c r="AH582" s="837"/>
      <c r="AI582" s="837"/>
      <c r="AJ582" s="874"/>
      <c r="AK582" s="837"/>
      <c r="AL582" s="837"/>
      <c r="AM582" s="837"/>
      <c r="AN582" s="837"/>
      <c r="AO582" s="837"/>
      <c r="AP582" s="837"/>
      <c r="AQ582" s="837"/>
      <c r="AR582" s="837"/>
      <c r="AS582" s="874"/>
      <c r="AT582" s="837"/>
      <c r="AU582" s="836"/>
      <c r="AV582" s="836"/>
      <c r="AW582" s="836"/>
      <c r="AX582" s="836"/>
      <c r="AY582" s="836"/>
    </row>
    <row r="583" spans="4:51" s="526" customFormat="1" x14ac:dyDescent="0.2">
      <c r="D583" s="708"/>
      <c r="E583" s="708"/>
      <c r="F583" s="708"/>
      <c r="G583" s="527"/>
      <c r="H583" s="709"/>
      <c r="I583" s="710"/>
      <c r="J583" s="710"/>
      <c r="K583" s="711"/>
      <c r="L583" s="711"/>
      <c r="M583" s="710"/>
      <c r="N583" s="711"/>
      <c r="O583" s="710"/>
      <c r="P583" s="527"/>
      <c r="Q583" s="527"/>
      <c r="R583" s="711"/>
      <c r="U583" s="712"/>
      <c r="V583" s="712"/>
      <c r="W583" s="712"/>
      <c r="X583" s="604"/>
      <c r="Y583" s="604"/>
      <c r="Z583" s="873"/>
      <c r="AA583" s="866"/>
      <c r="AB583" s="864"/>
      <c r="AC583" s="837"/>
      <c r="AD583" s="837"/>
      <c r="AE583" s="837"/>
      <c r="AF583" s="837"/>
      <c r="AG583" s="837"/>
      <c r="AH583" s="837"/>
      <c r="AI583" s="837"/>
      <c r="AJ583" s="874"/>
      <c r="AK583" s="837"/>
      <c r="AL583" s="837"/>
      <c r="AM583" s="837"/>
      <c r="AN583" s="837"/>
      <c r="AO583" s="837"/>
      <c r="AP583" s="837"/>
      <c r="AQ583" s="837"/>
      <c r="AR583" s="837"/>
      <c r="AS583" s="874"/>
      <c r="AT583" s="837"/>
      <c r="AU583" s="836"/>
      <c r="AV583" s="836"/>
      <c r="AW583" s="836"/>
      <c r="AX583" s="836"/>
      <c r="AY583" s="836"/>
    </row>
    <row r="584" spans="4:51" s="526" customFormat="1" x14ac:dyDescent="0.2">
      <c r="D584" s="708"/>
      <c r="E584" s="708"/>
      <c r="F584" s="708"/>
      <c r="G584" s="527"/>
      <c r="H584" s="709"/>
      <c r="I584" s="710"/>
      <c r="J584" s="710"/>
      <c r="K584" s="711"/>
      <c r="L584" s="711"/>
      <c r="M584" s="710"/>
      <c r="N584" s="711"/>
      <c r="O584" s="710"/>
      <c r="P584" s="527"/>
      <c r="Q584" s="527"/>
      <c r="R584" s="711"/>
      <c r="U584" s="712"/>
      <c r="V584" s="712"/>
      <c r="W584" s="712"/>
      <c r="X584" s="604"/>
      <c r="Y584" s="604"/>
      <c r="Z584" s="873"/>
      <c r="AA584" s="866"/>
      <c r="AB584" s="864"/>
      <c r="AC584" s="837"/>
      <c r="AD584" s="837"/>
      <c r="AE584" s="837"/>
      <c r="AF584" s="837"/>
      <c r="AG584" s="837"/>
      <c r="AH584" s="837"/>
      <c r="AI584" s="837"/>
      <c r="AJ584" s="874"/>
      <c r="AK584" s="837"/>
      <c r="AL584" s="837"/>
      <c r="AM584" s="837"/>
      <c r="AN584" s="837"/>
      <c r="AO584" s="837"/>
      <c r="AP584" s="837"/>
      <c r="AQ584" s="837"/>
      <c r="AR584" s="837"/>
      <c r="AS584" s="874"/>
      <c r="AT584" s="837"/>
      <c r="AU584" s="836"/>
      <c r="AV584" s="836"/>
      <c r="AW584" s="836"/>
      <c r="AX584" s="836"/>
      <c r="AY584" s="836"/>
    </row>
    <row r="585" spans="4:51" s="526" customFormat="1" x14ac:dyDescent="0.2">
      <c r="D585" s="708"/>
      <c r="E585" s="708"/>
      <c r="F585" s="708"/>
      <c r="G585" s="527"/>
      <c r="H585" s="709"/>
      <c r="I585" s="710"/>
      <c r="J585" s="710"/>
      <c r="K585" s="711"/>
      <c r="L585" s="711"/>
      <c r="M585" s="710"/>
      <c r="N585" s="711"/>
      <c r="O585" s="710"/>
      <c r="P585" s="527"/>
      <c r="Q585" s="527"/>
      <c r="R585" s="711"/>
      <c r="U585" s="712"/>
      <c r="V585" s="712"/>
      <c r="W585" s="712"/>
      <c r="X585" s="604"/>
      <c r="Y585" s="604"/>
      <c r="Z585" s="873"/>
      <c r="AA585" s="866"/>
      <c r="AB585" s="864"/>
      <c r="AC585" s="837"/>
      <c r="AD585" s="837"/>
      <c r="AE585" s="837"/>
      <c r="AF585" s="837"/>
      <c r="AG585" s="837"/>
      <c r="AH585" s="837"/>
      <c r="AI585" s="837"/>
      <c r="AJ585" s="874"/>
      <c r="AK585" s="837"/>
      <c r="AL585" s="837"/>
      <c r="AM585" s="837"/>
      <c r="AN585" s="837"/>
      <c r="AO585" s="837"/>
      <c r="AP585" s="837"/>
      <c r="AQ585" s="837"/>
      <c r="AR585" s="837"/>
      <c r="AS585" s="874"/>
      <c r="AT585" s="837"/>
      <c r="AU585" s="836"/>
      <c r="AV585" s="836"/>
      <c r="AW585" s="836"/>
      <c r="AX585" s="836"/>
      <c r="AY585" s="836"/>
    </row>
    <row r="586" spans="4:51" s="526" customFormat="1" x14ac:dyDescent="0.2">
      <c r="D586" s="708"/>
      <c r="E586" s="708"/>
      <c r="F586" s="708"/>
      <c r="G586" s="527"/>
      <c r="H586" s="709"/>
      <c r="I586" s="710"/>
      <c r="J586" s="710"/>
      <c r="K586" s="711"/>
      <c r="L586" s="711"/>
      <c r="M586" s="710"/>
      <c r="N586" s="711"/>
      <c r="O586" s="710"/>
      <c r="P586" s="527"/>
      <c r="Q586" s="527"/>
      <c r="R586" s="711"/>
      <c r="U586" s="712"/>
      <c r="V586" s="712"/>
      <c r="W586" s="712"/>
      <c r="X586" s="604"/>
      <c r="Y586" s="604"/>
      <c r="Z586" s="873"/>
      <c r="AA586" s="866"/>
      <c r="AB586" s="864"/>
      <c r="AC586" s="837"/>
      <c r="AD586" s="837"/>
      <c r="AE586" s="837"/>
      <c r="AF586" s="837"/>
      <c r="AG586" s="837"/>
      <c r="AH586" s="837"/>
      <c r="AI586" s="837"/>
      <c r="AJ586" s="874"/>
      <c r="AK586" s="837"/>
      <c r="AL586" s="837"/>
      <c r="AM586" s="837"/>
      <c r="AN586" s="837"/>
      <c r="AO586" s="837"/>
      <c r="AP586" s="837"/>
      <c r="AQ586" s="837"/>
      <c r="AR586" s="837"/>
      <c r="AS586" s="874"/>
      <c r="AT586" s="837"/>
      <c r="AU586" s="836"/>
      <c r="AV586" s="836"/>
      <c r="AW586" s="836"/>
      <c r="AX586" s="836"/>
      <c r="AY586" s="836"/>
    </row>
    <row r="587" spans="4:51" s="526" customFormat="1" x14ac:dyDescent="0.2">
      <c r="D587" s="708"/>
      <c r="E587" s="708"/>
      <c r="F587" s="708"/>
      <c r="G587" s="527"/>
      <c r="H587" s="709"/>
      <c r="I587" s="710"/>
      <c r="J587" s="710"/>
      <c r="K587" s="711"/>
      <c r="L587" s="711"/>
      <c r="M587" s="710"/>
      <c r="N587" s="711"/>
      <c r="O587" s="710"/>
      <c r="P587" s="527"/>
      <c r="Q587" s="527"/>
      <c r="R587" s="711"/>
      <c r="U587" s="712"/>
      <c r="V587" s="712"/>
      <c r="W587" s="712"/>
      <c r="X587" s="604"/>
      <c r="Y587" s="604"/>
      <c r="Z587" s="873"/>
      <c r="AA587" s="866"/>
      <c r="AB587" s="864"/>
      <c r="AC587" s="837"/>
      <c r="AD587" s="837"/>
      <c r="AE587" s="837"/>
      <c r="AF587" s="837"/>
      <c r="AG587" s="837"/>
      <c r="AH587" s="837"/>
      <c r="AI587" s="837"/>
      <c r="AJ587" s="874"/>
      <c r="AK587" s="837"/>
      <c r="AL587" s="837"/>
      <c r="AM587" s="837"/>
      <c r="AN587" s="837"/>
      <c r="AO587" s="837"/>
      <c r="AP587" s="837"/>
      <c r="AQ587" s="837"/>
      <c r="AR587" s="837"/>
      <c r="AS587" s="874"/>
      <c r="AT587" s="837"/>
      <c r="AU587" s="836"/>
      <c r="AV587" s="836"/>
      <c r="AW587" s="836"/>
      <c r="AX587" s="836"/>
      <c r="AY587" s="836"/>
    </row>
    <row r="588" spans="4:51" s="526" customFormat="1" x14ac:dyDescent="0.2">
      <c r="D588" s="708"/>
      <c r="E588" s="708"/>
      <c r="F588" s="708"/>
      <c r="G588" s="527"/>
      <c r="H588" s="709"/>
      <c r="I588" s="710"/>
      <c r="J588" s="710"/>
      <c r="K588" s="711"/>
      <c r="L588" s="711"/>
      <c r="M588" s="710"/>
      <c r="N588" s="711"/>
      <c r="O588" s="710"/>
      <c r="P588" s="527"/>
      <c r="Q588" s="527"/>
      <c r="R588" s="711"/>
      <c r="U588" s="712"/>
      <c r="V588" s="712"/>
      <c r="W588" s="712"/>
      <c r="X588" s="604"/>
      <c r="Y588" s="604"/>
      <c r="Z588" s="873"/>
      <c r="AA588" s="866"/>
      <c r="AB588" s="864"/>
      <c r="AC588" s="837"/>
      <c r="AD588" s="837"/>
      <c r="AE588" s="837"/>
      <c r="AF588" s="837"/>
      <c r="AG588" s="837"/>
      <c r="AH588" s="837"/>
      <c r="AI588" s="837"/>
      <c r="AJ588" s="874"/>
      <c r="AK588" s="837"/>
      <c r="AL588" s="837"/>
      <c r="AM588" s="837"/>
      <c r="AN588" s="837"/>
      <c r="AO588" s="837"/>
      <c r="AP588" s="837"/>
      <c r="AQ588" s="837"/>
      <c r="AR588" s="837"/>
      <c r="AS588" s="874"/>
      <c r="AT588" s="837"/>
      <c r="AU588" s="836"/>
      <c r="AV588" s="836"/>
      <c r="AW588" s="836"/>
      <c r="AX588" s="836"/>
      <c r="AY588" s="836"/>
    </row>
    <row r="589" spans="4:51" s="526" customFormat="1" x14ac:dyDescent="0.2">
      <c r="D589" s="708"/>
      <c r="E589" s="708"/>
      <c r="F589" s="708"/>
      <c r="G589" s="527"/>
      <c r="H589" s="709"/>
      <c r="I589" s="710"/>
      <c r="J589" s="710"/>
      <c r="K589" s="711"/>
      <c r="L589" s="711"/>
      <c r="M589" s="710"/>
      <c r="N589" s="711"/>
      <c r="O589" s="710"/>
      <c r="P589" s="527"/>
      <c r="Q589" s="527"/>
      <c r="R589" s="711"/>
      <c r="U589" s="712"/>
      <c r="V589" s="712"/>
      <c r="W589" s="712"/>
      <c r="X589" s="604"/>
      <c r="Y589" s="604"/>
      <c r="Z589" s="873"/>
      <c r="AA589" s="866"/>
      <c r="AB589" s="864"/>
      <c r="AC589" s="837"/>
      <c r="AD589" s="837"/>
      <c r="AE589" s="837"/>
      <c r="AF589" s="837"/>
      <c r="AG589" s="837"/>
      <c r="AH589" s="837"/>
      <c r="AI589" s="837"/>
      <c r="AJ589" s="874"/>
      <c r="AK589" s="837"/>
      <c r="AL589" s="837"/>
      <c r="AM589" s="837"/>
      <c r="AN589" s="837"/>
      <c r="AO589" s="837"/>
      <c r="AP589" s="837"/>
      <c r="AQ589" s="837"/>
      <c r="AR589" s="837"/>
      <c r="AS589" s="874"/>
      <c r="AT589" s="837"/>
      <c r="AU589" s="836"/>
      <c r="AV589" s="836"/>
      <c r="AW589" s="836"/>
      <c r="AX589" s="836"/>
      <c r="AY589" s="836"/>
    </row>
    <row r="590" spans="4:51" s="526" customFormat="1" x14ac:dyDescent="0.2">
      <c r="D590" s="708"/>
      <c r="E590" s="708"/>
      <c r="F590" s="708"/>
      <c r="G590" s="527"/>
      <c r="H590" s="709"/>
      <c r="I590" s="710"/>
      <c r="J590" s="710"/>
      <c r="K590" s="711"/>
      <c r="L590" s="711"/>
      <c r="M590" s="710"/>
      <c r="N590" s="711"/>
      <c r="O590" s="710"/>
      <c r="P590" s="527"/>
      <c r="Q590" s="527"/>
      <c r="R590" s="711"/>
      <c r="U590" s="712"/>
      <c r="V590" s="712"/>
      <c r="W590" s="712"/>
      <c r="X590" s="604"/>
      <c r="Y590" s="604"/>
      <c r="Z590" s="873"/>
      <c r="AA590" s="866"/>
      <c r="AB590" s="864"/>
      <c r="AC590" s="837"/>
      <c r="AD590" s="837"/>
      <c r="AE590" s="837"/>
      <c r="AF590" s="837"/>
      <c r="AG590" s="837"/>
      <c r="AH590" s="837"/>
      <c r="AI590" s="837"/>
      <c r="AJ590" s="874"/>
      <c r="AK590" s="837"/>
      <c r="AL590" s="837"/>
      <c r="AM590" s="837"/>
      <c r="AN590" s="837"/>
      <c r="AO590" s="837"/>
      <c r="AP590" s="837"/>
      <c r="AQ590" s="837"/>
      <c r="AR590" s="837"/>
      <c r="AS590" s="874"/>
      <c r="AT590" s="837"/>
      <c r="AU590" s="836"/>
      <c r="AV590" s="836"/>
      <c r="AW590" s="836"/>
      <c r="AX590" s="836"/>
      <c r="AY590" s="836"/>
    </row>
    <row r="591" spans="4:51" s="526" customFormat="1" x14ac:dyDescent="0.2">
      <c r="D591" s="708"/>
      <c r="E591" s="708"/>
      <c r="F591" s="708"/>
      <c r="G591" s="527"/>
      <c r="H591" s="709"/>
      <c r="I591" s="710"/>
      <c r="J591" s="710"/>
      <c r="K591" s="711"/>
      <c r="L591" s="711"/>
      <c r="M591" s="710"/>
      <c r="N591" s="711"/>
      <c r="O591" s="710"/>
      <c r="P591" s="527"/>
      <c r="Q591" s="527"/>
      <c r="R591" s="711"/>
      <c r="U591" s="712"/>
      <c r="V591" s="712"/>
      <c r="W591" s="712"/>
      <c r="X591" s="604"/>
      <c r="Y591" s="604"/>
      <c r="Z591" s="873"/>
      <c r="AA591" s="866"/>
      <c r="AB591" s="864"/>
      <c r="AC591" s="837"/>
      <c r="AD591" s="837"/>
      <c r="AE591" s="837"/>
      <c r="AF591" s="837"/>
      <c r="AG591" s="837"/>
      <c r="AH591" s="837"/>
      <c r="AI591" s="837"/>
      <c r="AJ591" s="874"/>
      <c r="AK591" s="837"/>
      <c r="AL591" s="837"/>
      <c r="AM591" s="837"/>
      <c r="AN591" s="837"/>
      <c r="AO591" s="837"/>
      <c r="AP591" s="837"/>
      <c r="AQ591" s="837"/>
      <c r="AR591" s="837"/>
      <c r="AS591" s="874"/>
      <c r="AT591" s="837"/>
      <c r="AU591" s="836"/>
      <c r="AV591" s="836"/>
      <c r="AW591" s="836"/>
      <c r="AX591" s="836"/>
      <c r="AY591" s="836"/>
    </row>
    <row r="592" spans="4:51" s="526" customFormat="1" x14ac:dyDescent="0.2">
      <c r="D592" s="708"/>
      <c r="E592" s="708"/>
      <c r="F592" s="708"/>
      <c r="G592" s="527"/>
      <c r="H592" s="709"/>
      <c r="I592" s="710"/>
      <c r="J592" s="710"/>
      <c r="K592" s="711"/>
      <c r="L592" s="711"/>
      <c r="M592" s="710"/>
      <c r="N592" s="711"/>
      <c r="O592" s="710"/>
      <c r="P592" s="527"/>
      <c r="Q592" s="527"/>
      <c r="R592" s="711"/>
      <c r="U592" s="712"/>
      <c r="V592" s="712"/>
      <c r="W592" s="712"/>
      <c r="X592" s="604"/>
      <c r="Y592" s="604"/>
      <c r="Z592" s="873"/>
      <c r="AA592" s="866"/>
      <c r="AB592" s="864"/>
      <c r="AC592" s="837"/>
      <c r="AD592" s="837"/>
      <c r="AE592" s="837"/>
      <c r="AF592" s="837"/>
      <c r="AG592" s="837"/>
      <c r="AH592" s="837"/>
      <c r="AI592" s="837"/>
      <c r="AJ592" s="874"/>
      <c r="AK592" s="837"/>
      <c r="AL592" s="837"/>
      <c r="AM592" s="837"/>
      <c r="AN592" s="837"/>
      <c r="AO592" s="837"/>
      <c r="AP592" s="837"/>
      <c r="AQ592" s="837"/>
      <c r="AR592" s="837"/>
      <c r="AS592" s="874"/>
      <c r="AT592" s="837"/>
      <c r="AU592" s="836"/>
      <c r="AV592" s="836"/>
      <c r="AW592" s="836"/>
      <c r="AX592" s="836"/>
      <c r="AY592" s="836"/>
    </row>
    <row r="593" spans="4:51" s="526" customFormat="1" x14ac:dyDescent="0.2">
      <c r="D593" s="708"/>
      <c r="E593" s="708"/>
      <c r="F593" s="708"/>
      <c r="G593" s="527"/>
      <c r="H593" s="709"/>
      <c r="I593" s="710"/>
      <c r="J593" s="710"/>
      <c r="K593" s="711"/>
      <c r="L593" s="711"/>
      <c r="M593" s="710"/>
      <c r="N593" s="711"/>
      <c r="O593" s="710"/>
      <c r="P593" s="527"/>
      <c r="Q593" s="527"/>
      <c r="R593" s="711"/>
      <c r="U593" s="712"/>
      <c r="V593" s="712"/>
      <c r="W593" s="712"/>
      <c r="X593" s="604"/>
      <c r="Y593" s="604"/>
      <c r="Z593" s="873"/>
      <c r="AA593" s="866"/>
      <c r="AB593" s="864"/>
      <c r="AC593" s="837"/>
      <c r="AD593" s="837"/>
      <c r="AE593" s="837"/>
      <c r="AF593" s="837"/>
      <c r="AG593" s="837"/>
      <c r="AH593" s="837"/>
      <c r="AI593" s="837"/>
      <c r="AJ593" s="874"/>
      <c r="AK593" s="837"/>
      <c r="AL593" s="837"/>
      <c r="AM593" s="837"/>
      <c r="AN593" s="837"/>
      <c r="AO593" s="837"/>
      <c r="AP593" s="837"/>
      <c r="AQ593" s="837"/>
      <c r="AR593" s="837"/>
      <c r="AS593" s="874"/>
      <c r="AT593" s="837"/>
      <c r="AU593" s="836"/>
      <c r="AV593" s="836"/>
      <c r="AW593" s="836"/>
      <c r="AX593" s="836"/>
      <c r="AY593" s="836"/>
    </row>
    <row r="594" spans="4:51" s="526" customFormat="1" x14ac:dyDescent="0.2">
      <c r="D594" s="708"/>
      <c r="E594" s="708"/>
      <c r="F594" s="708"/>
      <c r="G594" s="527"/>
      <c r="H594" s="709"/>
      <c r="I594" s="710"/>
      <c r="J594" s="710"/>
      <c r="K594" s="711"/>
      <c r="L594" s="711"/>
      <c r="M594" s="710"/>
      <c r="N594" s="711"/>
      <c r="O594" s="710"/>
      <c r="P594" s="527"/>
      <c r="Q594" s="527"/>
      <c r="R594" s="711"/>
      <c r="U594" s="712"/>
      <c r="V594" s="712"/>
      <c r="W594" s="712"/>
      <c r="X594" s="604"/>
      <c r="Y594" s="604"/>
      <c r="Z594" s="873"/>
      <c r="AA594" s="866"/>
      <c r="AB594" s="864"/>
      <c r="AC594" s="837"/>
      <c r="AD594" s="837"/>
      <c r="AE594" s="837"/>
      <c r="AF594" s="837"/>
      <c r="AG594" s="837"/>
      <c r="AH594" s="837"/>
      <c r="AI594" s="837"/>
      <c r="AJ594" s="874"/>
      <c r="AK594" s="837"/>
      <c r="AL594" s="837"/>
      <c r="AM594" s="837"/>
      <c r="AN594" s="837"/>
      <c r="AO594" s="837"/>
      <c r="AP594" s="837"/>
      <c r="AQ594" s="837"/>
      <c r="AR594" s="837"/>
      <c r="AS594" s="874"/>
      <c r="AT594" s="837"/>
      <c r="AU594" s="836"/>
      <c r="AV594" s="836"/>
      <c r="AW594" s="836"/>
      <c r="AX594" s="836"/>
      <c r="AY594" s="836"/>
    </row>
    <row r="595" spans="4:51" s="526" customFormat="1" x14ac:dyDescent="0.2">
      <c r="D595" s="708"/>
      <c r="E595" s="708"/>
      <c r="F595" s="708"/>
      <c r="G595" s="527"/>
      <c r="H595" s="709"/>
      <c r="I595" s="710"/>
      <c r="J595" s="710"/>
      <c r="K595" s="711"/>
      <c r="L595" s="711"/>
      <c r="M595" s="710"/>
      <c r="N595" s="711"/>
      <c r="O595" s="710"/>
      <c r="P595" s="527"/>
      <c r="Q595" s="527"/>
      <c r="R595" s="711"/>
      <c r="U595" s="712"/>
      <c r="V595" s="712"/>
      <c r="W595" s="712"/>
      <c r="X595" s="604"/>
      <c r="Y595" s="604"/>
      <c r="Z595" s="873"/>
      <c r="AA595" s="866"/>
      <c r="AB595" s="864"/>
      <c r="AC595" s="837"/>
      <c r="AD595" s="837"/>
      <c r="AE595" s="837"/>
      <c r="AF595" s="837"/>
      <c r="AG595" s="837"/>
      <c r="AH595" s="837"/>
      <c r="AI595" s="837"/>
      <c r="AJ595" s="874"/>
      <c r="AK595" s="837"/>
      <c r="AL595" s="837"/>
      <c r="AM595" s="837"/>
      <c r="AN595" s="837"/>
      <c r="AO595" s="837"/>
      <c r="AP595" s="837"/>
      <c r="AQ595" s="837"/>
      <c r="AR595" s="837"/>
      <c r="AS595" s="874"/>
      <c r="AT595" s="837"/>
      <c r="AU595" s="836"/>
      <c r="AV595" s="836"/>
      <c r="AW595" s="836"/>
      <c r="AX595" s="836"/>
      <c r="AY595" s="836"/>
    </row>
    <row r="596" spans="4:51" s="526" customFormat="1" x14ac:dyDescent="0.2">
      <c r="D596" s="708"/>
      <c r="E596" s="708"/>
      <c r="F596" s="708"/>
      <c r="G596" s="527"/>
      <c r="H596" s="709"/>
      <c r="I596" s="710"/>
      <c r="J596" s="710"/>
      <c r="K596" s="711"/>
      <c r="L596" s="711"/>
      <c r="M596" s="710"/>
      <c r="N596" s="711"/>
      <c r="O596" s="710"/>
      <c r="P596" s="527"/>
      <c r="Q596" s="527"/>
      <c r="R596" s="711"/>
      <c r="U596" s="712"/>
      <c r="V596" s="712"/>
      <c r="W596" s="712"/>
      <c r="X596" s="604"/>
      <c r="Y596" s="604"/>
      <c r="Z596" s="873"/>
      <c r="AA596" s="866"/>
      <c r="AB596" s="864"/>
      <c r="AC596" s="837"/>
      <c r="AD596" s="837"/>
      <c r="AE596" s="837"/>
      <c r="AF596" s="837"/>
      <c r="AG596" s="837"/>
      <c r="AH596" s="837"/>
      <c r="AI596" s="837"/>
      <c r="AJ596" s="874"/>
      <c r="AK596" s="837"/>
      <c r="AL596" s="837"/>
      <c r="AM596" s="837"/>
      <c r="AN596" s="837"/>
      <c r="AO596" s="837"/>
      <c r="AP596" s="837"/>
      <c r="AQ596" s="837"/>
      <c r="AR596" s="837"/>
      <c r="AS596" s="874"/>
      <c r="AT596" s="837"/>
      <c r="AU596" s="836"/>
      <c r="AV596" s="836"/>
      <c r="AW596" s="836"/>
      <c r="AX596" s="836"/>
      <c r="AY596" s="836"/>
    </row>
    <row r="597" spans="4:51" s="526" customFormat="1" x14ac:dyDescent="0.2">
      <c r="D597" s="708"/>
      <c r="E597" s="708"/>
      <c r="F597" s="708"/>
      <c r="G597" s="527"/>
      <c r="H597" s="709"/>
      <c r="I597" s="710"/>
      <c r="J597" s="710"/>
      <c r="K597" s="711"/>
      <c r="L597" s="711"/>
      <c r="M597" s="710"/>
      <c r="N597" s="711"/>
      <c r="O597" s="710"/>
      <c r="P597" s="527"/>
      <c r="Q597" s="527"/>
      <c r="R597" s="711"/>
      <c r="U597" s="712"/>
      <c r="V597" s="712"/>
      <c r="W597" s="712"/>
      <c r="X597" s="604"/>
      <c r="Y597" s="604"/>
      <c r="Z597" s="873"/>
      <c r="AA597" s="866"/>
      <c r="AB597" s="864"/>
      <c r="AC597" s="837"/>
      <c r="AD597" s="837"/>
      <c r="AE597" s="837"/>
      <c r="AF597" s="837"/>
      <c r="AG597" s="837"/>
      <c r="AH597" s="837"/>
      <c r="AI597" s="837"/>
      <c r="AJ597" s="874"/>
      <c r="AK597" s="837"/>
      <c r="AL597" s="837"/>
      <c r="AM597" s="837"/>
      <c r="AN597" s="837"/>
      <c r="AO597" s="837"/>
      <c r="AP597" s="837"/>
      <c r="AQ597" s="837"/>
      <c r="AR597" s="837"/>
      <c r="AS597" s="874"/>
      <c r="AT597" s="837"/>
      <c r="AU597" s="836"/>
      <c r="AV597" s="836"/>
      <c r="AW597" s="836"/>
      <c r="AX597" s="836"/>
      <c r="AY597" s="836"/>
    </row>
    <row r="598" spans="4:51" s="526" customFormat="1" x14ac:dyDescent="0.2">
      <c r="D598" s="708"/>
      <c r="E598" s="708"/>
      <c r="F598" s="708"/>
      <c r="G598" s="527"/>
      <c r="H598" s="709"/>
      <c r="I598" s="710"/>
      <c r="J598" s="710"/>
      <c r="K598" s="711"/>
      <c r="L598" s="711"/>
      <c r="M598" s="710"/>
      <c r="N598" s="711"/>
      <c r="O598" s="710"/>
      <c r="P598" s="527"/>
      <c r="Q598" s="527"/>
      <c r="R598" s="711"/>
      <c r="U598" s="712"/>
      <c r="V598" s="712"/>
      <c r="W598" s="712"/>
      <c r="X598" s="604"/>
      <c r="Y598" s="604"/>
      <c r="Z598" s="873"/>
      <c r="AA598" s="866"/>
      <c r="AB598" s="864"/>
      <c r="AC598" s="837"/>
      <c r="AD598" s="837"/>
      <c r="AE598" s="837"/>
      <c r="AF598" s="837"/>
      <c r="AG598" s="837"/>
      <c r="AH598" s="837"/>
      <c r="AI598" s="837"/>
      <c r="AJ598" s="874"/>
      <c r="AK598" s="837"/>
      <c r="AL598" s="837"/>
      <c r="AM598" s="837"/>
      <c r="AN598" s="837"/>
      <c r="AO598" s="837"/>
      <c r="AP598" s="837"/>
      <c r="AQ598" s="837"/>
      <c r="AR598" s="837"/>
      <c r="AS598" s="874"/>
      <c r="AT598" s="837"/>
      <c r="AU598" s="836"/>
      <c r="AV598" s="836"/>
      <c r="AW598" s="836"/>
      <c r="AX598" s="836"/>
      <c r="AY598" s="836"/>
    </row>
    <row r="599" spans="4:51" s="526" customFormat="1" x14ac:dyDescent="0.2">
      <c r="D599" s="708"/>
      <c r="E599" s="708"/>
      <c r="F599" s="708"/>
      <c r="G599" s="527"/>
      <c r="H599" s="709"/>
      <c r="I599" s="710"/>
      <c r="J599" s="710"/>
      <c r="K599" s="711"/>
      <c r="L599" s="711"/>
      <c r="M599" s="710"/>
      <c r="N599" s="711"/>
      <c r="O599" s="710"/>
      <c r="P599" s="527"/>
      <c r="Q599" s="527"/>
      <c r="R599" s="711"/>
      <c r="U599" s="712"/>
      <c r="V599" s="712"/>
      <c r="W599" s="712"/>
      <c r="X599" s="604"/>
      <c r="Y599" s="604"/>
      <c r="Z599" s="873"/>
      <c r="AA599" s="866"/>
      <c r="AB599" s="864"/>
      <c r="AC599" s="837"/>
      <c r="AD599" s="837"/>
      <c r="AE599" s="837"/>
      <c r="AF599" s="837"/>
      <c r="AG599" s="837"/>
      <c r="AH599" s="837"/>
      <c r="AI599" s="837"/>
      <c r="AJ599" s="874"/>
      <c r="AK599" s="837"/>
      <c r="AL599" s="837"/>
      <c r="AM599" s="837"/>
      <c r="AN599" s="837"/>
      <c r="AO599" s="837"/>
      <c r="AP599" s="837"/>
      <c r="AQ599" s="837"/>
      <c r="AR599" s="837"/>
      <c r="AS599" s="874"/>
      <c r="AT599" s="837"/>
      <c r="AU599" s="836"/>
      <c r="AV599" s="836"/>
      <c r="AW599" s="836"/>
      <c r="AX599" s="836"/>
      <c r="AY599" s="836"/>
    </row>
    <row r="600" spans="4:51" s="526" customFormat="1" x14ac:dyDescent="0.2">
      <c r="D600" s="708"/>
      <c r="E600" s="708"/>
      <c r="F600" s="708"/>
      <c r="G600" s="527"/>
      <c r="H600" s="709"/>
      <c r="I600" s="710"/>
      <c r="J600" s="710"/>
      <c r="K600" s="711"/>
      <c r="L600" s="711"/>
      <c r="M600" s="710"/>
      <c r="N600" s="711"/>
      <c r="O600" s="710"/>
      <c r="P600" s="527"/>
      <c r="Q600" s="527"/>
      <c r="R600" s="711"/>
      <c r="U600" s="712"/>
      <c r="V600" s="712"/>
      <c r="W600" s="712"/>
      <c r="X600" s="604"/>
      <c r="Y600" s="604"/>
      <c r="Z600" s="873"/>
      <c r="AA600" s="866"/>
      <c r="AB600" s="864"/>
      <c r="AC600" s="837"/>
      <c r="AD600" s="837"/>
      <c r="AE600" s="837"/>
      <c r="AF600" s="837"/>
      <c r="AG600" s="837"/>
      <c r="AH600" s="837"/>
      <c r="AI600" s="837"/>
      <c r="AJ600" s="874"/>
      <c r="AK600" s="837"/>
      <c r="AL600" s="837"/>
      <c r="AM600" s="837"/>
      <c r="AN600" s="837"/>
      <c r="AO600" s="837"/>
      <c r="AP600" s="837"/>
      <c r="AQ600" s="837"/>
      <c r="AR600" s="837"/>
      <c r="AS600" s="874"/>
      <c r="AT600" s="837"/>
      <c r="AU600" s="836"/>
      <c r="AV600" s="836"/>
      <c r="AW600" s="836"/>
      <c r="AX600" s="836"/>
      <c r="AY600" s="836"/>
    </row>
    <row r="601" spans="4:51" s="526" customFormat="1" x14ac:dyDescent="0.2">
      <c r="D601" s="708"/>
      <c r="E601" s="708"/>
      <c r="F601" s="708"/>
      <c r="G601" s="527"/>
      <c r="H601" s="709"/>
      <c r="I601" s="710"/>
      <c r="J601" s="710"/>
      <c r="K601" s="711"/>
      <c r="L601" s="711"/>
      <c r="M601" s="710"/>
      <c r="N601" s="711"/>
      <c r="O601" s="710"/>
      <c r="P601" s="527"/>
      <c r="Q601" s="527"/>
      <c r="R601" s="711"/>
      <c r="U601" s="712"/>
      <c r="V601" s="712"/>
      <c r="W601" s="712"/>
      <c r="X601" s="604"/>
      <c r="Y601" s="604"/>
      <c r="Z601" s="873"/>
      <c r="AA601" s="866"/>
      <c r="AB601" s="864"/>
      <c r="AC601" s="837"/>
      <c r="AD601" s="837"/>
      <c r="AE601" s="837"/>
      <c r="AF601" s="837"/>
      <c r="AG601" s="837"/>
      <c r="AH601" s="837"/>
      <c r="AI601" s="837"/>
      <c r="AJ601" s="874"/>
      <c r="AK601" s="837"/>
      <c r="AL601" s="837"/>
      <c r="AM601" s="837"/>
      <c r="AN601" s="837"/>
      <c r="AO601" s="837"/>
      <c r="AP601" s="837"/>
      <c r="AQ601" s="837"/>
      <c r="AR601" s="837"/>
      <c r="AS601" s="874"/>
      <c r="AT601" s="837"/>
      <c r="AU601" s="836"/>
      <c r="AV601" s="836"/>
      <c r="AW601" s="836"/>
      <c r="AX601" s="836"/>
      <c r="AY601" s="836"/>
    </row>
    <row r="602" spans="4:51" s="526" customFormat="1" x14ac:dyDescent="0.2">
      <c r="D602" s="708"/>
      <c r="E602" s="708"/>
      <c r="F602" s="708"/>
      <c r="G602" s="527"/>
      <c r="H602" s="709"/>
      <c r="I602" s="710"/>
      <c r="J602" s="710"/>
      <c r="K602" s="711"/>
      <c r="L602" s="711"/>
      <c r="M602" s="710"/>
      <c r="N602" s="711"/>
      <c r="O602" s="710"/>
      <c r="P602" s="527"/>
      <c r="Q602" s="527"/>
      <c r="R602" s="711"/>
      <c r="U602" s="712"/>
      <c r="V602" s="712"/>
      <c r="W602" s="712"/>
      <c r="X602" s="604"/>
      <c r="Y602" s="604"/>
      <c r="Z602" s="873"/>
      <c r="AA602" s="866"/>
      <c r="AB602" s="864"/>
      <c r="AC602" s="837"/>
      <c r="AD602" s="837"/>
      <c r="AE602" s="837"/>
      <c r="AF602" s="837"/>
      <c r="AG602" s="837"/>
      <c r="AH602" s="837"/>
      <c r="AI602" s="837"/>
      <c r="AJ602" s="874"/>
      <c r="AK602" s="837"/>
      <c r="AL602" s="837"/>
      <c r="AM602" s="837"/>
      <c r="AN602" s="837"/>
      <c r="AO602" s="837"/>
      <c r="AP602" s="837"/>
      <c r="AQ602" s="837"/>
      <c r="AR602" s="837"/>
      <c r="AS602" s="874"/>
      <c r="AT602" s="837"/>
      <c r="AU602" s="836"/>
      <c r="AV602" s="836"/>
      <c r="AW602" s="836"/>
      <c r="AX602" s="836"/>
      <c r="AY602" s="836"/>
    </row>
    <row r="603" spans="4:51" s="526" customFormat="1" x14ac:dyDescent="0.2">
      <c r="D603" s="708"/>
      <c r="E603" s="708"/>
      <c r="F603" s="708"/>
      <c r="G603" s="527"/>
      <c r="H603" s="709"/>
      <c r="I603" s="710"/>
      <c r="J603" s="710"/>
      <c r="K603" s="711"/>
      <c r="L603" s="711"/>
      <c r="M603" s="710"/>
      <c r="N603" s="711"/>
      <c r="O603" s="710"/>
      <c r="P603" s="527"/>
      <c r="Q603" s="527"/>
      <c r="R603" s="711"/>
      <c r="U603" s="712"/>
      <c r="V603" s="712"/>
      <c r="W603" s="712"/>
      <c r="X603" s="604"/>
      <c r="Y603" s="604"/>
      <c r="Z603" s="873"/>
      <c r="AA603" s="866"/>
      <c r="AB603" s="864"/>
      <c r="AC603" s="837"/>
      <c r="AD603" s="837"/>
      <c r="AE603" s="837"/>
      <c r="AF603" s="837"/>
      <c r="AG603" s="837"/>
      <c r="AH603" s="837"/>
      <c r="AI603" s="837"/>
      <c r="AJ603" s="874"/>
      <c r="AK603" s="837"/>
      <c r="AL603" s="837"/>
      <c r="AM603" s="837"/>
      <c r="AN603" s="837"/>
      <c r="AO603" s="837"/>
      <c r="AP603" s="837"/>
      <c r="AQ603" s="837"/>
      <c r="AR603" s="837"/>
      <c r="AS603" s="874"/>
      <c r="AT603" s="837"/>
      <c r="AU603" s="836"/>
      <c r="AV603" s="836"/>
      <c r="AW603" s="836"/>
      <c r="AX603" s="836"/>
      <c r="AY603" s="836"/>
    </row>
    <row r="604" spans="4:51" s="526" customFormat="1" x14ac:dyDescent="0.2">
      <c r="D604" s="708"/>
      <c r="E604" s="708"/>
      <c r="F604" s="708"/>
      <c r="G604" s="527"/>
      <c r="H604" s="709"/>
      <c r="I604" s="710"/>
      <c r="J604" s="710"/>
      <c r="K604" s="711"/>
      <c r="L604" s="711"/>
      <c r="M604" s="710"/>
      <c r="N604" s="711"/>
      <c r="O604" s="710"/>
      <c r="P604" s="527"/>
      <c r="Q604" s="527"/>
      <c r="R604" s="711"/>
      <c r="U604" s="712"/>
      <c r="V604" s="712"/>
      <c r="W604" s="712"/>
      <c r="X604" s="604"/>
      <c r="Y604" s="604"/>
      <c r="Z604" s="873"/>
      <c r="AA604" s="866"/>
      <c r="AB604" s="864"/>
      <c r="AC604" s="837"/>
      <c r="AD604" s="837"/>
      <c r="AE604" s="837"/>
      <c r="AF604" s="837"/>
      <c r="AG604" s="837"/>
      <c r="AH604" s="837"/>
      <c r="AI604" s="837"/>
      <c r="AJ604" s="874"/>
      <c r="AK604" s="837"/>
      <c r="AL604" s="837"/>
      <c r="AM604" s="837"/>
      <c r="AN604" s="837"/>
      <c r="AO604" s="837"/>
      <c r="AP604" s="837"/>
      <c r="AQ604" s="837"/>
      <c r="AR604" s="837"/>
      <c r="AS604" s="874"/>
      <c r="AT604" s="837"/>
      <c r="AU604" s="836"/>
      <c r="AV604" s="836"/>
      <c r="AW604" s="836"/>
      <c r="AX604" s="836"/>
      <c r="AY604" s="836"/>
    </row>
    <row r="605" spans="4:51" s="526" customFormat="1" x14ac:dyDescent="0.2">
      <c r="D605" s="708"/>
      <c r="E605" s="708"/>
      <c r="F605" s="708"/>
      <c r="G605" s="527"/>
      <c r="H605" s="709"/>
      <c r="I605" s="710"/>
      <c r="J605" s="710"/>
      <c r="K605" s="711"/>
      <c r="L605" s="711"/>
      <c r="M605" s="710"/>
      <c r="N605" s="711"/>
      <c r="O605" s="710"/>
      <c r="P605" s="527"/>
      <c r="Q605" s="527"/>
      <c r="R605" s="711"/>
      <c r="U605" s="712"/>
      <c r="V605" s="712"/>
      <c r="W605" s="712"/>
      <c r="X605" s="604"/>
      <c r="Y605" s="604"/>
      <c r="Z605" s="873"/>
      <c r="AA605" s="866"/>
      <c r="AB605" s="864"/>
      <c r="AC605" s="837"/>
      <c r="AD605" s="837"/>
      <c r="AE605" s="837"/>
      <c r="AF605" s="837"/>
      <c r="AG605" s="837"/>
      <c r="AH605" s="837"/>
      <c r="AI605" s="837"/>
      <c r="AJ605" s="874"/>
      <c r="AK605" s="837"/>
      <c r="AL605" s="837"/>
      <c r="AM605" s="837"/>
      <c r="AN605" s="837"/>
      <c r="AO605" s="837"/>
      <c r="AP605" s="837"/>
      <c r="AQ605" s="837"/>
      <c r="AR605" s="837"/>
      <c r="AS605" s="874"/>
      <c r="AT605" s="837"/>
      <c r="AU605" s="836"/>
      <c r="AV605" s="836"/>
      <c r="AW605" s="836"/>
      <c r="AX605" s="836"/>
      <c r="AY605" s="836"/>
    </row>
    <row r="606" spans="4:51" s="526" customFormat="1" x14ac:dyDescent="0.2">
      <c r="D606" s="708"/>
      <c r="E606" s="708"/>
      <c r="F606" s="708"/>
      <c r="G606" s="527"/>
      <c r="H606" s="709"/>
      <c r="I606" s="710"/>
      <c r="J606" s="710"/>
      <c r="K606" s="711"/>
      <c r="L606" s="711"/>
      <c r="M606" s="710"/>
      <c r="N606" s="711"/>
      <c r="O606" s="710"/>
      <c r="P606" s="527"/>
      <c r="Q606" s="527"/>
      <c r="R606" s="711"/>
      <c r="U606" s="712"/>
      <c r="V606" s="712"/>
      <c r="W606" s="712"/>
      <c r="X606" s="604"/>
      <c r="Y606" s="604"/>
      <c r="Z606" s="873"/>
      <c r="AA606" s="866"/>
      <c r="AB606" s="864"/>
      <c r="AC606" s="837"/>
      <c r="AD606" s="837"/>
      <c r="AE606" s="837"/>
      <c r="AF606" s="837"/>
      <c r="AG606" s="837"/>
      <c r="AH606" s="837"/>
      <c r="AI606" s="837"/>
      <c r="AJ606" s="874"/>
      <c r="AK606" s="837"/>
      <c r="AL606" s="837"/>
      <c r="AM606" s="837"/>
      <c r="AN606" s="837"/>
      <c r="AO606" s="837"/>
      <c r="AP606" s="837"/>
      <c r="AQ606" s="837"/>
      <c r="AR606" s="837"/>
      <c r="AS606" s="874"/>
      <c r="AT606" s="837"/>
      <c r="AU606" s="836"/>
      <c r="AV606" s="836"/>
      <c r="AW606" s="836"/>
      <c r="AX606" s="836"/>
      <c r="AY606" s="836"/>
    </row>
    <row r="607" spans="4:51" s="526" customFormat="1" x14ac:dyDescent="0.2">
      <c r="D607" s="708"/>
      <c r="E607" s="708"/>
      <c r="F607" s="708"/>
      <c r="G607" s="527"/>
      <c r="H607" s="709"/>
      <c r="I607" s="710"/>
      <c r="J607" s="710"/>
      <c r="K607" s="711"/>
      <c r="L607" s="711"/>
      <c r="M607" s="710"/>
      <c r="N607" s="711"/>
      <c r="O607" s="710"/>
      <c r="P607" s="527"/>
      <c r="Q607" s="527"/>
      <c r="R607" s="711"/>
      <c r="U607" s="712"/>
      <c r="V607" s="712"/>
      <c r="W607" s="712"/>
      <c r="X607" s="604"/>
      <c r="Y607" s="604"/>
      <c r="Z607" s="873"/>
      <c r="AA607" s="866"/>
      <c r="AB607" s="864"/>
      <c r="AC607" s="837"/>
      <c r="AD607" s="837"/>
      <c r="AE607" s="837"/>
      <c r="AF607" s="837"/>
      <c r="AG607" s="837"/>
      <c r="AH607" s="837"/>
      <c r="AI607" s="837"/>
      <c r="AJ607" s="874"/>
      <c r="AK607" s="837"/>
      <c r="AL607" s="837"/>
      <c r="AM607" s="837"/>
      <c r="AN607" s="837"/>
      <c r="AO607" s="837"/>
      <c r="AP607" s="837"/>
      <c r="AQ607" s="837"/>
      <c r="AR607" s="837"/>
      <c r="AS607" s="874"/>
      <c r="AT607" s="837"/>
      <c r="AU607" s="836"/>
      <c r="AV607" s="836"/>
      <c r="AW607" s="836"/>
      <c r="AX607" s="836"/>
      <c r="AY607" s="836"/>
    </row>
    <row r="608" spans="4:51" s="526" customFormat="1" x14ac:dyDescent="0.2">
      <c r="D608" s="708"/>
      <c r="E608" s="708"/>
      <c r="F608" s="708"/>
      <c r="G608" s="527"/>
      <c r="H608" s="709"/>
      <c r="I608" s="710"/>
      <c r="J608" s="710"/>
      <c r="K608" s="711"/>
      <c r="L608" s="711"/>
      <c r="M608" s="710"/>
      <c r="N608" s="711"/>
      <c r="O608" s="710"/>
      <c r="P608" s="527"/>
      <c r="Q608" s="527"/>
      <c r="R608" s="711"/>
      <c r="U608" s="712"/>
      <c r="V608" s="712"/>
      <c r="W608" s="712"/>
      <c r="X608" s="604"/>
      <c r="Y608" s="604"/>
      <c r="Z608" s="873"/>
      <c r="AA608" s="866"/>
      <c r="AB608" s="864"/>
      <c r="AC608" s="837"/>
      <c r="AD608" s="837"/>
      <c r="AE608" s="837"/>
      <c r="AF608" s="837"/>
      <c r="AG608" s="837"/>
      <c r="AH608" s="837"/>
      <c r="AI608" s="837"/>
      <c r="AJ608" s="874"/>
      <c r="AK608" s="837"/>
      <c r="AL608" s="837"/>
      <c r="AM608" s="837"/>
      <c r="AN608" s="837"/>
      <c r="AO608" s="837"/>
      <c r="AP608" s="837"/>
      <c r="AQ608" s="837"/>
      <c r="AR608" s="837"/>
      <c r="AS608" s="874"/>
      <c r="AT608" s="837"/>
      <c r="AU608" s="836"/>
      <c r="AV608" s="836"/>
      <c r="AW608" s="836"/>
      <c r="AX608" s="836"/>
      <c r="AY608" s="836"/>
    </row>
    <row r="609" spans="4:51" s="526" customFormat="1" x14ac:dyDescent="0.2">
      <c r="D609" s="708"/>
      <c r="E609" s="708"/>
      <c r="F609" s="708"/>
      <c r="G609" s="527"/>
      <c r="H609" s="709"/>
      <c r="I609" s="710"/>
      <c r="J609" s="710"/>
      <c r="K609" s="711"/>
      <c r="L609" s="711"/>
      <c r="M609" s="710"/>
      <c r="N609" s="711"/>
      <c r="O609" s="710"/>
      <c r="P609" s="527"/>
      <c r="Q609" s="527"/>
      <c r="R609" s="711"/>
      <c r="U609" s="712"/>
      <c r="V609" s="712"/>
      <c r="W609" s="712"/>
      <c r="X609" s="604"/>
      <c r="Y609" s="604"/>
      <c r="Z609" s="873"/>
      <c r="AA609" s="866"/>
      <c r="AB609" s="864"/>
      <c r="AC609" s="837"/>
      <c r="AD609" s="837"/>
      <c r="AE609" s="837"/>
      <c r="AF609" s="837"/>
      <c r="AG609" s="837"/>
      <c r="AH609" s="837"/>
      <c r="AI609" s="837"/>
      <c r="AJ609" s="874"/>
      <c r="AK609" s="837"/>
      <c r="AL609" s="837"/>
      <c r="AM609" s="837"/>
      <c r="AN609" s="837"/>
      <c r="AO609" s="837"/>
      <c r="AP609" s="837"/>
      <c r="AQ609" s="837"/>
      <c r="AR609" s="837"/>
      <c r="AS609" s="874"/>
      <c r="AT609" s="837"/>
      <c r="AU609" s="836"/>
      <c r="AV609" s="836"/>
      <c r="AW609" s="836"/>
      <c r="AX609" s="836"/>
      <c r="AY609" s="836"/>
    </row>
    <row r="610" spans="4:51" s="526" customFormat="1" x14ac:dyDescent="0.2">
      <c r="D610" s="708"/>
      <c r="E610" s="708"/>
      <c r="F610" s="708"/>
      <c r="G610" s="527"/>
      <c r="H610" s="709"/>
      <c r="I610" s="710"/>
      <c r="J610" s="710"/>
      <c r="K610" s="711"/>
      <c r="L610" s="711"/>
      <c r="M610" s="710"/>
      <c r="N610" s="711"/>
      <c r="O610" s="710"/>
      <c r="P610" s="527"/>
      <c r="Q610" s="527"/>
      <c r="R610" s="711"/>
      <c r="U610" s="712"/>
      <c r="V610" s="712"/>
      <c r="W610" s="712"/>
      <c r="X610" s="604"/>
      <c r="Y610" s="604"/>
      <c r="Z610" s="873"/>
      <c r="AA610" s="866"/>
      <c r="AB610" s="864"/>
      <c r="AC610" s="837"/>
      <c r="AD610" s="837"/>
      <c r="AE610" s="837"/>
      <c r="AF610" s="837"/>
      <c r="AG610" s="837"/>
      <c r="AH610" s="837"/>
      <c r="AI610" s="837"/>
      <c r="AJ610" s="874"/>
      <c r="AK610" s="837"/>
      <c r="AL610" s="837"/>
      <c r="AM610" s="837"/>
      <c r="AN610" s="837"/>
      <c r="AO610" s="837"/>
      <c r="AP610" s="837"/>
      <c r="AQ610" s="837"/>
      <c r="AR610" s="837"/>
      <c r="AS610" s="874"/>
      <c r="AT610" s="837"/>
      <c r="AU610" s="836"/>
      <c r="AV610" s="836"/>
      <c r="AW610" s="836"/>
      <c r="AX610" s="836"/>
      <c r="AY610" s="836"/>
    </row>
    <row r="611" spans="4:51" s="526" customFormat="1" x14ac:dyDescent="0.2">
      <c r="D611" s="708"/>
      <c r="E611" s="708"/>
      <c r="F611" s="708"/>
      <c r="G611" s="527"/>
      <c r="H611" s="709"/>
      <c r="I611" s="710"/>
      <c r="J611" s="710"/>
      <c r="K611" s="711"/>
      <c r="L611" s="711"/>
      <c r="M611" s="710"/>
      <c r="N611" s="711"/>
      <c r="O611" s="710"/>
      <c r="P611" s="527"/>
      <c r="Q611" s="527"/>
      <c r="R611" s="711"/>
      <c r="U611" s="712"/>
      <c r="V611" s="712"/>
      <c r="W611" s="712"/>
      <c r="X611" s="604"/>
      <c r="Y611" s="604"/>
      <c r="Z611" s="873"/>
      <c r="AA611" s="866"/>
      <c r="AB611" s="864"/>
      <c r="AC611" s="837"/>
      <c r="AD611" s="837"/>
      <c r="AE611" s="837"/>
      <c r="AF611" s="837"/>
      <c r="AG611" s="837"/>
      <c r="AH611" s="837"/>
      <c r="AI611" s="837"/>
      <c r="AJ611" s="874"/>
      <c r="AK611" s="837"/>
      <c r="AL611" s="837"/>
      <c r="AM611" s="837"/>
      <c r="AN611" s="837"/>
      <c r="AO611" s="837"/>
      <c r="AP611" s="837"/>
      <c r="AQ611" s="837"/>
      <c r="AR611" s="837"/>
      <c r="AS611" s="874"/>
      <c r="AT611" s="837"/>
      <c r="AU611" s="836"/>
      <c r="AV611" s="836"/>
      <c r="AW611" s="836"/>
      <c r="AX611" s="836"/>
      <c r="AY611" s="836"/>
    </row>
    <row r="612" spans="4:51" s="526" customFormat="1" x14ac:dyDescent="0.2">
      <c r="D612" s="708"/>
      <c r="E612" s="708"/>
      <c r="F612" s="708"/>
      <c r="G612" s="527"/>
      <c r="H612" s="709"/>
      <c r="I612" s="710"/>
      <c r="J612" s="710"/>
      <c r="K612" s="711"/>
      <c r="L612" s="711"/>
      <c r="M612" s="710"/>
      <c r="N612" s="711"/>
      <c r="O612" s="710"/>
      <c r="P612" s="527"/>
      <c r="Q612" s="527"/>
      <c r="R612" s="711"/>
      <c r="U612" s="712"/>
      <c r="V612" s="712"/>
      <c r="W612" s="712"/>
      <c r="X612" s="604"/>
      <c r="Y612" s="604"/>
      <c r="Z612" s="873"/>
      <c r="AA612" s="866"/>
      <c r="AB612" s="864"/>
      <c r="AC612" s="837"/>
      <c r="AD612" s="837"/>
      <c r="AE612" s="837"/>
      <c r="AF612" s="837"/>
      <c r="AG612" s="837"/>
      <c r="AH612" s="837"/>
      <c r="AI612" s="837"/>
      <c r="AJ612" s="874"/>
      <c r="AK612" s="837"/>
      <c r="AL612" s="837"/>
      <c r="AM612" s="837"/>
      <c r="AN612" s="837"/>
      <c r="AO612" s="837"/>
      <c r="AP612" s="837"/>
      <c r="AQ612" s="837"/>
      <c r="AR612" s="837"/>
      <c r="AS612" s="874"/>
      <c r="AT612" s="837"/>
      <c r="AU612" s="836"/>
      <c r="AV612" s="836"/>
      <c r="AW612" s="836"/>
      <c r="AX612" s="836"/>
      <c r="AY612" s="836"/>
    </row>
    <row r="613" spans="4:51" s="526" customFormat="1" x14ac:dyDescent="0.2">
      <c r="D613" s="708"/>
      <c r="E613" s="708"/>
      <c r="F613" s="708"/>
      <c r="G613" s="527"/>
      <c r="H613" s="709"/>
      <c r="I613" s="710"/>
      <c r="J613" s="710"/>
      <c r="K613" s="711"/>
      <c r="L613" s="711"/>
      <c r="M613" s="710"/>
      <c r="N613" s="711"/>
      <c r="O613" s="710"/>
      <c r="P613" s="527"/>
      <c r="Q613" s="527"/>
      <c r="R613" s="711"/>
      <c r="U613" s="712"/>
      <c r="V613" s="712"/>
      <c r="W613" s="712"/>
      <c r="X613" s="604"/>
      <c r="Y613" s="604"/>
      <c r="Z613" s="873"/>
      <c r="AA613" s="866"/>
      <c r="AB613" s="864"/>
      <c r="AC613" s="837"/>
      <c r="AD613" s="837"/>
      <c r="AE613" s="837"/>
      <c r="AF613" s="837"/>
      <c r="AG613" s="837"/>
      <c r="AH613" s="837"/>
      <c r="AI613" s="837"/>
      <c r="AJ613" s="874"/>
      <c r="AK613" s="837"/>
      <c r="AL613" s="837"/>
      <c r="AM613" s="837"/>
      <c r="AN613" s="837"/>
      <c r="AO613" s="837"/>
      <c r="AP613" s="837"/>
      <c r="AQ613" s="837"/>
      <c r="AR613" s="837"/>
      <c r="AS613" s="874"/>
      <c r="AT613" s="837"/>
      <c r="AU613" s="836"/>
      <c r="AV613" s="836"/>
      <c r="AW613" s="836"/>
      <c r="AX613" s="836"/>
      <c r="AY613" s="836"/>
    </row>
    <row r="614" spans="4:51" s="526" customFormat="1" x14ac:dyDescent="0.2">
      <c r="D614" s="708"/>
      <c r="E614" s="708"/>
      <c r="F614" s="708"/>
      <c r="G614" s="527"/>
      <c r="H614" s="709"/>
      <c r="I614" s="710"/>
      <c r="J614" s="710"/>
      <c r="K614" s="711"/>
      <c r="L614" s="711"/>
      <c r="M614" s="710"/>
      <c r="N614" s="711"/>
      <c r="O614" s="710"/>
      <c r="P614" s="527"/>
      <c r="Q614" s="527"/>
      <c r="R614" s="711"/>
      <c r="U614" s="712"/>
      <c r="V614" s="712"/>
      <c r="W614" s="712"/>
      <c r="X614" s="604"/>
      <c r="Y614" s="604"/>
      <c r="Z614" s="873"/>
      <c r="AA614" s="866"/>
      <c r="AB614" s="864"/>
      <c r="AC614" s="837"/>
      <c r="AD614" s="837"/>
      <c r="AE614" s="837"/>
      <c r="AF614" s="837"/>
      <c r="AG614" s="837"/>
      <c r="AH614" s="837"/>
      <c r="AI614" s="837"/>
      <c r="AJ614" s="874"/>
      <c r="AK614" s="837"/>
      <c r="AL614" s="837"/>
      <c r="AM614" s="837"/>
      <c r="AN614" s="837"/>
      <c r="AO614" s="837"/>
      <c r="AP614" s="837"/>
      <c r="AQ614" s="837"/>
      <c r="AR614" s="837"/>
      <c r="AS614" s="874"/>
      <c r="AT614" s="837"/>
      <c r="AU614" s="836"/>
      <c r="AV614" s="836"/>
      <c r="AW614" s="836"/>
      <c r="AX614" s="836"/>
      <c r="AY614" s="836"/>
    </row>
    <row r="615" spans="4:51" s="526" customFormat="1" x14ac:dyDescent="0.2">
      <c r="D615" s="708"/>
      <c r="E615" s="708"/>
      <c r="F615" s="708"/>
      <c r="G615" s="527"/>
      <c r="H615" s="709"/>
      <c r="I615" s="710"/>
      <c r="J615" s="710"/>
      <c r="K615" s="711"/>
      <c r="L615" s="711"/>
      <c r="M615" s="710"/>
      <c r="N615" s="711"/>
      <c r="O615" s="710"/>
      <c r="P615" s="527"/>
      <c r="Q615" s="527"/>
      <c r="R615" s="711"/>
      <c r="U615" s="712"/>
      <c r="V615" s="712"/>
      <c r="W615" s="712"/>
      <c r="X615" s="604"/>
      <c r="Y615" s="604"/>
      <c r="Z615" s="873"/>
      <c r="AA615" s="866"/>
      <c r="AB615" s="864"/>
      <c r="AC615" s="837"/>
      <c r="AD615" s="837"/>
      <c r="AE615" s="837"/>
      <c r="AF615" s="837"/>
      <c r="AG615" s="837"/>
      <c r="AH615" s="837"/>
      <c r="AI615" s="837"/>
      <c r="AJ615" s="874"/>
      <c r="AK615" s="837"/>
      <c r="AL615" s="837"/>
      <c r="AM615" s="837"/>
      <c r="AN615" s="837"/>
      <c r="AO615" s="837"/>
      <c r="AP615" s="837"/>
      <c r="AQ615" s="837"/>
      <c r="AR615" s="837"/>
      <c r="AS615" s="874"/>
      <c r="AT615" s="837"/>
      <c r="AU615" s="836"/>
      <c r="AV615" s="836"/>
      <c r="AW615" s="836"/>
      <c r="AX615" s="836"/>
      <c r="AY615" s="836"/>
    </row>
    <row r="616" spans="4:51" s="526" customFormat="1" x14ac:dyDescent="0.2">
      <c r="D616" s="708"/>
      <c r="E616" s="708"/>
      <c r="F616" s="708"/>
      <c r="G616" s="527"/>
      <c r="H616" s="709"/>
      <c r="I616" s="710"/>
      <c r="J616" s="710"/>
      <c r="K616" s="711"/>
      <c r="L616" s="711"/>
      <c r="M616" s="710"/>
      <c r="N616" s="711"/>
      <c r="O616" s="710"/>
      <c r="P616" s="527"/>
      <c r="Q616" s="527"/>
      <c r="R616" s="711"/>
      <c r="U616" s="712"/>
      <c r="V616" s="712"/>
      <c r="W616" s="712"/>
      <c r="X616" s="604"/>
      <c r="Y616" s="604"/>
      <c r="Z616" s="873"/>
      <c r="AA616" s="866"/>
      <c r="AB616" s="864"/>
      <c r="AC616" s="837"/>
      <c r="AD616" s="837"/>
      <c r="AE616" s="837"/>
      <c r="AF616" s="837"/>
      <c r="AG616" s="837"/>
      <c r="AH616" s="837"/>
      <c r="AI616" s="837"/>
      <c r="AJ616" s="874"/>
      <c r="AK616" s="837"/>
      <c r="AL616" s="837"/>
      <c r="AM616" s="837"/>
      <c r="AN616" s="837"/>
      <c r="AO616" s="837"/>
      <c r="AP616" s="837"/>
      <c r="AQ616" s="837"/>
      <c r="AR616" s="837"/>
      <c r="AS616" s="874"/>
      <c r="AT616" s="837"/>
      <c r="AU616" s="836"/>
      <c r="AV616" s="836"/>
      <c r="AW616" s="836"/>
      <c r="AX616" s="836"/>
      <c r="AY616" s="836"/>
    </row>
    <row r="617" spans="4:51" s="526" customFormat="1" x14ac:dyDescent="0.2">
      <c r="D617" s="708"/>
      <c r="E617" s="708"/>
      <c r="F617" s="708"/>
      <c r="G617" s="527"/>
      <c r="H617" s="709"/>
      <c r="I617" s="710"/>
      <c r="J617" s="710"/>
      <c r="K617" s="711"/>
      <c r="L617" s="711"/>
      <c r="M617" s="710"/>
      <c r="N617" s="711"/>
      <c r="O617" s="710"/>
      <c r="P617" s="527"/>
      <c r="Q617" s="527"/>
      <c r="R617" s="711"/>
      <c r="U617" s="712"/>
      <c r="V617" s="712"/>
      <c r="W617" s="712"/>
      <c r="X617" s="604"/>
      <c r="Y617" s="604"/>
      <c r="Z617" s="873"/>
      <c r="AA617" s="866"/>
      <c r="AB617" s="864"/>
      <c r="AC617" s="837"/>
      <c r="AD617" s="837"/>
      <c r="AE617" s="837"/>
      <c r="AF617" s="837"/>
      <c r="AG617" s="837"/>
      <c r="AH617" s="837"/>
      <c r="AI617" s="837"/>
      <c r="AJ617" s="874"/>
      <c r="AK617" s="837"/>
      <c r="AL617" s="837"/>
      <c r="AM617" s="837"/>
      <c r="AN617" s="837"/>
      <c r="AO617" s="837"/>
      <c r="AP617" s="837"/>
      <c r="AQ617" s="837"/>
      <c r="AR617" s="837"/>
      <c r="AS617" s="874"/>
      <c r="AT617" s="837"/>
      <c r="AU617" s="836"/>
      <c r="AV617" s="836"/>
      <c r="AW617" s="836"/>
      <c r="AX617" s="836"/>
      <c r="AY617" s="836"/>
    </row>
    <row r="618" spans="4:51" s="526" customFormat="1" x14ac:dyDescent="0.2">
      <c r="D618" s="708"/>
      <c r="E618" s="708"/>
      <c r="F618" s="708"/>
      <c r="G618" s="527"/>
      <c r="H618" s="709"/>
      <c r="I618" s="710"/>
      <c r="J618" s="710"/>
      <c r="K618" s="711"/>
      <c r="L618" s="711"/>
      <c r="M618" s="710"/>
      <c r="N618" s="711"/>
      <c r="O618" s="710"/>
      <c r="P618" s="527"/>
      <c r="Q618" s="527"/>
      <c r="R618" s="711"/>
      <c r="U618" s="712"/>
      <c r="V618" s="712"/>
      <c r="W618" s="712"/>
      <c r="X618" s="604"/>
      <c r="Y618" s="604"/>
      <c r="Z618" s="873"/>
      <c r="AA618" s="866"/>
      <c r="AB618" s="864"/>
      <c r="AC618" s="837"/>
      <c r="AD618" s="837"/>
      <c r="AE618" s="837"/>
      <c r="AF618" s="837"/>
      <c r="AG618" s="837"/>
      <c r="AH618" s="837"/>
      <c r="AI618" s="837"/>
      <c r="AJ618" s="874"/>
      <c r="AK618" s="837"/>
      <c r="AL618" s="837"/>
      <c r="AM618" s="837"/>
      <c r="AN618" s="837"/>
      <c r="AO618" s="837"/>
      <c r="AP618" s="837"/>
      <c r="AQ618" s="837"/>
      <c r="AR618" s="837"/>
      <c r="AS618" s="874"/>
      <c r="AT618" s="837"/>
      <c r="AU618" s="836"/>
      <c r="AV618" s="836"/>
      <c r="AW618" s="836"/>
      <c r="AX618" s="836"/>
      <c r="AY618" s="836"/>
    </row>
    <row r="619" spans="4:51" s="526" customFormat="1" x14ac:dyDescent="0.2">
      <c r="D619" s="708"/>
      <c r="E619" s="708"/>
      <c r="F619" s="708"/>
      <c r="G619" s="527"/>
      <c r="H619" s="709"/>
      <c r="I619" s="710"/>
      <c r="J619" s="710"/>
      <c r="K619" s="711"/>
      <c r="L619" s="711"/>
      <c r="M619" s="710"/>
      <c r="N619" s="711"/>
      <c r="O619" s="710"/>
      <c r="P619" s="527"/>
      <c r="Q619" s="527"/>
      <c r="R619" s="711"/>
      <c r="U619" s="712"/>
      <c r="V619" s="712"/>
      <c r="W619" s="712"/>
      <c r="X619" s="604"/>
      <c r="Y619" s="604"/>
      <c r="Z619" s="873"/>
      <c r="AA619" s="866"/>
      <c r="AB619" s="864"/>
      <c r="AC619" s="837"/>
      <c r="AD619" s="837"/>
      <c r="AE619" s="837"/>
      <c r="AF619" s="837"/>
      <c r="AG619" s="837"/>
      <c r="AH619" s="837"/>
      <c r="AI619" s="837"/>
      <c r="AJ619" s="874"/>
      <c r="AK619" s="837"/>
      <c r="AL619" s="837"/>
      <c r="AM619" s="837"/>
      <c r="AN619" s="837"/>
      <c r="AO619" s="837"/>
      <c r="AP619" s="837"/>
      <c r="AQ619" s="837"/>
      <c r="AR619" s="837"/>
      <c r="AS619" s="874"/>
      <c r="AT619" s="837"/>
      <c r="AU619" s="836"/>
      <c r="AV619" s="836"/>
      <c r="AW619" s="836"/>
      <c r="AX619" s="836"/>
      <c r="AY619" s="836"/>
    </row>
    <row r="620" spans="4:51" s="526" customFormat="1" x14ac:dyDescent="0.2">
      <c r="D620" s="708"/>
      <c r="E620" s="708"/>
      <c r="F620" s="708"/>
      <c r="G620" s="527"/>
      <c r="H620" s="709"/>
      <c r="I620" s="710"/>
      <c r="J620" s="710"/>
      <c r="K620" s="711"/>
      <c r="L620" s="711"/>
      <c r="M620" s="710"/>
      <c r="N620" s="711"/>
      <c r="O620" s="710"/>
      <c r="P620" s="527"/>
      <c r="Q620" s="527"/>
      <c r="R620" s="711"/>
      <c r="U620" s="712"/>
      <c r="V620" s="712"/>
      <c r="W620" s="712"/>
      <c r="X620" s="604"/>
      <c r="Y620" s="604"/>
      <c r="Z620" s="873"/>
      <c r="AA620" s="866"/>
      <c r="AB620" s="864"/>
      <c r="AC620" s="837"/>
      <c r="AD620" s="837"/>
      <c r="AE620" s="837"/>
      <c r="AF620" s="837"/>
      <c r="AG620" s="837"/>
      <c r="AH620" s="837"/>
      <c r="AI620" s="837"/>
      <c r="AJ620" s="874"/>
      <c r="AK620" s="837"/>
      <c r="AL620" s="837"/>
      <c r="AM620" s="837"/>
      <c r="AN620" s="837"/>
      <c r="AO620" s="837"/>
      <c r="AP620" s="837"/>
      <c r="AQ620" s="837"/>
      <c r="AR620" s="837"/>
      <c r="AS620" s="874"/>
      <c r="AT620" s="837"/>
      <c r="AU620" s="836"/>
      <c r="AV620" s="836"/>
      <c r="AW620" s="836"/>
      <c r="AX620" s="836"/>
      <c r="AY620" s="836"/>
    </row>
    <row r="621" spans="4:51" s="526" customFormat="1" x14ac:dyDescent="0.2">
      <c r="D621" s="708"/>
      <c r="E621" s="708"/>
      <c r="F621" s="708"/>
      <c r="G621" s="527"/>
      <c r="H621" s="709"/>
      <c r="I621" s="710"/>
      <c r="J621" s="710"/>
      <c r="K621" s="711"/>
      <c r="L621" s="711"/>
      <c r="M621" s="710"/>
      <c r="N621" s="711"/>
      <c r="O621" s="710"/>
      <c r="P621" s="527"/>
      <c r="Q621" s="527"/>
      <c r="R621" s="711"/>
      <c r="U621" s="712"/>
      <c r="V621" s="712"/>
      <c r="W621" s="712"/>
      <c r="X621" s="604"/>
      <c r="Y621" s="604"/>
      <c r="Z621" s="873"/>
      <c r="AA621" s="866"/>
      <c r="AB621" s="864"/>
      <c r="AC621" s="837"/>
      <c r="AD621" s="837"/>
      <c r="AE621" s="837"/>
      <c r="AF621" s="837"/>
      <c r="AG621" s="837"/>
      <c r="AH621" s="837"/>
      <c r="AI621" s="837"/>
      <c r="AJ621" s="874"/>
      <c r="AK621" s="837"/>
      <c r="AL621" s="837"/>
      <c r="AM621" s="837"/>
      <c r="AN621" s="837"/>
      <c r="AO621" s="837"/>
      <c r="AP621" s="837"/>
      <c r="AQ621" s="837"/>
      <c r="AR621" s="837"/>
      <c r="AS621" s="874"/>
      <c r="AT621" s="837"/>
      <c r="AU621" s="836"/>
      <c r="AV621" s="836"/>
      <c r="AW621" s="836"/>
      <c r="AX621" s="836"/>
      <c r="AY621" s="836"/>
    </row>
    <row r="622" spans="4:51" s="526" customFormat="1" x14ac:dyDescent="0.2">
      <c r="D622" s="708"/>
      <c r="E622" s="708"/>
      <c r="F622" s="708"/>
      <c r="G622" s="527"/>
      <c r="H622" s="709"/>
      <c r="I622" s="710"/>
      <c r="J622" s="710"/>
      <c r="K622" s="711"/>
      <c r="L622" s="711"/>
      <c r="M622" s="710"/>
      <c r="N622" s="711"/>
      <c r="O622" s="710"/>
      <c r="P622" s="527"/>
      <c r="Q622" s="527"/>
      <c r="R622" s="711"/>
      <c r="U622" s="712"/>
      <c r="V622" s="712"/>
      <c r="W622" s="712"/>
      <c r="X622" s="604"/>
      <c r="Y622" s="604"/>
      <c r="Z622" s="873"/>
      <c r="AA622" s="866"/>
      <c r="AB622" s="864"/>
      <c r="AC622" s="837"/>
      <c r="AD622" s="837"/>
      <c r="AE622" s="837"/>
      <c r="AF622" s="837"/>
      <c r="AG622" s="837"/>
      <c r="AH622" s="837"/>
      <c r="AI622" s="837"/>
      <c r="AJ622" s="874"/>
      <c r="AK622" s="837"/>
      <c r="AL622" s="837"/>
      <c r="AM622" s="837"/>
      <c r="AN622" s="837"/>
      <c r="AO622" s="837"/>
      <c r="AP622" s="837"/>
      <c r="AQ622" s="837"/>
      <c r="AR622" s="837"/>
      <c r="AS622" s="874"/>
      <c r="AT622" s="837"/>
      <c r="AU622" s="836"/>
      <c r="AV622" s="836"/>
      <c r="AW622" s="836"/>
      <c r="AX622" s="836"/>
      <c r="AY622" s="836"/>
    </row>
    <row r="623" spans="4:51" s="526" customFormat="1" x14ac:dyDescent="0.2">
      <c r="D623" s="708"/>
      <c r="E623" s="708"/>
      <c r="F623" s="708"/>
      <c r="G623" s="527"/>
      <c r="H623" s="709"/>
      <c r="I623" s="710"/>
      <c r="J623" s="710"/>
      <c r="K623" s="711"/>
      <c r="L623" s="711"/>
      <c r="M623" s="710"/>
      <c r="N623" s="711"/>
      <c r="O623" s="710"/>
      <c r="P623" s="527"/>
      <c r="Q623" s="527"/>
      <c r="R623" s="711"/>
      <c r="U623" s="712"/>
      <c r="V623" s="712"/>
      <c r="W623" s="712"/>
      <c r="X623" s="604"/>
      <c r="Y623" s="604"/>
      <c r="Z623" s="873"/>
      <c r="AA623" s="866"/>
      <c r="AB623" s="864"/>
      <c r="AC623" s="837"/>
      <c r="AD623" s="837"/>
      <c r="AE623" s="837"/>
      <c r="AF623" s="837"/>
      <c r="AG623" s="837"/>
      <c r="AH623" s="837"/>
      <c r="AI623" s="837"/>
      <c r="AJ623" s="874"/>
      <c r="AK623" s="837"/>
      <c r="AL623" s="837"/>
      <c r="AM623" s="837"/>
      <c r="AN623" s="837"/>
      <c r="AO623" s="837"/>
      <c r="AP623" s="837"/>
      <c r="AQ623" s="837"/>
      <c r="AR623" s="837"/>
      <c r="AS623" s="874"/>
      <c r="AT623" s="837"/>
      <c r="AU623" s="836"/>
      <c r="AV623" s="836"/>
      <c r="AW623" s="836"/>
      <c r="AX623" s="836"/>
      <c r="AY623" s="836"/>
    </row>
    <row r="624" spans="4:51" s="526" customFormat="1" x14ac:dyDescent="0.2">
      <c r="D624" s="708"/>
      <c r="E624" s="708"/>
      <c r="F624" s="708"/>
      <c r="G624" s="527"/>
      <c r="H624" s="709"/>
      <c r="I624" s="710"/>
      <c r="J624" s="710"/>
      <c r="K624" s="711"/>
      <c r="L624" s="711"/>
      <c r="M624" s="710"/>
      <c r="N624" s="711"/>
      <c r="O624" s="710"/>
      <c r="P624" s="527"/>
      <c r="Q624" s="527"/>
      <c r="R624" s="711"/>
      <c r="U624" s="712"/>
      <c r="V624" s="712"/>
      <c r="W624" s="712"/>
      <c r="X624" s="604"/>
      <c r="Y624" s="604"/>
      <c r="Z624" s="873"/>
      <c r="AA624" s="866"/>
      <c r="AB624" s="864"/>
      <c r="AC624" s="837"/>
      <c r="AD624" s="837"/>
      <c r="AE624" s="837"/>
      <c r="AF624" s="837"/>
      <c r="AG624" s="837"/>
      <c r="AH624" s="837"/>
      <c r="AI624" s="837"/>
      <c r="AJ624" s="874"/>
      <c r="AK624" s="837"/>
      <c r="AL624" s="837"/>
      <c r="AM624" s="837"/>
      <c r="AN624" s="837"/>
      <c r="AO624" s="837"/>
      <c r="AP624" s="837"/>
      <c r="AQ624" s="837"/>
      <c r="AR624" s="837"/>
      <c r="AS624" s="874"/>
      <c r="AT624" s="837"/>
      <c r="AU624" s="836"/>
      <c r="AV624" s="836"/>
      <c r="AW624" s="836"/>
      <c r="AX624" s="836"/>
      <c r="AY624" s="836"/>
    </row>
    <row r="625" spans="4:51" s="526" customFormat="1" x14ac:dyDescent="0.2">
      <c r="D625" s="708"/>
      <c r="E625" s="708"/>
      <c r="F625" s="708"/>
      <c r="G625" s="527"/>
      <c r="H625" s="709"/>
      <c r="I625" s="710"/>
      <c r="J625" s="710"/>
      <c r="K625" s="711"/>
      <c r="L625" s="711"/>
      <c r="M625" s="710"/>
      <c r="N625" s="711"/>
      <c r="O625" s="710"/>
      <c r="P625" s="527"/>
      <c r="Q625" s="527"/>
      <c r="R625" s="711"/>
      <c r="U625" s="712"/>
      <c r="V625" s="712"/>
      <c r="W625" s="712"/>
      <c r="X625" s="604"/>
      <c r="Y625" s="604"/>
      <c r="Z625" s="873"/>
      <c r="AA625" s="866"/>
      <c r="AB625" s="864"/>
      <c r="AC625" s="837"/>
      <c r="AD625" s="837"/>
      <c r="AE625" s="837"/>
      <c r="AF625" s="837"/>
      <c r="AG625" s="837"/>
      <c r="AH625" s="837"/>
      <c r="AI625" s="837"/>
      <c r="AJ625" s="874"/>
      <c r="AK625" s="837"/>
      <c r="AL625" s="837"/>
      <c r="AM625" s="837"/>
      <c r="AN625" s="837"/>
      <c r="AO625" s="837"/>
      <c r="AP625" s="837"/>
      <c r="AQ625" s="837"/>
      <c r="AR625" s="837"/>
      <c r="AS625" s="874"/>
      <c r="AT625" s="837"/>
      <c r="AU625" s="836"/>
      <c r="AV625" s="836"/>
      <c r="AW625" s="836"/>
      <c r="AX625" s="836"/>
      <c r="AY625" s="836"/>
    </row>
    <row r="626" spans="4:51" s="526" customFormat="1" x14ac:dyDescent="0.2">
      <c r="D626" s="708"/>
      <c r="E626" s="708"/>
      <c r="F626" s="708"/>
      <c r="G626" s="527"/>
      <c r="H626" s="709"/>
      <c r="I626" s="710"/>
      <c r="J626" s="710"/>
      <c r="K626" s="711"/>
      <c r="L626" s="711"/>
      <c r="M626" s="710"/>
      <c r="N626" s="711"/>
      <c r="O626" s="710"/>
      <c r="P626" s="527"/>
      <c r="Q626" s="527"/>
      <c r="R626" s="711"/>
      <c r="U626" s="712"/>
      <c r="V626" s="712"/>
      <c r="W626" s="712"/>
      <c r="X626" s="604"/>
      <c r="Y626" s="604"/>
      <c r="Z626" s="873"/>
      <c r="AA626" s="866"/>
      <c r="AB626" s="864"/>
      <c r="AC626" s="837"/>
      <c r="AD626" s="837"/>
      <c r="AE626" s="837"/>
      <c r="AF626" s="837"/>
      <c r="AG626" s="837"/>
      <c r="AH626" s="837"/>
      <c r="AI626" s="837"/>
      <c r="AJ626" s="874"/>
      <c r="AK626" s="837"/>
      <c r="AL626" s="837"/>
      <c r="AM626" s="837"/>
      <c r="AN626" s="837"/>
      <c r="AO626" s="837"/>
      <c r="AP626" s="837"/>
      <c r="AQ626" s="837"/>
      <c r="AR626" s="837"/>
      <c r="AS626" s="874"/>
      <c r="AT626" s="837"/>
      <c r="AU626" s="836"/>
      <c r="AV626" s="836"/>
      <c r="AW626" s="836"/>
      <c r="AX626" s="836"/>
      <c r="AY626" s="836"/>
    </row>
    <row r="627" spans="4:51" x14ac:dyDescent="0.2">
      <c r="W627" s="631"/>
    </row>
    <row r="628" spans="4:51" x14ac:dyDescent="0.2">
      <c r="W628" s="631"/>
    </row>
    <row r="629" spans="4:51" x14ac:dyDescent="0.2">
      <c r="W629" s="631"/>
    </row>
    <row r="630" spans="4:51" x14ac:dyDescent="0.2">
      <c r="W630" s="631"/>
    </row>
    <row r="631" spans="4:51" x14ac:dyDescent="0.2">
      <c r="W631" s="631"/>
    </row>
    <row r="632" spans="4:51" x14ac:dyDescent="0.2">
      <c r="W632" s="631"/>
    </row>
    <row r="633" spans="4:51" x14ac:dyDescent="0.2">
      <c r="W633" s="631"/>
    </row>
    <row r="634" spans="4:51" x14ac:dyDescent="0.2">
      <c r="W634" s="631"/>
    </row>
    <row r="635" spans="4:51" x14ac:dyDescent="0.2">
      <c r="W635" s="631"/>
    </row>
    <row r="636" spans="4:51" x14ac:dyDescent="0.2">
      <c r="W636" s="631"/>
    </row>
    <row r="637" spans="4:51" x14ac:dyDescent="0.2">
      <c r="W637" s="631"/>
    </row>
    <row r="638" spans="4:51" x14ac:dyDescent="0.2">
      <c r="W638" s="631"/>
    </row>
    <row r="639" spans="4:51" x14ac:dyDescent="0.2">
      <c r="W639" s="631"/>
    </row>
    <row r="640" spans="4:51" x14ac:dyDescent="0.2">
      <c r="W640" s="631"/>
    </row>
    <row r="641" spans="23:23" x14ac:dyDescent="0.2">
      <c r="W641" s="631"/>
    </row>
    <row r="642" spans="23:23" x14ac:dyDescent="0.2">
      <c r="W642" s="631"/>
    </row>
    <row r="643" spans="23:23" x14ac:dyDescent="0.2">
      <c r="W643" s="631"/>
    </row>
    <row r="644" spans="23:23" x14ac:dyDescent="0.2">
      <c r="W644" s="631"/>
    </row>
    <row r="645" spans="23:23" x14ac:dyDescent="0.2">
      <c r="W645" s="631"/>
    </row>
    <row r="646" spans="23:23" x14ac:dyDescent="0.2">
      <c r="W646" s="631"/>
    </row>
    <row r="647" spans="23:23" x14ac:dyDescent="0.2">
      <c r="W647" s="631"/>
    </row>
    <row r="648" spans="23:23" x14ac:dyDescent="0.2">
      <c r="W648" s="631"/>
    </row>
    <row r="649" spans="23:23" x14ac:dyDescent="0.2">
      <c r="W649" s="631"/>
    </row>
    <row r="650" spans="23:23" x14ac:dyDescent="0.2">
      <c r="W650" s="631"/>
    </row>
    <row r="651" spans="23:23" x14ac:dyDescent="0.2">
      <c r="W651" s="631"/>
    </row>
    <row r="652" spans="23:23" x14ac:dyDescent="0.2">
      <c r="W652" s="631"/>
    </row>
    <row r="653" spans="23:23" x14ac:dyDescent="0.2">
      <c r="W653" s="631"/>
    </row>
    <row r="654" spans="23:23" x14ac:dyDescent="0.2">
      <c r="W654" s="631"/>
    </row>
    <row r="655" spans="23:23" x14ac:dyDescent="0.2">
      <c r="W655" s="631"/>
    </row>
    <row r="656" spans="23:23" x14ac:dyDescent="0.2">
      <c r="W656" s="631"/>
    </row>
    <row r="657" spans="23:23" x14ac:dyDescent="0.2">
      <c r="W657" s="631"/>
    </row>
    <row r="658" spans="23:23" x14ac:dyDescent="0.2">
      <c r="W658" s="631"/>
    </row>
    <row r="659" spans="23:23" x14ac:dyDescent="0.2">
      <c r="W659" s="631"/>
    </row>
    <row r="660" spans="23:23" x14ac:dyDescent="0.2">
      <c r="W660" s="631"/>
    </row>
    <row r="661" spans="23:23" x14ac:dyDescent="0.2">
      <c r="W661" s="631"/>
    </row>
    <row r="662" spans="23:23" x14ac:dyDescent="0.2">
      <c r="W662" s="631"/>
    </row>
    <row r="663" spans="23:23" x14ac:dyDescent="0.2">
      <c r="W663" s="631"/>
    </row>
    <row r="664" spans="23:23" x14ac:dyDescent="0.2">
      <c r="W664" s="631"/>
    </row>
    <row r="665" spans="23:23" x14ac:dyDescent="0.2">
      <c r="W665" s="631"/>
    </row>
    <row r="666" spans="23:23" x14ac:dyDescent="0.2">
      <c r="W666" s="631"/>
    </row>
    <row r="667" spans="23:23" x14ac:dyDescent="0.2">
      <c r="W667" s="631"/>
    </row>
    <row r="668" spans="23:23" x14ac:dyDescent="0.2">
      <c r="W668" s="631"/>
    </row>
    <row r="669" spans="23:23" x14ac:dyDescent="0.2">
      <c r="W669" s="631"/>
    </row>
    <row r="670" spans="23:23" x14ac:dyDescent="0.2">
      <c r="W670" s="631"/>
    </row>
    <row r="671" spans="23:23" x14ac:dyDescent="0.2">
      <c r="W671" s="631"/>
    </row>
    <row r="672" spans="23:23" x14ac:dyDescent="0.2">
      <c r="W672" s="631"/>
    </row>
    <row r="673" spans="23:23" x14ac:dyDescent="0.2">
      <c r="W673" s="631"/>
    </row>
    <row r="674" spans="23:23" x14ac:dyDescent="0.2">
      <c r="W674" s="631"/>
    </row>
    <row r="675" spans="23:23" x14ac:dyDescent="0.2">
      <c r="W675" s="631"/>
    </row>
    <row r="676" spans="23:23" x14ac:dyDescent="0.2">
      <c r="W676" s="631"/>
    </row>
    <row r="677" spans="23:23" x14ac:dyDescent="0.2">
      <c r="W677" s="631"/>
    </row>
    <row r="678" spans="23:23" x14ac:dyDescent="0.2">
      <c r="W678" s="631"/>
    </row>
    <row r="679" spans="23:23" x14ac:dyDescent="0.2">
      <c r="W679" s="631"/>
    </row>
    <row r="680" spans="23:23" x14ac:dyDescent="0.2">
      <c r="W680" s="631"/>
    </row>
    <row r="681" spans="23:23" x14ac:dyDescent="0.2">
      <c r="W681" s="631"/>
    </row>
    <row r="682" spans="23:23" x14ac:dyDescent="0.2">
      <c r="W682" s="631"/>
    </row>
    <row r="683" spans="23:23" x14ac:dyDescent="0.2">
      <c r="W683" s="631"/>
    </row>
    <row r="684" spans="23:23" x14ac:dyDescent="0.2">
      <c r="W684" s="631"/>
    </row>
    <row r="685" spans="23:23" x14ac:dyDescent="0.2">
      <c r="W685" s="631"/>
    </row>
    <row r="686" spans="23:23" x14ac:dyDescent="0.2">
      <c r="W686" s="631"/>
    </row>
    <row r="687" spans="23:23" x14ac:dyDescent="0.2">
      <c r="W687" s="631"/>
    </row>
    <row r="688" spans="23:23" x14ac:dyDescent="0.2">
      <c r="W688" s="631"/>
    </row>
    <row r="689" spans="23:23" x14ac:dyDescent="0.2">
      <c r="W689" s="631"/>
    </row>
    <row r="690" spans="23:23" x14ac:dyDescent="0.2">
      <c r="W690" s="631"/>
    </row>
    <row r="691" spans="23:23" x14ac:dyDescent="0.2">
      <c r="W691" s="631"/>
    </row>
    <row r="692" spans="23:23" x14ac:dyDescent="0.2">
      <c r="W692" s="631"/>
    </row>
    <row r="693" spans="23:23" x14ac:dyDescent="0.2">
      <c r="W693" s="631"/>
    </row>
    <row r="694" spans="23:23" x14ac:dyDescent="0.2">
      <c r="W694" s="631"/>
    </row>
    <row r="695" spans="23:23" x14ac:dyDescent="0.2">
      <c r="W695" s="631"/>
    </row>
    <row r="696" spans="23:23" x14ac:dyDescent="0.2">
      <c r="W696" s="631"/>
    </row>
    <row r="697" spans="23:23" x14ac:dyDescent="0.2">
      <c r="W697" s="631"/>
    </row>
    <row r="698" spans="23:23" x14ac:dyDescent="0.2">
      <c r="W698" s="631"/>
    </row>
    <row r="699" spans="23:23" x14ac:dyDescent="0.2">
      <c r="W699" s="631"/>
    </row>
    <row r="700" spans="23:23" x14ac:dyDescent="0.2">
      <c r="W700" s="631"/>
    </row>
    <row r="701" spans="23:23" x14ac:dyDescent="0.2">
      <c r="W701" s="631"/>
    </row>
    <row r="702" spans="23:23" x14ac:dyDescent="0.2">
      <c r="W702" s="631"/>
    </row>
    <row r="703" spans="23:23" x14ac:dyDescent="0.2">
      <c r="W703" s="631"/>
    </row>
    <row r="704" spans="23:23" x14ac:dyDescent="0.2">
      <c r="W704" s="631"/>
    </row>
    <row r="705" spans="23:23" x14ac:dyDescent="0.2">
      <c r="W705" s="631"/>
    </row>
    <row r="706" spans="23:23" x14ac:dyDescent="0.2">
      <c r="W706" s="631"/>
    </row>
    <row r="707" spans="23:23" x14ac:dyDescent="0.2">
      <c r="W707" s="631"/>
    </row>
    <row r="708" spans="23:23" x14ac:dyDescent="0.2">
      <c r="W708" s="631"/>
    </row>
    <row r="709" spans="23:23" x14ac:dyDescent="0.2">
      <c r="W709" s="631"/>
    </row>
    <row r="710" spans="23:23" x14ac:dyDescent="0.2">
      <c r="W710" s="631"/>
    </row>
    <row r="711" spans="23:23" x14ac:dyDescent="0.2">
      <c r="W711" s="631"/>
    </row>
    <row r="712" spans="23:23" x14ac:dyDescent="0.2">
      <c r="W712" s="631"/>
    </row>
    <row r="713" spans="23:23" x14ac:dyDescent="0.2">
      <c r="W713" s="631"/>
    </row>
    <row r="714" spans="23:23" x14ac:dyDescent="0.2">
      <c r="W714" s="631"/>
    </row>
    <row r="715" spans="23:23" x14ac:dyDescent="0.2">
      <c r="W715" s="631"/>
    </row>
    <row r="716" spans="23:23" x14ac:dyDescent="0.2">
      <c r="W716" s="631"/>
    </row>
    <row r="717" spans="23:23" x14ac:dyDescent="0.2">
      <c r="W717" s="631"/>
    </row>
    <row r="718" spans="23:23" x14ac:dyDescent="0.2">
      <c r="W718" s="631"/>
    </row>
    <row r="719" spans="23:23" x14ac:dyDescent="0.2">
      <c r="W719" s="631"/>
    </row>
    <row r="720" spans="23:23" x14ac:dyDescent="0.2">
      <c r="W720" s="631"/>
    </row>
    <row r="721" spans="23:23" x14ac:dyDescent="0.2">
      <c r="W721" s="631"/>
    </row>
    <row r="722" spans="23:23" x14ac:dyDescent="0.2">
      <c r="W722" s="631"/>
    </row>
    <row r="723" spans="23:23" x14ac:dyDescent="0.2">
      <c r="W723" s="631"/>
    </row>
    <row r="724" spans="23:23" x14ac:dyDescent="0.2">
      <c r="W724" s="631"/>
    </row>
    <row r="725" spans="23:23" x14ac:dyDescent="0.2">
      <c r="W725" s="631"/>
    </row>
    <row r="726" spans="23:23" x14ac:dyDescent="0.2">
      <c r="W726" s="631"/>
    </row>
    <row r="727" spans="23:23" x14ac:dyDescent="0.2">
      <c r="W727" s="631"/>
    </row>
    <row r="728" spans="23:23" x14ac:dyDescent="0.2">
      <c r="W728" s="631"/>
    </row>
    <row r="729" spans="23:23" x14ac:dyDescent="0.2">
      <c r="W729" s="631"/>
    </row>
    <row r="730" spans="23:23" x14ac:dyDescent="0.2">
      <c r="W730" s="631"/>
    </row>
    <row r="731" spans="23:23" x14ac:dyDescent="0.2">
      <c r="W731" s="631"/>
    </row>
    <row r="732" spans="23:23" x14ac:dyDescent="0.2">
      <c r="W732" s="631"/>
    </row>
    <row r="733" spans="23:23" x14ac:dyDescent="0.2">
      <c r="W733" s="631"/>
    </row>
    <row r="734" spans="23:23" x14ac:dyDescent="0.2">
      <c r="W734" s="631"/>
    </row>
    <row r="735" spans="23:23" x14ac:dyDescent="0.2">
      <c r="W735" s="631"/>
    </row>
    <row r="736" spans="23:23" x14ac:dyDescent="0.2">
      <c r="W736" s="631"/>
    </row>
    <row r="737" spans="23:23" x14ac:dyDescent="0.2">
      <c r="W737" s="631"/>
    </row>
    <row r="738" spans="23:23" x14ac:dyDescent="0.2">
      <c r="W738" s="631"/>
    </row>
    <row r="739" spans="23:23" x14ac:dyDescent="0.2">
      <c r="W739" s="631"/>
    </row>
    <row r="740" spans="23:23" x14ac:dyDescent="0.2">
      <c r="W740" s="631"/>
    </row>
    <row r="741" spans="23:23" x14ac:dyDescent="0.2">
      <c r="W741" s="631"/>
    </row>
    <row r="742" spans="23:23" x14ac:dyDescent="0.2">
      <c r="W742" s="631"/>
    </row>
    <row r="743" spans="23:23" x14ac:dyDescent="0.2">
      <c r="W743" s="631"/>
    </row>
    <row r="744" spans="23:23" x14ac:dyDescent="0.2">
      <c r="W744" s="631"/>
    </row>
    <row r="745" spans="23:23" x14ac:dyDescent="0.2">
      <c r="W745" s="631"/>
    </row>
    <row r="746" spans="23:23" x14ac:dyDescent="0.2">
      <c r="W746" s="631"/>
    </row>
    <row r="747" spans="23:23" x14ac:dyDescent="0.2">
      <c r="W747" s="631"/>
    </row>
    <row r="748" spans="23:23" x14ac:dyDescent="0.2">
      <c r="W748" s="631"/>
    </row>
    <row r="749" spans="23:23" x14ac:dyDescent="0.2">
      <c r="W749" s="631"/>
    </row>
    <row r="750" spans="23:23" x14ac:dyDescent="0.2">
      <c r="W750" s="631"/>
    </row>
    <row r="751" spans="23:23" x14ac:dyDescent="0.2">
      <c r="W751" s="631"/>
    </row>
    <row r="752" spans="23:23" x14ac:dyDescent="0.2">
      <c r="W752" s="631"/>
    </row>
    <row r="753" spans="23:23" x14ac:dyDescent="0.2">
      <c r="W753" s="631"/>
    </row>
    <row r="754" spans="23:23" x14ac:dyDescent="0.2">
      <c r="W754" s="631"/>
    </row>
    <row r="755" spans="23:23" x14ac:dyDescent="0.2">
      <c r="W755" s="631"/>
    </row>
    <row r="756" spans="23:23" x14ac:dyDescent="0.2">
      <c r="W756" s="631"/>
    </row>
    <row r="757" spans="23:23" x14ac:dyDescent="0.2">
      <c r="W757" s="631"/>
    </row>
    <row r="758" spans="23:23" x14ac:dyDescent="0.2">
      <c r="W758" s="631"/>
    </row>
    <row r="759" spans="23:23" x14ac:dyDescent="0.2">
      <c r="W759" s="631"/>
    </row>
    <row r="760" spans="23:23" x14ac:dyDescent="0.2">
      <c r="W760" s="631"/>
    </row>
    <row r="761" spans="23:23" x14ac:dyDescent="0.2">
      <c r="W761" s="631"/>
    </row>
    <row r="762" spans="23:23" x14ac:dyDescent="0.2">
      <c r="W762" s="631"/>
    </row>
    <row r="763" spans="23:23" x14ac:dyDescent="0.2">
      <c r="W763" s="631"/>
    </row>
    <row r="764" spans="23:23" x14ac:dyDescent="0.2">
      <c r="W764" s="631"/>
    </row>
    <row r="765" spans="23:23" x14ac:dyDescent="0.2">
      <c r="W765" s="631"/>
    </row>
    <row r="766" spans="23:23" x14ac:dyDescent="0.2">
      <c r="W766" s="631"/>
    </row>
    <row r="767" spans="23:23" x14ac:dyDescent="0.2">
      <c r="W767" s="631"/>
    </row>
    <row r="768" spans="23:23" x14ac:dyDescent="0.2">
      <c r="W768" s="631"/>
    </row>
    <row r="769" spans="23:23" x14ac:dyDescent="0.2">
      <c r="W769" s="631"/>
    </row>
    <row r="770" spans="23:23" x14ac:dyDescent="0.2">
      <c r="W770" s="631"/>
    </row>
    <row r="771" spans="23:23" x14ac:dyDescent="0.2">
      <c r="W771" s="631"/>
    </row>
    <row r="772" spans="23:23" x14ac:dyDescent="0.2">
      <c r="W772" s="631"/>
    </row>
    <row r="773" spans="23:23" x14ac:dyDescent="0.2">
      <c r="W773" s="631"/>
    </row>
    <row r="774" spans="23:23" x14ac:dyDescent="0.2">
      <c r="W774" s="631"/>
    </row>
    <row r="775" spans="23:23" x14ac:dyDescent="0.2">
      <c r="W775" s="631"/>
    </row>
    <row r="776" spans="23:23" x14ac:dyDescent="0.2">
      <c r="W776" s="631"/>
    </row>
    <row r="777" spans="23:23" x14ac:dyDescent="0.2">
      <c r="W777" s="631"/>
    </row>
    <row r="778" spans="23:23" x14ac:dyDescent="0.2">
      <c r="W778" s="631"/>
    </row>
    <row r="779" spans="23:23" x14ac:dyDescent="0.2">
      <c r="W779" s="631"/>
    </row>
    <row r="780" spans="23:23" x14ac:dyDescent="0.2">
      <c r="W780" s="631"/>
    </row>
    <row r="781" spans="23:23" x14ac:dyDescent="0.2">
      <c r="W781" s="631"/>
    </row>
    <row r="782" spans="23:23" x14ac:dyDescent="0.2">
      <c r="W782" s="631"/>
    </row>
    <row r="783" spans="23:23" x14ac:dyDescent="0.2">
      <c r="W783" s="631"/>
    </row>
    <row r="784" spans="23:23" x14ac:dyDescent="0.2">
      <c r="W784" s="631"/>
    </row>
    <row r="785" spans="23:23" x14ac:dyDescent="0.2">
      <c r="W785" s="631"/>
    </row>
    <row r="786" spans="23:23" x14ac:dyDescent="0.2">
      <c r="W786" s="631"/>
    </row>
    <row r="787" spans="23:23" x14ac:dyDescent="0.2">
      <c r="W787" s="631"/>
    </row>
    <row r="788" spans="23:23" x14ac:dyDescent="0.2">
      <c r="W788" s="631"/>
    </row>
    <row r="789" spans="23:23" x14ac:dyDescent="0.2">
      <c r="W789" s="631"/>
    </row>
    <row r="790" spans="23:23" x14ac:dyDescent="0.2">
      <c r="W790" s="631"/>
    </row>
    <row r="791" spans="23:23" x14ac:dyDescent="0.2">
      <c r="W791" s="631"/>
    </row>
    <row r="792" spans="23:23" x14ac:dyDescent="0.2">
      <c r="W792" s="631"/>
    </row>
    <row r="793" spans="23:23" x14ac:dyDescent="0.2">
      <c r="W793" s="631"/>
    </row>
    <row r="794" spans="23:23" x14ac:dyDescent="0.2">
      <c r="W794" s="631"/>
    </row>
    <row r="795" spans="23:23" x14ac:dyDescent="0.2">
      <c r="W795" s="631"/>
    </row>
    <row r="796" spans="23:23" x14ac:dyDescent="0.2">
      <c r="W796" s="631"/>
    </row>
    <row r="797" spans="23:23" x14ac:dyDescent="0.2">
      <c r="W797" s="631"/>
    </row>
    <row r="798" spans="23:23" x14ac:dyDescent="0.2">
      <c r="W798" s="631"/>
    </row>
    <row r="799" spans="23:23" x14ac:dyDescent="0.2">
      <c r="W799" s="631"/>
    </row>
    <row r="800" spans="23:23" x14ac:dyDescent="0.2">
      <c r="W800" s="631"/>
    </row>
    <row r="801" spans="23:23" x14ac:dyDescent="0.2">
      <c r="W801" s="631"/>
    </row>
    <row r="802" spans="23:23" x14ac:dyDescent="0.2">
      <c r="W802" s="631"/>
    </row>
    <row r="803" spans="23:23" x14ac:dyDescent="0.2">
      <c r="W803" s="631"/>
    </row>
    <row r="804" spans="23:23" x14ac:dyDescent="0.2">
      <c r="W804" s="631"/>
    </row>
    <row r="805" spans="23:23" x14ac:dyDescent="0.2">
      <c r="W805" s="631"/>
    </row>
    <row r="806" spans="23:23" x14ac:dyDescent="0.2">
      <c r="W806" s="631"/>
    </row>
    <row r="807" spans="23:23" x14ac:dyDescent="0.2">
      <c r="W807" s="631"/>
    </row>
    <row r="808" spans="23:23" x14ac:dyDescent="0.2">
      <c r="W808" s="631"/>
    </row>
    <row r="809" spans="23:23" x14ac:dyDescent="0.2">
      <c r="W809" s="631"/>
    </row>
    <row r="810" spans="23:23" x14ac:dyDescent="0.2">
      <c r="W810" s="631"/>
    </row>
    <row r="811" spans="23:23" x14ac:dyDescent="0.2">
      <c r="W811" s="631"/>
    </row>
    <row r="812" spans="23:23" x14ac:dyDescent="0.2">
      <c r="W812" s="631"/>
    </row>
    <row r="813" spans="23:23" x14ac:dyDescent="0.2">
      <c r="W813" s="631"/>
    </row>
    <row r="814" spans="23:23" x14ac:dyDescent="0.2">
      <c r="W814" s="631"/>
    </row>
    <row r="815" spans="23:23" x14ac:dyDescent="0.2">
      <c r="W815" s="631"/>
    </row>
    <row r="816" spans="23:23" x14ac:dyDescent="0.2">
      <c r="W816" s="631"/>
    </row>
    <row r="817" spans="23:23" x14ac:dyDescent="0.2">
      <c r="W817" s="631"/>
    </row>
    <row r="818" spans="23:23" x14ac:dyDescent="0.2">
      <c r="W818" s="631"/>
    </row>
    <row r="819" spans="23:23" x14ac:dyDescent="0.2">
      <c r="W819" s="631"/>
    </row>
    <row r="820" spans="23:23" x14ac:dyDescent="0.2">
      <c r="W820" s="631"/>
    </row>
    <row r="821" spans="23:23" x14ac:dyDescent="0.2">
      <c r="W821" s="631"/>
    </row>
    <row r="822" spans="23:23" x14ac:dyDescent="0.2">
      <c r="W822" s="631"/>
    </row>
    <row r="823" spans="23:23" x14ac:dyDescent="0.2">
      <c r="W823" s="631"/>
    </row>
    <row r="824" spans="23:23" x14ac:dyDescent="0.2">
      <c r="W824" s="631"/>
    </row>
    <row r="825" spans="23:23" x14ac:dyDescent="0.2">
      <c r="W825" s="631"/>
    </row>
    <row r="826" spans="23:23" x14ac:dyDescent="0.2">
      <c r="W826" s="631"/>
    </row>
    <row r="827" spans="23:23" x14ac:dyDescent="0.2">
      <c r="W827" s="631"/>
    </row>
    <row r="828" spans="23:23" x14ac:dyDescent="0.2">
      <c r="W828" s="631"/>
    </row>
    <row r="829" spans="23:23" x14ac:dyDescent="0.2">
      <c r="W829" s="631"/>
    </row>
    <row r="830" spans="23:23" x14ac:dyDescent="0.2">
      <c r="W830" s="631"/>
    </row>
    <row r="831" spans="23:23" x14ac:dyDescent="0.2">
      <c r="W831" s="631"/>
    </row>
    <row r="832" spans="23:23" x14ac:dyDescent="0.2">
      <c r="W832" s="631"/>
    </row>
    <row r="833" spans="23:23" x14ac:dyDescent="0.2">
      <c r="W833" s="631"/>
    </row>
    <row r="834" spans="23:23" x14ac:dyDescent="0.2">
      <c r="W834" s="631"/>
    </row>
    <row r="835" spans="23:23" x14ac:dyDescent="0.2">
      <c r="W835" s="631"/>
    </row>
    <row r="836" spans="23:23" x14ac:dyDescent="0.2">
      <c r="W836" s="631"/>
    </row>
    <row r="837" spans="23:23" x14ac:dyDescent="0.2">
      <c r="W837" s="631"/>
    </row>
    <row r="838" spans="23:23" x14ac:dyDescent="0.2">
      <c r="W838" s="631"/>
    </row>
    <row r="839" spans="23:23" x14ac:dyDescent="0.2">
      <c r="W839" s="631"/>
    </row>
    <row r="840" spans="23:23" x14ac:dyDescent="0.2">
      <c r="W840" s="631"/>
    </row>
    <row r="841" spans="23:23" x14ac:dyDescent="0.2">
      <c r="W841" s="631"/>
    </row>
    <row r="842" spans="23:23" x14ac:dyDescent="0.2">
      <c r="W842" s="631"/>
    </row>
    <row r="843" spans="23:23" x14ac:dyDescent="0.2">
      <c r="W843" s="631"/>
    </row>
    <row r="844" spans="23:23" x14ac:dyDescent="0.2">
      <c r="W844" s="631"/>
    </row>
    <row r="845" spans="23:23" x14ac:dyDescent="0.2">
      <c r="W845" s="631"/>
    </row>
    <row r="846" spans="23:23" x14ac:dyDescent="0.2">
      <c r="W846" s="631"/>
    </row>
    <row r="847" spans="23:23" x14ac:dyDescent="0.2">
      <c r="W847" s="631"/>
    </row>
    <row r="848" spans="23:23" x14ac:dyDescent="0.2">
      <c r="W848" s="631"/>
    </row>
    <row r="849" spans="23:23" x14ac:dyDescent="0.2">
      <c r="W849" s="631"/>
    </row>
    <row r="850" spans="23:23" x14ac:dyDescent="0.2">
      <c r="W850" s="631"/>
    </row>
    <row r="851" spans="23:23" x14ac:dyDescent="0.2">
      <c r="W851" s="631"/>
    </row>
    <row r="852" spans="23:23" x14ac:dyDescent="0.2">
      <c r="W852" s="631"/>
    </row>
    <row r="853" spans="23:23" x14ac:dyDescent="0.2">
      <c r="W853" s="631"/>
    </row>
    <row r="854" spans="23:23" x14ac:dyDescent="0.2">
      <c r="W854" s="631"/>
    </row>
    <row r="855" spans="23:23" x14ac:dyDescent="0.2">
      <c r="W855" s="631"/>
    </row>
    <row r="856" spans="23:23" x14ac:dyDescent="0.2">
      <c r="W856" s="631"/>
    </row>
    <row r="857" spans="23:23" x14ac:dyDescent="0.2">
      <c r="W857" s="631"/>
    </row>
    <row r="858" spans="23:23" x14ac:dyDescent="0.2">
      <c r="W858" s="631"/>
    </row>
    <row r="859" spans="23:23" x14ac:dyDescent="0.2">
      <c r="W859" s="631"/>
    </row>
    <row r="860" spans="23:23" x14ac:dyDescent="0.2">
      <c r="W860" s="631"/>
    </row>
    <row r="861" spans="23:23" x14ac:dyDescent="0.2">
      <c r="W861" s="631"/>
    </row>
    <row r="862" spans="23:23" x14ac:dyDescent="0.2">
      <c r="W862" s="631"/>
    </row>
    <row r="863" spans="23:23" x14ac:dyDescent="0.2">
      <c r="W863" s="631"/>
    </row>
    <row r="864" spans="23:23" x14ac:dyDescent="0.2">
      <c r="W864" s="631"/>
    </row>
    <row r="865" spans="23:23" x14ac:dyDescent="0.2">
      <c r="W865" s="631"/>
    </row>
    <row r="866" spans="23:23" x14ac:dyDescent="0.2">
      <c r="W866" s="631"/>
    </row>
    <row r="867" spans="23:23" x14ac:dyDescent="0.2">
      <c r="W867" s="631"/>
    </row>
    <row r="868" spans="23:23" x14ac:dyDescent="0.2">
      <c r="W868" s="631"/>
    </row>
    <row r="869" spans="23:23" x14ac:dyDescent="0.2">
      <c r="W869" s="631"/>
    </row>
    <row r="870" spans="23:23" x14ac:dyDescent="0.2">
      <c r="W870" s="631"/>
    </row>
    <row r="871" spans="23:23" x14ac:dyDescent="0.2">
      <c r="W871" s="631"/>
    </row>
    <row r="872" spans="23:23" x14ac:dyDescent="0.2">
      <c r="W872" s="631"/>
    </row>
    <row r="873" spans="23:23" x14ac:dyDescent="0.2">
      <c r="W873" s="631"/>
    </row>
    <row r="874" spans="23:23" x14ac:dyDescent="0.2">
      <c r="W874" s="631"/>
    </row>
    <row r="875" spans="23:23" x14ac:dyDescent="0.2">
      <c r="W875" s="631"/>
    </row>
    <row r="876" spans="23:23" x14ac:dyDescent="0.2">
      <c r="W876" s="631"/>
    </row>
    <row r="877" spans="23:23" x14ac:dyDescent="0.2">
      <c r="W877" s="631"/>
    </row>
    <row r="878" spans="23:23" x14ac:dyDescent="0.2">
      <c r="W878" s="631"/>
    </row>
    <row r="879" spans="23:23" x14ac:dyDescent="0.2">
      <c r="W879" s="631"/>
    </row>
    <row r="880" spans="23:23" x14ac:dyDescent="0.2">
      <c r="W880" s="631"/>
    </row>
    <row r="881" spans="23:23" x14ac:dyDescent="0.2">
      <c r="W881" s="631"/>
    </row>
    <row r="882" spans="23:23" x14ac:dyDescent="0.2">
      <c r="W882" s="631"/>
    </row>
    <row r="883" spans="23:23" x14ac:dyDescent="0.2">
      <c r="W883" s="631"/>
    </row>
    <row r="884" spans="23:23" x14ac:dyDescent="0.2">
      <c r="W884" s="631"/>
    </row>
    <row r="885" spans="23:23" x14ac:dyDescent="0.2">
      <c r="W885" s="631"/>
    </row>
    <row r="886" spans="23:23" x14ac:dyDescent="0.2">
      <c r="W886" s="631"/>
    </row>
    <row r="887" spans="23:23" x14ac:dyDescent="0.2">
      <c r="W887" s="631"/>
    </row>
    <row r="888" spans="23:23" x14ac:dyDescent="0.2">
      <c r="W888" s="631"/>
    </row>
    <row r="889" spans="23:23" x14ac:dyDescent="0.2">
      <c r="W889" s="631"/>
    </row>
    <row r="890" spans="23:23" x14ac:dyDescent="0.2">
      <c r="W890" s="631"/>
    </row>
    <row r="891" spans="23:23" x14ac:dyDescent="0.2">
      <c r="W891" s="631"/>
    </row>
    <row r="892" spans="23:23" x14ac:dyDescent="0.2">
      <c r="W892" s="631"/>
    </row>
    <row r="893" spans="23:23" x14ac:dyDescent="0.2">
      <c r="W893" s="631"/>
    </row>
    <row r="894" spans="23:23" x14ac:dyDescent="0.2">
      <c r="W894" s="631"/>
    </row>
    <row r="895" spans="23:23" x14ac:dyDescent="0.2">
      <c r="W895" s="631"/>
    </row>
    <row r="896" spans="23:23" x14ac:dyDescent="0.2">
      <c r="W896" s="631"/>
    </row>
    <row r="897" spans="23:23" x14ac:dyDescent="0.2">
      <c r="W897" s="631"/>
    </row>
    <row r="898" spans="23:23" x14ac:dyDescent="0.2">
      <c r="W898" s="631"/>
    </row>
    <row r="899" spans="23:23" x14ac:dyDescent="0.2">
      <c r="W899" s="631"/>
    </row>
    <row r="900" spans="23:23" x14ac:dyDescent="0.2">
      <c r="W900" s="631"/>
    </row>
    <row r="901" spans="23:23" x14ac:dyDescent="0.2">
      <c r="W901" s="631"/>
    </row>
    <row r="902" spans="23:23" x14ac:dyDescent="0.2">
      <c r="W902" s="631"/>
    </row>
    <row r="903" spans="23:23" x14ac:dyDescent="0.2">
      <c r="W903" s="631"/>
    </row>
    <row r="904" spans="23:23" x14ac:dyDescent="0.2">
      <c r="W904" s="631"/>
    </row>
    <row r="905" spans="23:23" x14ac:dyDescent="0.2">
      <c r="W905" s="631"/>
    </row>
    <row r="906" spans="23:23" x14ac:dyDescent="0.2">
      <c r="W906" s="631"/>
    </row>
    <row r="907" spans="23:23" x14ac:dyDescent="0.2">
      <c r="W907" s="631"/>
    </row>
    <row r="908" spans="23:23" x14ac:dyDescent="0.2">
      <c r="W908" s="631"/>
    </row>
    <row r="909" spans="23:23" x14ac:dyDescent="0.2">
      <c r="W909" s="631"/>
    </row>
    <row r="910" spans="23:23" x14ac:dyDescent="0.2">
      <c r="W910" s="631"/>
    </row>
    <row r="911" spans="23:23" x14ac:dyDescent="0.2">
      <c r="W911" s="631"/>
    </row>
    <row r="912" spans="23:23" x14ac:dyDescent="0.2">
      <c r="W912" s="631"/>
    </row>
    <row r="913" spans="23:23" x14ac:dyDescent="0.2">
      <c r="W913" s="631"/>
    </row>
    <row r="914" spans="23:23" x14ac:dyDescent="0.2">
      <c r="W914" s="631"/>
    </row>
    <row r="915" spans="23:23" x14ac:dyDescent="0.2">
      <c r="W915" s="631"/>
    </row>
    <row r="916" spans="23:23" x14ac:dyDescent="0.2">
      <c r="W916" s="631"/>
    </row>
    <row r="917" spans="23:23" x14ac:dyDescent="0.2">
      <c r="W917" s="631"/>
    </row>
    <row r="918" spans="23:23" x14ac:dyDescent="0.2">
      <c r="W918" s="631"/>
    </row>
    <row r="919" spans="23:23" x14ac:dyDescent="0.2">
      <c r="W919" s="631"/>
    </row>
    <row r="920" spans="23:23" x14ac:dyDescent="0.2">
      <c r="W920" s="631"/>
    </row>
    <row r="921" spans="23:23" x14ac:dyDescent="0.2">
      <c r="W921" s="631"/>
    </row>
    <row r="922" spans="23:23" x14ac:dyDescent="0.2">
      <c r="W922" s="631"/>
    </row>
    <row r="923" spans="23:23" x14ac:dyDescent="0.2">
      <c r="W923" s="631"/>
    </row>
    <row r="924" spans="23:23" x14ac:dyDescent="0.2">
      <c r="W924" s="631"/>
    </row>
    <row r="925" spans="23:23" x14ac:dyDescent="0.2">
      <c r="W925" s="631"/>
    </row>
    <row r="926" spans="23:23" x14ac:dyDescent="0.2">
      <c r="W926" s="631"/>
    </row>
    <row r="927" spans="23:23" x14ac:dyDescent="0.2">
      <c r="W927" s="631"/>
    </row>
    <row r="928" spans="23:23" x14ac:dyDescent="0.2">
      <c r="W928" s="631"/>
    </row>
    <row r="929" spans="23:23" x14ac:dyDescent="0.2">
      <c r="W929" s="631"/>
    </row>
    <row r="930" spans="23:23" x14ac:dyDescent="0.2">
      <c r="W930" s="631"/>
    </row>
    <row r="931" spans="23:23" x14ac:dyDescent="0.2">
      <c r="W931" s="631"/>
    </row>
    <row r="932" spans="23:23" x14ac:dyDescent="0.2">
      <c r="W932" s="631"/>
    </row>
    <row r="933" spans="23:23" x14ac:dyDescent="0.2">
      <c r="W933" s="631"/>
    </row>
    <row r="934" spans="23:23" x14ac:dyDescent="0.2">
      <c r="W934" s="631"/>
    </row>
    <row r="935" spans="23:23" x14ac:dyDescent="0.2">
      <c r="W935" s="631"/>
    </row>
    <row r="936" spans="23:23" x14ac:dyDescent="0.2">
      <c r="W936" s="631"/>
    </row>
    <row r="937" spans="23:23" x14ac:dyDescent="0.2">
      <c r="W937" s="631"/>
    </row>
    <row r="938" spans="23:23" x14ac:dyDescent="0.2">
      <c r="W938" s="631"/>
    </row>
    <row r="939" spans="23:23" x14ac:dyDescent="0.2">
      <c r="W939" s="631"/>
    </row>
    <row r="940" spans="23:23" x14ac:dyDescent="0.2">
      <c r="W940" s="631"/>
    </row>
    <row r="941" spans="23:23" x14ac:dyDescent="0.2">
      <c r="W941" s="631"/>
    </row>
    <row r="942" spans="23:23" x14ac:dyDescent="0.2">
      <c r="W942" s="631"/>
    </row>
    <row r="943" spans="23:23" x14ac:dyDescent="0.2">
      <c r="W943" s="631"/>
    </row>
    <row r="944" spans="23:23" x14ac:dyDescent="0.2">
      <c r="W944" s="631"/>
    </row>
    <row r="945" spans="23:23" x14ac:dyDescent="0.2">
      <c r="W945" s="631"/>
    </row>
    <row r="946" spans="23:23" x14ac:dyDescent="0.2">
      <c r="W946" s="631"/>
    </row>
    <row r="947" spans="23:23" x14ac:dyDescent="0.2">
      <c r="W947" s="631"/>
    </row>
    <row r="948" spans="23:23" x14ac:dyDescent="0.2">
      <c r="W948" s="631"/>
    </row>
    <row r="949" spans="23:23" x14ac:dyDescent="0.2">
      <c r="W949" s="631"/>
    </row>
    <row r="950" spans="23:23" x14ac:dyDescent="0.2">
      <c r="W950" s="631"/>
    </row>
    <row r="951" spans="23:23" x14ac:dyDescent="0.2">
      <c r="W951" s="631"/>
    </row>
    <row r="952" spans="23:23" x14ac:dyDescent="0.2">
      <c r="W952" s="631"/>
    </row>
    <row r="953" spans="23:23" x14ac:dyDescent="0.2">
      <c r="W953" s="631"/>
    </row>
    <row r="954" spans="23:23" x14ac:dyDescent="0.2">
      <c r="W954" s="631"/>
    </row>
    <row r="955" spans="23:23" x14ac:dyDescent="0.2">
      <c r="W955" s="631"/>
    </row>
    <row r="956" spans="23:23" x14ac:dyDescent="0.2">
      <c r="W956" s="631"/>
    </row>
    <row r="957" spans="23:23" x14ac:dyDescent="0.2">
      <c r="W957" s="631"/>
    </row>
    <row r="958" spans="23:23" x14ac:dyDescent="0.2">
      <c r="W958" s="631"/>
    </row>
    <row r="959" spans="23:23" x14ac:dyDescent="0.2">
      <c r="W959" s="631"/>
    </row>
    <row r="960" spans="23:23" x14ac:dyDescent="0.2">
      <c r="W960" s="631"/>
    </row>
    <row r="961" spans="23:23" x14ac:dyDescent="0.2">
      <c r="W961" s="631"/>
    </row>
    <row r="962" spans="23:23" x14ac:dyDescent="0.2">
      <c r="W962" s="631"/>
    </row>
    <row r="963" spans="23:23" x14ac:dyDescent="0.2">
      <c r="W963" s="631"/>
    </row>
    <row r="964" spans="23:23" x14ac:dyDescent="0.2">
      <c r="W964" s="631"/>
    </row>
    <row r="965" spans="23:23" x14ac:dyDescent="0.2">
      <c r="W965" s="631"/>
    </row>
    <row r="966" spans="23:23" x14ac:dyDescent="0.2">
      <c r="W966" s="631"/>
    </row>
    <row r="967" spans="23:23" x14ac:dyDescent="0.2">
      <c r="W967" s="631"/>
    </row>
    <row r="968" spans="23:23" x14ac:dyDescent="0.2">
      <c r="W968" s="631"/>
    </row>
    <row r="969" spans="23:23" x14ac:dyDescent="0.2">
      <c r="W969" s="631"/>
    </row>
    <row r="970" spans="23:23" x14ac:dyDescent="0.2">
      <c r="W970" s="631"/>
    </row>
    <row r="971" spans="23:23" x14ac:dyDescent="0.2">
      <c r="W971" s="631"/>
    </row>
    <row r="972" spans="23:23" x14ac:dyDescent="0.2">
      <c r="W972" s="631"/>
    </row>
    <row r="973" spans="23:23" x14ac:dyDescent="0.2">
      <c r="W973" s="631"/>
    </row>
    <row r="974" spans="23:23" x14ac:dyDescent="0.2">
      <c r="W974" s="631"/>
    </row>
    <row r="975" spans="23:23" x14ac:dyDescent="0.2">
      <c r="W975" s="631"/>
    </row>
    <row r="976" spans="23:23" x14ac:dyDescent="0.2">
      <c r="W976" s="631"/>
    </row>
    <row r="977" spans="23:23" x14ac:dyDescent="0.2">
      <c r="W977" s="631"/>
    </row>
    <row r="978" spans="23:23" x14ac:dyDescent="0.2">
      <c r="W978" s="631"/>
    </row>
    <row r="979" spans="23:23" x14ac:dyDescent="0.2">
      <c r="W979" s="631"/>
    </row>
    <row r="980" spans="23:23" x14ac:dyDescent="0.2">
      <c r="W980" s="631"/>
    </row>
    <row r="981" spans="23:23" x14ac:dyDescent="0.2">
      <c r="W981" s="631"/>
    </row>
    <row r="982" spans="23:23" x14ac:dyDescent="0.2">
      <c r="W982" s="631"/>
    </row>
    <row r="983" spans="23:23" x14ac:dyDescent="0.2">
      <c r="W983" s="631"/>
    </row>
    <row r="984" spans="23:23" x14ac:dyDescent="0.2">
      <c r="W984" s="631"/>
    </row>
    <row r="985" spans="23:23" x14ac:dyDescent="0.2">
      <c r="W985" s="631"/>
    </row>
    <row r="986" spans="23:23" x14ac:dyDescent="0.2">
      <c r="W986" s="631"/>
    </row>
    <row r="987" spans="23:23" x14ac:dyDescent="0.2">
      <c r="W987" s="631"/>
    </row>
    <row r="988" spans="23:23" x14ac:dyDescent="0.2">
      <c r="W988" s="631"/>
    </row>
    <row r="989" spans="23:23" x14ac:dyDescent="0.2">
      <c r="W989" s="631"/>
    </row>
    <row r="990" spans="23:23" x14ac:dyDescent="0.2">
      <c r="W990" s="631"/>
    </row>
    <row r="991" spans="23:23" x14ac:dyDescent="0.2">
      <c r="W991" s="631"/>
    </row>
    <row r="992" spans="23:23" x14ac:dyDescent="0.2">
      <c r="W992" s="631"/>
    </row>
    <row r="993" spans="23:23" x14ac:dyDescent="0.2">
      <c r="W993" s="631"/>
    </row>
    <row r="994" spans="23:23" x14ac:dyDescent="0.2">
      <c r="W994" s="631"/>
    </row>
    <row r="995" spans="23:23" x14ac:dyDescent="0.2">
      <c r="W995" s="631"/>
    </row>
    <row r="996" spans="23:23" x14ac:dyDescent="0.2">
      <c r="W996" s="631"/>
    </row>
    <row r="997" spans="23:23" x14ac:dyDescent="0.2">
      <c r="W997" s="631"/>
    </row>
    <row r="998" spans="23:23" x14ac:dyDescent="0.2">
      <c r="W998" s="631"/>
    </row>
    <row r="999" spans="23:23" x14ac:dyDescent="0.2">
      <c r="W999" s="631"/>
    </row>
    <row r="1000" spans="23:23" x14ac:dyDescent="0.2">
      <c r="W1000" s="631"/>
    </row>
    <row r="1001" spans="23:23" x14ac:dyDescent="0.2">
      <c r="W1001" s="631"/>
    </row>
    <row r="1002" spans="23:23" x14ac:dyDescent="0.2">
      <c r="W1002" s="631"/>
    </row>
    <row r="1003" spans="23:23" x14ac:dyDescent="0.2">
      <c r="W1003" s="631"/>
    </row>
    <row r="1004" spans="23:23" x14ac:dyDescent="0.2">
      <c r="W1004" s="631"/>
    </row>
    <row r="1005" spans="23:23" x14ac:dyDescent="0.2">
      <c r="W1005" s="631"/>
    </row>
    <row r="1006" spans="23:23" x14ac:dyDescent="0.2">
      <c r="W1006" s="631"/>
    </row>
    <row r="1007" spans="23:23" x14ac:dyDescent="0.2">
      <c r="W1007" s="631"/>
    </row>
    <row r="1008" spans="23:23" x14ac:dyDescent="0.2">
      <c r="W1008" s="631"/>
    </row>
    <row r="1009" spans="23:23" x14ac:dyDescent="0.2">
      <c r="W1009" s="631"/>
    </row>
    <row r="1010" spans="23:23" x14ac:dyDescent="0.2">
      <c r="W1010" s="631"/>
    </row>
    <row r="1011" spans="23:23" x14ac:dyDescent="0.2">
      <c r="W1011" s="631"/>
    </row>
    <row r="1012" spans="23:23" x14ac:dyDescent="0.2">
      <c r="W1012" s="631"/>
    </row>
    <row r="1013" spans="23:23" x14ac:dyDescent="0.2">
      <c r="W1013" s="631"/>
    </row>
    <row r="1014" spans="23:23" x14ac:dyDescent="0.2">
      <c r="W1014" s="631"/>
    </row>
    <row r="1015" spans="23:23" x14ac:dyDescent="0.2">
      <c r="W1015" s="631"/>
    </row>
    <row r="1016" spans="23:23" x14ac:dyDescent="0.2">
      <c r="W1016" s="631"/>
    </row>
    <row r="1017" spans="23:23" x14ac:dyDescent="0.2">
      <c r="W1017" s="631"/>
    </row>
    <row r="1018" spans="23:23" x14ac:dyDescent="0.2">
      <c r="W1018" s="631"/>
    </row>
    <row r="1019" spans="23:23" x14ac:dyDescent="0.2">
      <c r="W1019" s="631"/>
    </row>
    <row r="1020" spans="23:23" x14ac:dyDescent="0.2">
      <c r="W1020" s="631"/>
    </row>
    <row r="1021" spans="23:23" x14ac:dyDescent="0.2">
      <c r="W1021" s="631"/>
    </row>
    <row r="1022" spans="23:23" x14ac:dyDescent="0.2">
      <c r="W1022" s="631"/>
    </row>
    <row r="1023" spans="23:23" x14ac:dyDescent="0.2">
      <c r="W1023" s="631"/>
    </row>
    <row r="1024" spans="23:23" x14ac:dyDescent="0.2">
      <c r="W1024" s="631"/>
    </row>
    <row r="1025" spans="23:23" x14ac:dyDescent="0.2">
      <c r="W1025" s="631"/>
    </row>
    <row r="1026" spans="23:23" x14ac:dyDescent="0.2">
      <c r="W1026" s="631"/>
    </row>
    <row r="1027" spans="23:23" x14ac:dyDescent="0.2">
      <c r="W1027" s="631"/>
    </row>
    <row r="1028" spans="23:23" x14ac:dyDescent="0.2">
      <c r="W1028" s="631"/>
    </row>
    <row r="1029" spans="23:23" x14ac:dyDescent="0.2">
      <c r="W1029" s="631"/>
    </row>
    <row r="1030" spans="23:23" x14ac:dyDescent="0.2">
      <c r="W1030" s="631"/>
    </row>
    <row r="1031" spans="23:23" x14ac:dyDescent="0.2">
      <c r="W1031" s="631"/>
    </row>
    <row r="1032" spans="23:23" x14ac:dyDescent="0.2">
      <c r="W1032" s="631"/>
    </row>
    <row r="1033" spans="23:23" x14ac:dyDescent="0.2">
      <c r="W1033" s="631"/>
    </row>
    <row r="1034" spans="23:23" x14ac:dyDescent="0.2">
      <c r="W1034" s="631"/>
    </row>
    <row r="1035" spans="23:23" x14ac:dyDescent="0.2">
      <c r="W1035" s="631"/>
    </row>
    <row r="1036" spans="23:23" x14ac:dyDescent="0.2">
      <c r="W1036" s="631"/>
    </row>
    <row r="1037" spans="23:23" x14ac:dyDescent="0.2">
      <c r="W1037" s="631"/>
    </row>
    <row r="1038" spans="23:23" x14ac:dyDescent="0.2">
      <c r="W1038" s="631"/>
    </row>
    <row r="1039" spans="23:23" x14ac:dyDescent="0.2">
      <c r="W1039" s="631"/>
    </row>
    <row r="1040" spans="23:23" x14ac:dyDescent="0.2">
      <c r="W1040" s="631"/>
    </row>
    <row r="1041" spans="23:23" x14ac:dyDescent="0.2">
      <c r="W1041" s="631"/>
    </row>
    <row r="1042" spans="23:23" x14ac:dyDescent="0.2">
      <c r="W1042" s="631"/>
    </row>
    <row r="1043" spans="23:23" x14ac:dyDescent="0.2">
      <c r="W1043" s="631"/>
    </row>
    <row r="1044" spans="23:23" x14ac:dyDescent="0.2">
      <c r="W1044" s="631"/>
    </row>
    <row r="1045" spans="23:23" x14ac:dyDescent="0.2">
      <c r="W1045" s="631"/>
    </row>
    <row r="1046" spans="23:23" x14ac:dyDescent="0.2">
      <c r="W1046" s="631"/>
    </row>
    <row r="1047" spans="23:23" x14ac:dyDescent="0.2">
      <c r="W1047" s="631"/>
    </row>
    <row r="1048" spans="23:23" x14ac:dyDescent="0.2">
      <c r="W1048" s="631"/>
    </row>
    <row r="1049" spans="23:23" x14ac:dyDescent="0.2">
      <c r="W1049" s="631"/>
    </row>
    <row r="1050" spans="23:23" x14ac:dyDescent="0.2">
      <c r="W1050" s="631"/>
    </row>
    <row r="1051" spans="23:23" x14ac:dyDescent="0.2">
      <c r="W1051" s="631"/>
    </row>
    <row r="1052" spans="23:23" x14ac:dyDescent="0.2">
      <c r="W1052" s="631"/>
    </row>
    <row r="1053" spans="23:23" x14ac:dyDescent="0.2">
      <c r="W1053" s="631"/>
    </row>
    <row r="1054" spans="23:23" x14ac:dyDescent="0.2">
      <c r="W1054" s="631"/>
    </row>
    <row r="1055" spans="23:23" x14ac:dyDescent="0.2">
      <c r="W1055" s="631"/>
    </row>
    <row r="1056" spans="23:23" x14ac:dyDescent="0.2">
      <c r="W1056" s="631"/>
    </row>
    <row r="1057" spans="23:23" x14ac:dyDescent="0.2">
      <c r="W1057" s="631"/>
    </row>
    <row r="1058" spans="23:23" x14ac:dyDescent="0.2">
      <c r="W1058" s="631"/>
    </row>
    <row r="1059" spans="23:23" x14ac:dyDescent="0.2">
      <c r="W1059" s="631"/>
    </row>
    <row r="1060" spans="23:23" x14ac:dyDescent="0.2">
      <c r="W1060" s="631"/>
    </row>
    <row r="1061" spans="23:23" x14ac:dyDescent="0.2">
      <c r="W1061" s="631"/>
    </row>
    <row r="1062" spans="23:23" x14ac:dyDescent="0.2">
      <c r="W1062" s="631"/>
    </row>
    <row r="1063" spans="23:23" x14ac:dyDescent="0.2">
      <c r="W1063" s="631"/>
    </row>
    <row r="1064" spans="23:23" x14ac:dyDescent="0.2">
      <c r="W1064" s="631"/>
    </row>
    <row r="1065" spans="23:23" x14ac:dyDescent="0.2">
      <c r="W1065" s="631"/>
    </row>
    <row r="1066" spans="23:23" x14ac:dyDescent="0.2">
      <c r="W1066" s="631"/>
    </row>
    <row r="1067" spans="23:23" x14ac:dyDescent="0.2">
      <c r="W1067" s="631"/>
    </row>
    <row r="1068" spans="23:23" x14ac:dyDescent="0.2">
      <c r="W1068" s="631"/>
    </row>
    <row r="1069" spans="23:23" x14ac:dyDescent="0.2">
      <c r="W1069" s="631"/>
    </row>
    <row r="1070" spans="23:23" x14ac:dyDescent="0.2">
      <c r="W1070" s="631"/>
    </row>
    <row r="1071" spans="23:23" x14ac:dyDescent="0.2">
      <c r="W1071" s="631"/>
    </row>
    <row r="1072" spans="23:23" x14ac:dyDescent="0.2">
      <c r="W1072" s="631"/>
    </row>
    <row r="1073" spans="23:23" x14ac:dyDescent="0.2">
      <c r="W1073" s="631"/>
    </row>
    <row r="1074" spans="23:23" x14ac:dyDescent="0.2">
      <c r="W1074" s="631"/>
    </row>
    <row r="1075" spans="23:23" x14ac:dyDescent="0.2">
      <c r="W1075" s="631"/>
    </row>
    <row r="1076" spans="23:23" x14ac:dyDescent="0.2">
      <c r="W1076" s="631"/>
    </row>
    <row r="1077" spans="23:23" x14ac:dyDescent="0.2">
      <c r="W1077" s="631"/>
    </row>
    <row r="1078" spans="23:23" x14ac:dyDescent="0.2">
      <c r="W1078" s="631"/>
    </row>
    <row r="1079" spans="23:23" x14ac:dyDescent="0.2">
      <c r="W1079" s="631"/>
    </row>
    <row r="1080" spans="23:23" x14ac:dyDescent="0.2">
      <c r="W1080" s="631"/>
    </row>
    <row r="1081" spans="23:23" x14ac:dyDescent="0.2">
      <c r="W1081" s="631"/>
    </row>
    <row r="1082" spans="23:23" x14ac:dyDescent="0.2">
      <c r="W1082" s="631"/>
    </row>
    <row r="1083" spans="23:23" x14ac:dyDescent="0.2">
      <c r="W1083" s="631"/>
    </row>
    <row r="1084" spans="23:23" x14ac:dyDescent="0.2">
      <c r="W1084" s="631"/>
    </row>
    <row r="1085" spans="23:23" x14ac:dyDescent="0.2">
      <c r="W1085" s="631"/>
    </row>
    <row r="1086" spans="23:23" x14ac:dyDescent="0.2">
      <c r="W1086" s="631"/>
    </row>
    <row r="1087" spans="23:23" x14ac:dyDescent="0.2">
      <c r="W1087" s="631"/>
    </row>
    <row r="1088" spans="23:23" x14ac:dyDescent="0.2">
      <c r="W1088" s="631"/>
    </row>
    <row r="1089" spans="23:23" x14ac:dyDescent="0.2">
      <c r="W1089" s="631"/>
    </row>
    <row r="1090" spans="23:23" x14ac:dyDescent="0.2">
      <c r="W1090" s="631"/>
    </row>
    <row r="1091" spans="23:23" x14ac:dyDescent="0.2">
      <c r="W1091" s="631"/>
    </row>
    <row r="1092" spans="23:23" x14ac:dyDescent="0.2">
      <c r="W1092" s="631"/>
    </row>
    <row r="1093" spans="23:23" x14ac:dyDescent="0.2">
      <c r="W1093" s="631"/>
    </row>
    <row r="1094" spans="23:23" x14ac:dyDescent="0.2">
      <c r="W1094" s="631"/>
    </row>
    <row r="1095" spans="23:23" x14ac:dyDescent="0.2">
      <c r="W1095" s="631"/>
    </row>
    <row r="1096" spans="23:23" x14ac:dyDescent="0.2">
      <c r="W1096" s="631"/>
    </row>
    <row r="1097" spans="23:23" x14ac:dyDescent="0.2">
      <c r="W1097" s="631"/>
    </row>
    <row r="1098" spans="23:23" x14ac:dyDescent="0.2">
      <c r="W1098" s="631"/>
    </row>
    <row r="1099" spans="23:23" x14ac:dyDescent="0.2">
      <c r="W1099" s="631"/>
    </row>
    <row r="1100" spans="23:23" x14ac:dyDescent="0.2">
      <c r="W1100" s="631"/>
    </row>
    <row r="1101" spans="23:23" x14ac:dyDescent="0.2">
      <c r="W1101" s="631"/>
    </row>
    <row r="1102" spans="23:23" x14ac:dyDescent="0.2">
      <c r="W1102" s="631"/>
    </row>
    <row r="1103" spans="23:23" x14ac:dyDescent="0.2">
      <c r="W1103" s="631"/>
    </row>
    <row r="1104" spans="23:23" x14ac:dyDescent="0.2">
      <c r="W1104" s="631"/>
    </row>
    <row r="1105" spans="23:23" x14ac:dyDescent="0.2">
      <c r="W1105" s="631"/>
    </row>
    <row r="1106" spans="23:23" x14ac:dyDescent="0.2">
      <c r="W1106" s="631"/>
    </row>
    <row r="1107" spans="23:23" x14ac:dyDescent="0.2">
      <c r="W1107" s="631"/>
    </row>
    <row r="1108" spans="23:23" x14ac:dyDescent="0.2">
      <c r="W1108" s="631"/>
    </row>
    <row r="1109" spans="23:23" x14ac:dyDescent="0.2">
      <c r="W1109" s="631"/>
    </row>
    <row r="1110" spans="23:23" x14ac:dyDescent="0.2">
      <c r="W1110" s="631"/>
    </row>
    <row r="1111" spans="23:23" x14ac:dyDescent="0.2">
      <c r="W1111" s="631"/>
    </row>
    <row r="1112" spans="23:23" x14ac:dyDescent="0.2">
      <c r="W1112" s="631"/>
    </row>
    <row r="1113" spans="23:23" x14ac:dyDescent="0.2">
      <c r="W1113" s="631"/>
    </row>
    <row r="1114" spans="23:23" x14ac:dyDescent="0.2">
      <c r="W1114" s="631"/>
    </row>
    <row r="1115" spans="23:23" x14ac:dyDescent="0.2">
      <c r="W1115" s="631"/>
    </row>
    <row r="1116" spans="23:23" x14ac:dyDescent="0.2">
      <c r="W1116" s="631"/>
    </row>
    <row r="1117" spans="23:23" x14ac:dyDescent="0.2">
      <c r="W1117" s="631"/>
    </row>
    <row r="1118" spans="23:23" x14ac:dyDescent="0.2">
      <c r="W1118" s="631"/>
    </row>
    <row r="1119" spans="23:23" x14ac:dyDescent="0.2">
      <c r="W1119" s="631"/>
    </row>
    <row r="1120" spans="23:23" x14ac:dyDescent="0.2">
      <c r="W1120" s="631"/>
    </row>
    <row r="1121" spans="23:23" x14ac:dyDescent="0.2">
      <c r="W1121" s="631"/>
    </row>
    <row r="1122" spans="23:23" x14ac:dyDescent="0.2">
      <c r="W1122" s="631"/>
    </row>
    <row r="1123" spans="23:23" x14ac:dyDescent="0.2">
      <c r="W1123" s="631"/>
    </row>
    <row r="1124" spans="23:23" x14ac:dyDescent="0.2">
      <c r="W1124" s="631"/>
    </row>
    <row r="1125" spans="23:23" x14ac:dyDescent="0.2">
      <c r="W1125" s="631"/>
    </row>
    <row r="1126" spans="23:23" x14ac:dyDescent="0.2">
      <c r="W1126" s="631"/>
    </row>
    <row r="1127" spans="23:23" x14ac:dyDescent="0.2">
      <c r="W1127" s="631"/>
    </row>
    <row r="1128" spans="23:23" x14ac:dyDescent="0.2">
      <c r="W1128" s="631"/>
    </row>
    <row r="1129" spans="23:23" x14ac:dyDescent="0.2">
      <c r="W1129" s="631"/>
    </row>
    <row r="1130" spans="23:23" x14ac:dyDescent="0.2">
      <c r="W1130" s="631"/>
    </row>
    <row r="1131" spans="23:23" x14ac:dyDescent="0.2">
      <c r="W1131" s="631"/>
    </row>
    <row r="1132" spans="23:23" x14ac:dyDescent="0.2">
      <c r="W1132" s="631"/>
    </row>
    <row r="1133" spans="23:23" x14ac:dyDescent="0.2">
      <c r="W1133" s="631"/>
    </row>
    <row r="1134" spans="23:23" x14ac:dyDescent="0.2">
      <c r="W1134" s="631"/>
    </row>
    <row r="1135" spans="23:23" x14ac:dyDescent="0.2">
      <c r="W1135" s="631"/>
    </row>
    <row r="1136" spans="23:23" x14ac:dyDescent="0.2">
      <c r="W1136" s="631"/>
    </row>
    <row r="1137" spans="23:23" x14ac:dyDescent="0.2">
      <c r="W1137" s="631"/>
    </row>
    <row r="1138" spans="23:23" x14ac:dyDescent="0.2">
      <c r="W1138" s="631"/>
    </row>
    <row r="1139" spans="23:23" x14ac:dyDescent="0.2">
      <c r="W1139" s="631"/>
    </row>
    <row r="1140" spans="23:23" x14ac:dyDescent="0.2">
      <c r="W1140" s="631"/>
    </row>
    <row r="1141" spans="23:23" x14ac:dyDescent="0.2">
      <c r="W1141" s="631"/>
    </row>
    <row r="1142" spans="23:23" x14ac:dyDescent="0.2">
      <c r="W1142" s="631"/>
    </row>
    <row r="1143" spans="23:23" x14ac:dyDescent="0.2">
      <c r="W1143" s="631"/>
    </row>
    <row r="1144" spans="23:23" x14ac:dyDescent="0.2">
      <c r="W1144" s="631"/>
    </row>
    <row r="1145" spans="23:23" x14ac:dyDescent="0.2">
      <c r="W1145" s="631"/>
    </row>
    <row r="1146" spans="23:23" x14ac:dyDescent="0.2">
      <c r="W1146" s="631"/>
    </row>
    <row r="1147" spans="23:23" x14ac:dyDescent="0.2">
      <c r="W1147" s="631"/>
    </row>
    <row r="1148" spans="23:23" x14ac:dyDescent="0.2">
      <c r="W1148" s="631"/>
    </row>
    <row r="1149" spans="23:23" x14ac:dyDescent="0.2">
      <c r="W1149" s="631"/>
    </row>
    <row r="1150" spans="23:23" x14ac:dyDescent="0.2">
      <c r="W1150" s="631"/>
    </row>
    <row r="1151" spans="23:23" x14ac:dyDescent="0.2">
      <c r="W1151" s="631"/>
    </row>
    <row r="1152" spans="23:23" x14ac:dyDescent="0.2">
      <c r="W1152" s="631"/>
    </row>
    <row r="1153" spans="23:23" x14ac:dyDescent="0.2">
      <c r="W1153" s="631"/>
    </row>
    <row r="1154" spans="23:23" x14ac:dyDescent="0.2">
      <c r="W1154" s="631"/>
    </row>
    <row r="1155" spans="23:23" x14ac:dyDescent="0.2">
      <c r="W1155" s="631"/>
    </row>
    <row r="1156" spans="23:23" x14ac:dyDescent="0.2">
      <c r="W1156" s="631"/>
    </row>
    <row r="1157" spans="23:23" x14ac:dyDescent="0.2">
      <c r="W1157" s="631"/>
    </row>
    <row r="1158" spans="23:23" x14ac:dyDescent="0.2">
      <c r="W1158" s="631"/>
    </row>
    <row r="1159" spans="23:23" x14ac:dyDescent="0.2">
      <c r="W1159" s="631"/>
    </row>
    <row r="1160" spans="23:23" x14ac:dyDescent="0.2">
      <c r="W1160" s="631"/>
    </row>
    <row r="1161" spans="23:23" x14ac:dyDescent="0.2">
      <c r="W1161" s="631"/>
    </row>
    <row r="1162" spans="23:23" x14ac:dyDescent="0.2">
      <c r="W1162" s="631"/>
    </row>
    <row r="1163" spans="23:23" x14ac:dyDescent="0.2">
      <c r="W1163" s="631"/>
    </row>
    <row r="1164" spans="23:23" x14ac:dyDescent="0.2">
      <c r="W1164" s="631"/>
    </row>
    <row r="1165" spans="23:23" x14ac:dyDescent="0.2">
      <c r="W1165" s="631"/>
    </row>
    <row r="1166" spans="23:23" x14ac:dyDescent="0.2">
      <c r="W1166" s="631"/>
    </row>
    <row r="1167" spans="23:23" x14ac:dyDescent="0.2">
      <c r="W1167" s="631"/>
    </row>
    <row r="1168" spans="23:23" x14ac:dyDescent="0.2">
      <c r="W1168" s="631"/>
    </row>
    <row r="1169" spans="23:23" x14ac:dyDescent="0.2">
      <c r="W1169" s="631"/>
    </row>
    <row r="1170" spans="23:23" x14ac:dyDescent="0.2">
      <c r="W1170" s="631"/>
    </row>
    <row r="1171" spans="23:23" x14ac:dyDescent="0.2">
      <c r="W1171" s="631"/>
    </row>
    <row r="1172" spans="23:23" x14ac:dyDescent="0.2">
      <c r="W1172" s="631"/>
    </row>
    <row r="1173" spans="23:23" x14ac:dyDescent="0.2">
      <c r="W1173" s="631"/>
    </row>
    <row r="1174" spans="23:23" x14ac:dyDescent="0.2">
      <c r="W1174" s="631"/>
    </row>
    <row r="1175" spans="23:23" x14ac:dyDescent="0.2">
      <c r="W1175" s="631"/>
    </row>
    <row r="1176" spans="23:23" x14ac:dyDescent="0.2">
      <c r="W1176" s="631"/>
    </row>
    <row r="1177" spans="23:23" x14ac:dyDescent="0.2">
      <c r="W1177" s="631"/>
    </row>
    <row r="1178" spans="23:23" x14ac:dyDescent="0.2">
      <c r="W1178" s="631"/>
    </row>
    <row r="1179" spans="23:23" x14ac:dyDescent="0.2">
      <c r="W1179" s="631"/>
    </row>
    <row r="1180" spans="23:23" x14ac:dyDescent="0.2">
      <c r="W1180" s="631"/>
    </row>
    <row r="1181" spans="23:23" x14ac:dyDescent="0.2">
      <c r="W1181" s="631"/>
    </row>
    <row r="1182" spans="23:23" x14ac:dyDescent="0.2">
      <c r="W1182" s="631"/>
    </row>
    <row r="1183" spans="23:23" x14ac:dyDescent="0.2">
      <c r="W1183" s="631"/>
    </row>
    <row r="1184" spans="23:23" x14ac:dyDescent="0.2">
      <c r="W1184" s="631"/>
    </row>
    <row r="1185" spans="23:23" x14ac:dyDescent="0.2">
      <c r="W1185" s="631"/>
    </row>
    <row r="1186" spans="23:23" x14ac:dyDescent="0.2">
      <c r="W1186" s="631"/>
    </row>
    <row r="1187" spans="23:23" x14ac:dyDescent="0.2">
      <c r="W1187" s="631"/>
    </row>
    <row r="1188" spans="23:23" x14ac:dyDescent="0.2">
      <c r="W1188" s="631"/>
    </row>
    <row r="1189" spans="23:23" x14ac:dyDescent="0.2">
      <c r="W1189" s="631"/>
    </row>
    <row r="1190" spans="23:23" x14ac:dyDescent="0.2">
      <c r="W1190" s="631"/>
    </row>
    <row r="1191" spans="23:23" x14ac:dyDescent="0.2">
      <c r="W1191" s="631"/>
    </row>
    <row r="1192" spans="23:23" x14ac:dyDescent="0.2">
      <c r="W1192" s="631"/>
    </row>
    <row r="1193" spans="23:23" x14ac:dyDescent="0.2">
      <c r="W1193" s="631"/>
    </row>
    <row r="1194" spans="23:23" x14ac:dyDescent="0.2">
      <c r="W1194" s="631"/>
    </row>
    <row r="1195" spans="23:23" x14ac:dyDescent="0.2">
      <c r="W1195" s="631"/>
    </row>
    <row r="1196" spans="23:23" x14ac:dyDescent="0.2">
      <c r="W1196" s="631"/>
    </row>
    <row r="1197" spans="23:23" x14ac:dyDescent="0.2">
      <c r="W1197" s="631"/>
    </row>
    <row r="1198" spans="23:23" x14ac:dyDescent="0.2">
      <c r="W1198" s="631"/>
    </row>
    <row r="1199" spans="23:23" x14ac:dyDescent="0.2">
      <c r="W1199" s="631"/>
    </row>
    <row r="1200" spans="23:23" x14ac:dyDescent="0.2">
      <c r="W1200" s="631"/>
    </row>
    <row r="1201" spans="23:23" x14ac:dyDescent="0.2">
      <c r="W1201" s="631"/>
    </row>
    <row r="1202" spans="23:23" x14ac:dyDescent="0.2">
      <c r="W1202" s="631"/>
    </row>
    <row r="1203" spans="23:23" x14ac:dyDescent="0.2">
      <c r="W1203" s="631"/>
    </row>
    <row r="1204" spans="23:23" x14ac:dyDescent="0.2">
      <c r="W1204" s="631"/>
    </row>
    <row r="1205" spans="23:23" x14ac:dyDescent="0.2">
      <c r="W1205" s="631"/>
    </row>
    <row r="1206" spans="23:23" x14ac:dyDescent="0.2">
      <c r="W1206" s="631"/>
    </row>
    <row r="1207" spans="23:23" x14ac:dyDescent="0.2">
      <c r="W1207" s="631"/>
    </row>
    <row r="1208" spans="23:23" x14ac:dyDescent="0.2">
      <c r="W1208" s="631"/>
    </row>
    <row r="1209" spans="23:23" x14ac:dyDescent="0.2">
      <c r="W1209" s="631"/>
    </row>
    <row r="1210" spans="23:23" x14ac:dyDescent="0.2">
      <c r="W1210" s="631"/>
    </row>
    <row r="1211" spans="23:23" x14ac:dyDescent="0.2">
      <c r="W1211" s="631"/>
    </row>
    <row r="1212" spans="23:23" x14ac:dyDescent="0.2">
      <c r="W1212" s="631"/>
    </row>
    <row r="1213" spans="23:23" x14ac:dyDescent="0.2">
      <c r="W1213" s="631"/>
    </row>
    <row r="1214" spans="23:23" x14ac:dyDescent="0.2">
      <c r="W1214" s="631"/>
    </row>
    <row r="1215" spans="23:23" x14ac:dyDescent="0.2">
      <c r="W1215" s="631"/>
    </row>
    <row r="1216" spans="23:23" x14ac:dyDescent="0.2">
      <c r="W1216" s="631"/>
    </row>
    <row r="1217" spans="23:23" x14ac:dyDescent="0.2">
      <c r="W1217" s="631"/>
    </row>
    <row r="1218" spans="23:23" x14ac:dyDescent="0.2">
      <c r="W1218" s="631"/>
    </row>
    <row r="1219" spans="23:23" x14ac:dyDescent="0.2">
      <c r="W1219" s="631"/>
    </row>
    <row r="1220" spans="23:23" x14ac:dyDescent="0.2">
      <c r="W1220" s="631"/>
    </row>
    <row r="1221" spans="23:23" x14ac:dyDescent="0.2">
      <c r="W1221" s="631"/>
    </row>
    <row r="1222" spans="23:23" x14ac:dyDescent="0.2">
      <c r="W1222" s="631"/>
    </row>
    <row r="1223" spans="23:23" x14ac:dyDescent="0.2">
      <c r="W1223" s="631"/>
    </row>
    <row r="1224" spans="23:23" x14ac:dyDescent="0.2">
      <c r="W1224" s="631"/>
    </row>
    <row r="1225" spans="23:23" x14ac:dyDescent="0.2">
      <c r="W1225" s="631"/>
    </row>
    <row r="1226" spans="23:23" x14ac:dyDescent="0.2">
      <c r="W1226" s="631"/>
    </row>
    <row r="1227" spans="23:23" x14ac:dyDescent="0.2">
      <c r="W1227" s="631"/>
    </row>
    <row r="1228" spans="23:23" x14ac:dyDescent="0.2">
      <c r="W1228" s="631"/>
    </row>
    <row r="1229" spans="23:23" x14ac:dyDescent="0.2">
      <c r="W1229" s="631"/>
    </row>
    <row r="1230" spans="23:23" x14ac:dyDescent="0.2">
      <c r="W1230" s="631"/>
    </row>
    <row r="1231" spans="23:23" x14ac:dyDescent="0.2">
      <c r="W1231" s="631"/>
    </row>
    <row r="1232" spans="23:23" x14ac:dyDescent="0.2">
      <c r="W1232" s="631"/>
    </row>
    <row r="1233" spans="23:23" x14ac:dyDescent="0.2">
      <c r="W1233" s="631"/>
    </row>
    <row r="1234" spans="23:23" x14ac:dyDescent="0.2">
      <c r="W1234" s="631"/>
    </row>
    <row r="1235" spans="23:23" x14ac:dyDescent="0.2">
      <c r="W1235" s="631"/>
    </row>
    <row r="1236" spans="23:23" x14ac:dyDescent="0.2">
      <c r="W1236" s="631"/>
    </row>
    <row r="1237" spans="23:23" x14ac:dyDescent="0.2">
      <c r="W1237" s="631"/>
    </row>
    <row r="1238" spans="23:23" x14ac:dyDescent="0.2">
      <c r="W1238" s="631"/>
    </row>
    <row r="1239" spans="23:23" x14ac:dyDescent="0.2">
      <c r="W1239" s="631"/>
    </row>
    <row r="1240" spans="23:23" x14ac:dyDescent="0.2">
      <c r="W1240" s="631"/>
    </row>
    <row r="1241" spans="23:23" x14ac:dyDescent="0.2">
      <c r="W1241" s="631"/>
    </row>
    <row r="1242" spans="23:23" x14ac:dyDescent="0.2">
      <c r="W1242" s="631"/>
    </row>
    <row r="1243" spans="23:23" x14ac:dyDescent="0.2">
      <c r="W1243" s="631"/>
    </row>
    <row r="1244" spans="23:23" x14ac:dyDescent="0.2">
      <c r="W1244" s="631"/>
    </row>
    <row r="1245" spans="23:23" x14ac:dyDescent="0.2">
      <c r="W1245" s="631"/>
    </row>
    <row r="1246" spans="23:23" x14ac:dyDescent="0.2">
      <c r="W1246" s="631"/>
    </row>
    <row r="1247" spans="23:23" x14ac:dyDescent="0.2">
      <c r="W1247" s="631"/>
    </row>
    <row r="1248" spans="23:23" x14ac:dyDescent="0.2">
      <c r="W1248" s="631"/>
    </row>
    <row r="1249" spans="23:23" x14ac:dyDescent="0.2">
      <c r="W1249" s="631"/>
    </row>
    <row r="1250" spans="23:23" x14ac:dyDescent="0.2">
      <c r="W1250" s="631"/>
    </row>
    <row r="1251" spans="23:23" x14ac:dyDescent="0.2">
      <c r="W1251" s="631"/>
    </row>
    <row r="1252" spans="23:23" x14ac:dyDescent="0.2">
      <c r="W1252" s="631"/>
    </row>
    <row r="1253" spans="23:23" x14ac:dyDescent="0.2">
      <c r="W1253" s="631"/>
    </row>
    <row r="1254" spans="23:23" x14ac:dyDescent="0.2">
      <c r="W1254" s="631"/>
    </row>
    <row r="1255" spans="23:23" x14ac:dyDescent="0.2">
      <c r="W1255" s="631"/>
    </row>
    <row r="1256" spans="23:23" x14ac:dyDescent="0.2">
      <c r="W1256" s="631"/>
    </row>
    <row r="1257" spans="23:23" x14ac:dyDescent="0.2">
      <c r="W1257" s="631"/>
    </row>
    <row r="1258" spans="23:23" x14ac:dyDescent="0.2">
      <c r="W1258" s="631"/>
    </row>
    <row r="1259" spans="23:23" x14ac:dyDescent="0.2">
      <c r="W1259" s="631"/>
    </row>
    <row r="1260" spans="23:23" x14ac:dyDescent="0.2">
      <c r="W1260" s="631"/>
    </row>
    <row r="1261" spans="23:23" x14ac:dyDescent="0.2">
      <c r="W1261" s="631"/>
    </row>
    <row r="1262" spans="23:23" x14ac:dyDescent="0.2">
      <c r="W1262" s="631"/>
    </row>
    <row r="1263" spans="23:23" x14ac:dyDescent="0.2">
      <c r="W1263" s="631"/>
    </row>
    <row r="1264" spans="23:23" x14ac:dyDescent="0.2">
      <c r="W1264" s="631"/>
    </row>
    <row r="1265" spans="23:23" x14ac:dyDescent="0.2">
      <c r="W1265" s="631"/>
    </row>
    <row r="1266" spans="23:23" x14ac:dyDescent="0.2">
      <c r="W1266" s="631"/>
    </row>
    <row r="1267" spans="23:23" x14ac:dyDescent="0.2">
      <c r="W1267" s="631"/>
    </row>
    <row r="1268" spans="23:23" x14ac:dyDescent="0.2">
      <c r="W1268" s="631"/>
    </row>
    <row r="1269" spans="23:23" x14ac:dyDescent="0.2">
      <c r="W1269" s="631"/>
    </row>
    <row r="1270" spans="23:23" x14ac:dyDescent="0.2">
      <c r="W1270" s="631"/>
    </row>
    <row r="1271" spans="23:23" x14ac:dyDescent="0.2">
      <c r="W1271" s="631"/>
    </row>
    <row r="1272" spans="23:23" x14ac:dyDescent="0.2">
      <c r="W1272" s="631"/>
    </row>
    <row r="1273" spans="23:23" x14ac:dyDescent="0.2">
      <c r="W1273" s="631"/>
    </row>
    <row r="1274" spans="23:23" x14ac:dyDescent="0.2">
      <c r="W1274" s="631"/>
    </row>
    <row r="1275" spans="23:23" x14ac:dyDescent="0.2">
      <c r="W1275" s="631"/>
    </row>
    <row r="1276" spans="23:23" x14ac:dyDescent="0.2">
      <c r="W1276" s="631"/>
    </row>
    <row r="1277" spans="23:23" x14ac:dyDescent="0.2">
      <c r="W1277" s="631"/>
    </row>
    <row r="1278" spans="23:23" x14ac:dyDescent="0.2">
      <c r="W1278" s="631"/>
    </row>
    <row r="1279" spans="23:23" x14ac:dyDescent="0.2">
      <c r="W1279" s="631"/>
    </row>
    <row r="1280" spans="23:23" x14ac:dyDescent="0.2">
      <c r="W1280" s="631"/>
    </row>
    <row r="1281" spans="23:23" x14ac:dyDescent="0.2">
      <c r="W1281" s="631"/>
    </row>
    <row r="1282" spans="23:23" x14ac:dyDescent="0.2">
      <c r="W1282" s="631"/>
    </row>
    <row r="1283" spans="23:23" x14ac:dyDescent="0.2">
      <c r="W1283" s="631"/>
    </row>
    <row r="1284" spans="23:23" x14ac:dyDescent="0.2">
      <c r="W1284" s="631"/>
    </row>
    <row r="1285" spans="23:23" x14ac:dyDescent="0.2">
      <c r="W1285" s="631"/>
    </row>
    <row r="1286" spans="23:23" x14ac:dyDescent="0.2">
      <c r="W1286" s="631"/>
    </row>
    <row r="1287" spans="23:23" x14ac:dyDescent="0.2">
      <c r="W1287" s="631"/>
    </row>
    <row r="1288" spans="23:23" x14ac:dyDescent="0.2">
      <c r="W1288" s="631"/>
    </row>
    <row r="1289" spans="23:23" x14ac:dyDescent="0.2">
      <c r="W1289" s="631"/>
    </row>
    <row r="1290" spans="23:23" x14ac:dyDescent="0.2">
      <c r="W1290" s="631"/>
    </row>
    <row r="1291" spans="23:23" x14ac:dyDescent="0.2">
      <c r="W1291" s="631"/>
    </row>
    <row r="1292" spans="23:23" x14ac:dyDescent="0.2">
      <c r="W1292" s="631"/>
    </row>
    <row r="1293" spans="23:23" x14ac:dyDescent="0.2">
      <c r="W1293" s="631"/>
    </row>
    <row r="1294" spans="23:23" x14ac:dyDescent="0.2">
      <c r="W1294" s="631"/>
    </row>
    <row r="1295" spans="23:23" x14ac:dyDescent="0.2">
      <c r="W1295" s="631"/>
    </row>
    <row r="1296" spans="23:23" x14ac:dyDescent="0.2">
      <c r="W1296" s="631"/>
    </row>
    <row r="1297" spans="23:23" x14ac:dyDescent="0.2">
      <c r="W1297" s="631"/>
    </row>
    <row r="1298" spans="23:23" x14ac:dyDescent="0.2">
      <c r="W1298" s="631"/>
    </row>
    <row r="1299" spans="23:23" x14ac:dyDescent="0.2">
      <c r="W1299" s="631"/>
    </row>
    <row r="1300" spans="23:23" x14ac:dyDescent="0.2">
      <c r="W1300" s="631"/>
    </row>
    <row r="1301" spans="23:23" x14ac:dyDescent="0.2">
      <c r="W1301" s="631"/>
    </row>
    <row r="1302" spans="23:23" x14ac:dyDescent="0.2">
      <c r="W1302" s="631"/>
    </row>
    <row r="1303" spans="23:23" x14ac:dyDescent="0.2">
      <c r="W1303" s="631"/>
    </row>
    <row r="1304" spans="23:23" x14ac:dyDescent="0.2">
      <c r="W1304" s="631"/>
    </row>
    <row r="1305" spans="23:23" x14ac:dyDescent="0.2">
      <c r="W1305" s="631"/>
    </row>
    <row r="1306" spans="23:23" x14ac:dyDescent="0.2">
      <c r="W1306" s="631"/>
    </row>
    <row r="1307" spans="23:23" x14ac:dyDescent="0.2">
      <c r="W1307" s="631"/>
    </row>
    <row r="1308" spans="23:23" x14ac:dyDescent="0.2">
      <c r="W1308" s="631"/>
    </row>
    <row r="1309" spans="23:23" x14ac:dyDescent="0.2">
      <c r="W1309" s="631"/>
    </row>
    <row r="1310" spans="23:23" x14ac:dyDescent="0.2">
      <c r="W1310" s="631"/>
    </row>
    <row r="1311" spans="23:23" x14ac:dyDescent="0.2">
      <c r="W1311" s="631"/>
    </row>
    <row r="1312" spans="23:23" x14ac:dyDescent="0.2">
      <c r="W1312" s="631"/>
    </row>
    <row r="1313" spans="23:23" x14ac:dyDescent="0.2">
      <c r="W1313" s="631"/>
    </row>
    <row r="1314" spans="23:23" x14ac:dyDescent="0.2">
      <c r="W1314" s="631"/>
    </row>
    <row r="1315" spans="23:23" x14ac:dyDescent="0.2">
      <c r="W1315" s="631"/>
    </row>
    <row r="1316" spans="23:23" x14ac:dyDescent="0.2">
      <c r="W1316" s="631"/>
    </row>
    <row r="1317" spans="23:23" x14ac:dyDescent="0.2">
      <c r="W1317" s="631"/>
    </row>
    <row r="1318" spans="23:23" x14ac:dyDescent="0.2">
      <c r="W1318" s="631"/>
    </row>
    <row r="1319" spans="23:23" x14ac:dyDescent="0.2">
      <c r="W1319" s="631"/>
    </row>
    <row r="1320" spans="23:23" x14ac:dyDescent="0.2">
      <c r="W1320" s="631"/>
    </row>
    <row r="1321" spans="23:23" x14ac:dyDescent="0.2">
      <c r="W1321" s="631"/>
    </row>
    <row r="1322" spans="23:23" x14ac:dyDescent="0.2">
      <c r="W1322" s="631"/>
    </row>
    <row r="1323" spans="23:23" x14ac:dyDescent="0.2">
      <c r="W1323" s="631"/>
    </row>
    <row r="1324" spans="23:23" x14ac:dyDescent="0.2">
      <c r="W1324" s="631"/>
    </row>
    <row r="1325" spans="23:23" x14ac:dyDescent="0.2">
      <c r="W1325" s="631"/>
    </row>
    <row r="1326" spans="23:23" x14ac:dyDescent="0.2">
      <c r="W1326" s="631"/>
    </row>
    <row r="1327" spans="23:23" x14ac:dyDescent="0.2">
      <c r="W1327" s="631"/>
    </row>
    <row r="1328" spans="23:23" x14ac:dyDescent="0.2">
      <c r="W1328" s="631"/>
    </row>
    <row r="1329" spans="23:23" x14ac:dyDescent="0.2">
      <c r="W1329" s="631"/>
    </row>
    <row r="1330" spans="23:23" x14ac:dyDescent="0.2">
      <c r="W1330" s="631"/>
    </row>
    <row r="1331" spans="23:23" x14ac:dyDescent="0.2">
      <c r="W1331" s="631"/>
    </row>
    <row r="1332" spans="23:23" x14ac:dyDescent="0.2">
      <c r="W1332" s="631"/>
    </row>
    <row r="1333" spans="23:23" x14ac:dyDescent="0.2">
      <c r="W1333" s="631"/>
    </row>
    <row r="1334" spans="23:23" x14ac:dyDescent="0.2">
      <c r="W1334" s="631"/>
    </row>
    <row r="1335" spans="23:23" x14ac:dyDescent="0.2">
      <c r="W1335" s="631"/>
    </row>
    <row r="1336" spans="23:23" x14ac:dyDescent="0.2">
      <c r="W1336" s="631"/>
    </row>
    <row r="1337" spans="23:23" x14ac:dyDescent="0.2">
      <c r="W1337" s="631"/>
    </row>
    <row r="1338" spans="23:23" x14ac:dyDescent="0.2">
      <c r="W1338" s="631"/>
    </row>
    <row r="1339" spans="23:23" x14ac:dyDescent="0.2">
      <c r="W1339" s="631"/>
    </row>
    <row r="1340" spans="23:23" x14ac:dyDescent="0.2">
      <c r="W1340" s="631"/>
    </row>
    <row r="1341" spans="23:23" x14ac:dyDescent="0.2">
      <c r="W1341" s="631"/>
    </row>
    <row r="1342" spans="23:23" x14ac:dyDescent="0.2">
      <c r="W1342" s="631"/>
    </row>
    <row r="1343" spans="23:23" x14ac:dyDescent="0.2">
      <c r="W1343" s="631"/>
    </row>
    <row r="1344" spans="23:23" x14ac:dyDescent="0.2">
      <c r="W1344" s="631"/>
    </row>
    <row r="1345" spans="23:23" x14ac:dyDescent="0.2">
      <c r="W1345" s="631"/>
    </row>
    <row r="1346" spans="23:23" x14ac:dyDescent="0.2">
      <c r="W1346" s="631"/>
    </row>
    <row r="1347" spans="23:23" x14ac:dyDescent="0.2">
      <c r="W1347" s="631"/>
    </row>
    <row r="1348" spans="23:23" x14ac:dyDescent="0.2">
      <c r="W1348" s="631"/>
    </row>
    <row r="1349" spans="23:23" x14ac:dyDescent="0.2">
      <c r="W1349" s="631"/>
    </row>
    <row r="1350" spans="23:23" x14ac:dyDescent="0.2">
      <c r="W1350" s="631"/>
    </row>
    <row r="1351" spans="23:23" x14ac:dyDescent="0.2">
      <c r="W1351" s="631"/>
    </row>
    <row r="1352" spans="23:23" x14ac:dyDescent="0.2">
      <c r="W1352" s="631"/>
    </row>
    <row r="1353" spans="23:23" x14ac:dyDescent="0.2">
      <c r="W1353" s="631"/>
    </row>
    <row r="1354" spans="23:23" x14ac:dyDescent="0.2">
      <c r="W1354" s="631"/>
    </row>
    <row r="1355" spans="23:23" x14ac:dyDescent="0.2">
      <c r="W1355" s="631"/>
    </row>
    <row r="1356" spans="23:23" x14ac:dyDescent="0.2">
      <c r="W1356" s="631"/>
    </row>
    <row r="1357" spans="23:23" x14ac:dyDescent="0.2">
      <c r="W1357" s="631"/>
    </row>
    <row r="1358" spans="23:23" x14ac:dyDescent="0.2">
      <c r="W1358" s="631"/>
    </row>
    <row r="1359" spans="23:23" x14ac:dyDescent="0.2">
      <c r="W1359" s="631"/>
    </row>
    <row r="1360" spans="23:23" x14ac:dyDescent="0.2">
      <c r="W1360" s="631"/>
    </row>
    <row r="1361" spans="23:23" x14ac:dyDescent="0.2">
      <c r="W1361" s="631"/>
    </row>
    <row r="1362" spans="23:23" x14ac:dyDescent="0.2">
      <c r="W1362" s="631"/>
    </row>
    <row r="1363" spans="23:23" x14ac:dyDescent="0.2">
      <c r="W1363" s="631"/>
    </row>
    <row r="1364" spans="23:23" x14ac:dyDescent="0.2">
      <c r="W1364" s="631"/>
    </row>
    <row r="1365" spans="23:23" x14ac:dyDescent="0.2">
      <c r="W1365" s="631"/>
    </row>
    <row r="1366" spans="23:23" x14ac:dyDescent="0.2">
      <c r="W1366" s="631"/>
    </row>
    <row r="1367" spans="23:23" x14ac:dyDescent="0.2">
      <c r="W1367" s="631"/>
    </row>
    <row r="1368" spans="23:23" x14ac:dyDescent="0.2">
      <c r="W1368" s="631"/>
    </row>
    <row r="1369" spans="23:23" x14ac:dyDescent="0.2">
      <c r="W1369" s="631"/>
    </row>
    <row r="1370" spans="23:23" x14ac:dyDescent="0.2">
      <c r="W1370" s="631"/>
    </row>
    <row r="1371" spans="23:23" x14ac:dyDescent="0.2">
      <c r="W1371" s="631"/>
    </row>
    <row r="1372" spans="23:23" x14ac:dyDescent="0.2">
      <c r="W1372" s="631"/>
    </row>
    <row r="1373" spans="23:23" x14ac:dyDescent="0.2">
      <c r="W1373" s="631"/>
    </row>
    <row r="1374" spans="23:23" x14ac:dyDescent="0.2">
      <c r="W1374" s="631"/>
    </row>
    <row r="1375" spans="23:23" x14ac:dyDescent="0.2">
      <c r="W1375" s="631"/>
    </row>
    <row r="1376" spans="23:23" x14ac:dyDescent="0.2">
      <c r="W1376" s="631"/>
    </row>
    <row r="1377" spans="23:23" x14ac:dyDescent="0.2">
      <c r="W1377" s="631"/>
    </row>
    <row r="1378" spans="23:23" x14ac:dyDescent="0.2">
      <c r="W1378" s="631"/>
    </row>
    <row r="1379" spans="23:23" x14ac:dyDescent="0.2">
      <c r="W1379" s="631"/>
    </row>
    <row r="1380" spans="23:23" x14ac:dyDescent="0.2">
      <c r="W1380" s="631"/>
    </row>
    <row r="1381" spans="23:23" x14ac:dyDescent="0.2">
      <c r="W1381" s="631"/>
    </row>
    <row r="1382" spans="23:23" x14ac:dyDescent="0.2">
      <c r="W1382" s="631"/>
    </row>
    <row r="1383" spans="23:23" x14ac:dyDescent="0.2">
      <c r="W1383" s="631"/>
    </row>
    <row r="1384" spans="23:23" x14ac:dyDescent="0.2">
      <c r="W1384" s="631"/>
    </row>
    <row r="1385" spans="23:23" x14ac:dyDescent="0.2">
      <c r="W1385" s="631"/>
    </row>
    <row r="1386" spans="23:23" x14ac:dyDescent="0.2">
      <c r="W1386" s="631"/>
    </row>
    <row r="1387" spans="23:23" x14ac:dyDescent="0.2">
      <c r="W1387" s="631"/>
    </row>
    <row r="1388" spans="23:23" x14ac:dyDescent="0.2">
      <c r="W1388" s="631"/>
    </row>
    <row r="1389" spans="23:23" x14ac:dyDescent="0.2">
      <c r="W1389" s="631"/>
    </row>
    <row r="1390" spans="23:23" x14ac:dyDescent="0.2">
      <c r="W1390" s="631"/>
    </row>
    <row r="1391" spans="23:23" x14ac:dyDescent="0.2">
      <c r="W1391" s="631"/>
    </row>
    <row r="1392" spans="23:23" x14ac:dyDescent="0.2">
      <c r="W1392" s="631"/>
    </row>
    <row r="1393" spans="23:23" x14ac:dyDescent="0.2">
      <c r="W1393" s="631"/>
    </row>
    <row r="1394" spans="23:23" x14ac:dyDescent="0.2">
      <c r="W1394" s="631"/>
    </row>
    <row r="1395" spans="23:23" x14ac:dyDescent="0.2">
      <c r="W1395" s="631"/>
    </row>
    <row r="1396" spans="23:23" x14ac:dyDescent="0.2">
      <c r="W1396" s="631"/>
    </row>
    <row r="1397" spans="23:23" x14ac:dyDescent="0.2">
      <c r="W1397" s="631"/>
    </row>
    <row r="1398" spans="23:23" x14ac:dyDescent="0.2">
      <c r="W1398" s="631"/>
    </row>
    <row r="1399" spans="23:23" x14ac:dyDescent="0.2">
      <c r="W1399" s="631"/>
    </row>
    <row r="1400" spans="23:23" x14ac:dyDescent="0.2">
      <c r="W1400" s="631"/>
    </row>
    <row r="1401" spans="23:23" x14ac:dyDescent="0.2">
      <c r="W1401" s="631"/>
    </row>
    <row r="1402" spans="23:23" x14ac:dyDescent="0.2">
      <c r="W1402" s="631"/>
    </row>
    <row r="1403" spans="23:23" x14ac:dyDescent="0.2">
      <c r="W1403" s="631"/>
    </row>
    <row r="1404" spans="23:23" x14ac:dyDescent="0.2">
      <c r="W1404" s="631"/>
    </row>
    <row r="1405" spans="23:23" x14ac:dyDescent="0.2">
      <c r="W1405" s="631"/>
    </row>
    <row r="1406" spans="23:23" x14ac:dyDescent="0.2">
      <c r="W1406" s="631"/>
    </row>
    <row r="1407" spans="23:23" x14ac:dyDescent="0.2">
      <c r="W1407" s="631"/>
    </row>
    <row r="1408" spans="23:23" x14ac:dyDescent="0.2">
      <c r="W1408" s="631"/>
    </row>
    <row r="1409" spans="23:23" x14ac:dyDescent="0.2">
      <c r="W1409" s="631"/>
    </row>
    <row r="1410" spans="23:23" x14ac:dyDescent="0.2">
      <c r="W1410" s="631"/>
    </row>
    <row r="1411" spans="23:23" x14ac:dyDescent="0.2">
      <c r="W1411" s="631"/>
    </row>
    <row r="1412" spans="23:23" x14ac:dyDescent="0.2">
      <c r="W1412" s="631"/>
    </row>
    <row r="1413" spans="23:23" x14ac:dyDescent="0.2">
      <c r="W1413" s="631"/>
    </row>
    <row r="1414" spans="23:23" x14ac:dyDescent="0.2">
      <c r="W1414" s="631"/>
    </row>
    <row r="1415" spans="23:23" x14ac:dyDescent="0.2">
      <c r="W1415" s="631"/>
    </row>
    <row r="1416" spans="23:23" x14ac:dyDescent="0.2">
      <c r="W1416" s="631"/>
    </row>
    <row r="1417" spans="23:23" x14ac:dyDescent="0.2">
      <c r="W1417" s="631"/>
    </row>
    <row r="1418" spans="23:23" x14ac:dyDescent="0.2">
      <c r="W1418" s="631"/>
    </row>
    <row r="1419" spans="23:23" x14ac:dyDescent="0.2">
      <c r="W1419" s="631"/>
    </row>
    <row r="1420" spans="23:23" x14ac:dyDescent="0.2">
      <c r="W1420" s="631"/>
    </row>
    <row r="1421" spans="23:23" x14ac:dyDescent="0.2">
      <c r="W1421" s="631"/>
    </row>
    <row r="1422" spans="23:23" x14ac:dyDescent="0.2">
      <c r="W1422" s="631"/>
    </row>
    <row r="1423" spans="23:23" x14ac:dyDescent="0.2">
      <c r="W1423" s="631"/>
    </row>
    <row r="1424" spans="23:23" x14ac:dyDescent="0.2">
      <c r="W1424" s="631"/>
    </row>
    <row r="1425" spans="23:23" x14ac:dyDescent="0.2">
      <c r="W1425" s="631"/>
    </row>
    <row r="1426" spans="23:23" x14ac:dyDescent="0.2">
      <c r="W1426" s="631"/>
    </row>
    <row r="1427" spans="23:23" x14ac:dyDescent="0.2">
      <c r="W1427" s="631"/>
    </row>
    <row r="1428" spans="23:23" x14ac:dyDescent="0.2">
      <c r="W1428" s="631"/>
    </row>
    <row r="1429" spans="23:23" x14ac:dyDescent="0.2">
      <c r="W1429" s="631"/>
    </row>
    <row r="1430" spans="23:23" x14ac:dyDescent="0.2">
      <c r="W1430" s="631"/>
    </row>
    <row r="1431" spans="23:23" x14ac:dyDescent="0.2">
      <c r="W1431" s="631"/>
    </row>
    <row r="1432" spans="23:23" x14ac:dyDescent="0.2">
      <c r="W1432" s="631"/>
    </row>
    <row r="1433" spans="23:23" x14ac:dyDescent="0.2">
      <c r="W1433" s="631"/>
    </row>
    <row r="1434" spans="23:23" x14ac:dyDescent="0.2">
      <c r="W1434" s="631"/>
    </row>
    <row r="1435" spans="23:23" x14ac:dyDescent="0.2">
      <c r="W1435" s="631"/>
    </row>
    <row r="1436" spans="23:23" x14ac:dyDescent="0.2">
      <c r="W1436" s="631"/>
    </row>
    <row r="1437" spans="23:23" x14ac:dyDescent="0.2">
      <c r="W1437" s="631"/>
    </row>
    <row r="1438" spans="23:23" x14ac:dyDescent="0.2">
      <c r="W1438" s="631"/>
    </row>
    <row r="1439" spans="23:23" x14ac:dyDescent="0.2">
      <c r="W1439" s="631"/>
    </row>
    <row r="1440" spans="23:23" x14ac:dyDescent="0.2">
      <c r="W1440" s="631"/>
    </row>
    <row r="1441" spans="23:23" x14ac:dyDescent="0.2">
      <c r="W1441" s="631"/>
    </row>
    <row r="1442" spans="23:23" x14ac:dyDescent="0.2">
      <c r="W1442" s="631"/>
    </row>
    <row r="1443" spans="23:23" x14ac:dyDescent="0.2">
      <c r="W1443" s="631"/>
    </row>
    <row r="1444" spans="23:23" x14ac:dyDescent="0.2">
      <c r="W1444" s="631"/>
    </row>
    <row r="1445" spans="23:23" x14ac:dyDescent="0.2">
      <c r="W1445" s="631"/>
    </row>
    <row r="1446" spans="23:23" x14ac:dyDescent="0.2">
      <c r="W1446" s="631"/>
    </row>
    <row r="1447" spans="23:23" x14ac:dyDescent="0.2">
      <c r="W1447" s="631"/>
    </row>
    <row r="1448" spans="23:23" x14ac:dyDescent="0.2">
      <c r="W1448" s="631"/>
    </row>
    <row r="1449" spans="23:23" x14ac:dyDescent="0.2">
      <c r="W1449" s="631"/>
    </row>
    <row r="1450" spans="23:23" x14ac:dyDescent="0.2">
      <c r="W1450" s="631"/>
    </row>
    <row r="1451" spans="23:23" x14ac:dyDescent="0.2">
      <c r="W1451" s="631"/>
    </row>
    <row r="1452" spans="23:23" x14ac:dyDescent="0.2">
      <c r="W1452" s="631"/>
    </row>
    <row r="1453" spans="23:23" x14ac:dyDescent="0.2">
      <c r="W1453" s="631"/>
    </row>
    <row r="1454" spans="23:23" x14ac:dyDescent="0.2">
      <c r="W1454" s="631"/>
    </row>
    <row r="1455" spans="23:23" x14ac:dyDescent="0.2">
      <c r="W1455" s="631"/>
    </row>
    <row r="1456" spans="23:23" x14ac:dyDescent="0.2">
      <c r="W1456" s="631"/>
    </row>
    <row r="1457" spans="23:23" x14ac:dyDescent="0.2">
      <c r="W1457" s="631"/>
    </row>
    <row r="1458" spans="23:23" x14ac:dyDescent="0.2">
      <c r="W1458" s="631"/>
    </row>
    <row r="1459" spans="23:23" x14ac:dyDescent="0.2">
      <c r="W1459" s="631"/>
    </row>
    <row r="1460" spans="23:23" x14ac:dyDescent="0.2">
      <c r="W1460" s="631"/>
    </row>
    <row r="1461" spans="23:23" x14ac:dyDescent="0.2">
      <c r="W1461" s="631"/>
    </row>
    <row r="1462" spans="23:23" x14ac:dyDescent="0.2">
      <c r="W1462" s="631"/>
    </row>
    <row r="1463" spans="23:23" x14ac:dyDescent="0.2">
      <c r="W1463" s="631"/>
    </row>
    <row r="1464" spans="23:23" x14ac:dyDescent="0.2">
      <c r="W1464" s="631"/>
    </row>
    <row r="1465" spans="23:23" x14ac:dyDescent="0.2">
      <c r="W1465" s="631"/>
    </row>
    <row r="1466" spans="23:23" x14ac:dyDescent="0.2">
      <c r="W1466" s="631"/>
    </row>
    <row r="1467" spans="23:23" x14ac:dyDescent="0.2">
      <c r="W1467" s="631"/>
    </row>
    <row r="1468" spans="23:23" x14ac:dyDescent="0.2">
      <c r="W1468" s="631"/>
    </row>
    <row r="1469" spans="23:23" x14ac:dyDescent="0.2">
      <c r="W1469" s="631"/>
    </row>
    <row r="1470" spans="23:23" x14ac:dyDescent="0.2">
      <c r="W1470" s="631"/>
    </row>
    <row r="1471" spans="23:23" x14ac:dyDescent="0.2">
      <c r="W1471" s="631"/>
    </row>
    <row r="1472" spans="23:23" x14ac:dyDescent="0.2">
      <c r="W1472" s="631"/>
    </row>
    <row r="1473" spans="23:23" x14ac:dyDescent="0.2">
      <c r="W1473" s="631"/>
    </row>
    <row r="1474" spans="23:23" x14ac:dyDescent="0.2">
      <c r="W1474" s="631"/>
    </row>
    <row r="1475" spans="23:23" x14ac:dyDescent="0.2">
      <c r="W1475" s="631"/>
    </row>
    <row r="1476" spans="23:23" x14ac:dyDescent="0.2">
      <c r="W1476" s="631"/>
    </row>
    <row r="1477" spans="23:23" x14ac:dyDescent="0.2">
      <c r="W1477" s="631"/>
    </row>
    <row r="1478" spans="23:23" x14ac:dyDescent="0.2">
      <c r="W1478" s="631"/>
    </row>
    <row r="1479" spans="23:23" x14ac:dyDescent="0.2">
      <c r="W1479" s="631"/>
    </row>
    <row r="1480" spans="23:23" x14ac:dyDescent="0.2">
      <c r="W1480" s="631"/>
    </row>
    <row r="1481" spans="23:23" x14ac:dyDescent="0.2">
      <c r="W1481" s="631"/>
    </row>
    <row r="1482" spans="23:23" x14ac:dyDescent="0.2">
      <c r="W1482" s="631"/>
    </row>
    <row r="1483" spans="23:23" x14ac:dyDescent="0.2">
      <c r="W1483" s="631"/>
    </row>
    <row r="1484" spans="23:23" x14ac:dyDescent="0.2">
      <c r="W1484" s="631"/>
    </row>
    <row r="1485" spans="23:23" x14ac:dyDescent="0.2">
      <c r="W1485" s="631"/>
    </row>
    <row r="1486" spans="23:23" x14ac:dyDescent="0.2">
      <c r="W1486" s="631"/>
    </row>
    <row r="1487" spans="23:23" x14ac:dyDescent="0.2">
      <c r="W1487" s="631"/>
    </row>
    <row r="1488" spans="23:23" x14ac:dyDescent="0.2">
      <c r="W1488" s="631"/>
    </row>
    <row r="1489" spans="23:23" x14ac:dyDescent="0.2">
      <c r="W1489" s="631"/>
    </row>
    <row r="1490" spans="23:23" x14ac:dyDescent="0.2">
      <c r="W1490" s="631"/>
    </row>
    <row r="1491" spans="23:23" x14ac:dyDescent="0.2">
      <c r="W1491" s="631"/>
    </row>
    <row r="1492" spans="23:23" x14ac:dyDescent="0.2">
      <c r="W1492" s="631"/>
    </row>
    <row r="1493" spans="23:23" x14ac:dyDescent="0.2">
      <c r="W1493" s="631"/>
    </row>
    <row r="1494" spans="23:23" x14ac:dyDescent="0.2">
      <c r="W1494" s="631"/>
    </row>
    <row r="1495" spans="23:23" x14ac:dyDescent="0.2">
      <c r="W1495" s="631"/>
    </row>
    <row r="1496" spans="23:23" x14ac:dyDescent="0.2">
      <c r="W1496" s="631"/>
    </row>
    <row r="1497" spans="23:23" x14ac:dyDescent="0.2">
      <c r="W1497" s="631"/>
    </row>
    <row r="1498" spans="23:23" x14ac:dyDescent="0.2">
      <c r="W1498" s="631"/>
    </row>
    <row r="1499" spans="23:23" x14ac:dyDescent="0.2">
      <c r="W1499" s="631"/>
    </row>
    <row r="1500" spans="23:23" x14ac:dyDescent="0.2">
      <c r="W1500" s="631"/>
    </row>
    <row r="1501" spans="23:23" x14ac:dyDescent="0.2">
      <c r="W1501" s="631"/>
    </row>
    <row r="1502" spans="23:23" x14ac:dyDescent="0.2">
      <c r="W1502" s="631"/>
    </row>
    <row r="1503" spans="23:23" x14ac:dyDescent="0.2">
      <c r="W1503" s="631"/>
    </row>
    <row r="1504" spans="23:23" x14ac:dyDescent="0.2">
      <c r="W1504" s="631"/>
    </row>
    <row r="1505" spans="23:23" x14ac:dyDescent="0.2">
      <c r="W1505" s="631"/>
    </row>
    <row r="1506" spans="23:23" x14ac:dyDescent="0.2">
      <c r="W1506" s="631"/>
    </row>
    <row r="1507" spans="23:23" x14ac:dyDescent="0.2">
      <c r="W1507" s="631"/>
    </row>
    <row r="1508" spans="23:23" x14ac:dyDescent="0.2">
      <c r="W1508" s="631"/>
    </row>
    <row r="1509" spans="23:23" x14ac:dyDescent="0.2">
      <c r="W1509" s="631"/>
    </row>
    <row r="1510" spans="23:23" x14ac:dyDescent="0.2">
      <c r="W1510" s="631"/>
    </row>
    <row r="1511" spans="23:23" x14ac:dyDescent="0.2">
      <c r="W1511" s="631"/>
    </row>
    <row r="1512" spans="23:23" x14ac:dyDescent="0.2">
      <c r="W1512" s="631"/>
    </row>
    <row r="1513" spans="23:23" x14ac:dyDescent="0.2">
      <c r="W1513" s="631"/>
    </row>
    <row r="1514" spans="23:23" x14ac:dyDescent="0.2">
      <c r="W1514" s="631"/>
    </row>
    <row r="1515" spans="23:23" x14ac:dyDescent="0.2">
      <c r="W1515" s="631"/>
    </row>
    <row r="1516" spans="23:23" x14ac:dyDescent="0.2">
      <c r="W1516" s="631"/>
    </row>
    <row r="1517" spans="23:23" x14ac:dyDescent="0.2">
      <c r="W1517" s="631"/>
    </row>
    <row r="1518" spans="23:23" x14ac:dyDescent="0.2">
      <c r="W1518" s="631"/>
    </row>
    <row r="1519" spans="23:23" x14ac:dyDescent="0.2">
      <c r="W1519" s="631"/>
    </row>
    <row r="1520" spans="23:23" x14ac:dyDescent="0.2">
      <c r="W1520" s="631"/>
    </row>
    <row r="1521" spans="23:23" x14ac:dyDescent="0.2">
      <c r="W1521" s="631"/>
    </row>
    <row r="1522" spans="23:23" x14ac:dyDescent="0.2">
      <c r="W1522" s="631"/>
    </row>
    <row r="1523" spans="23:23" x14ac:dyDescent="0.2">
      <c r="W1523" s="631"/>
    </row>
    <row r="1524" spans="23:23" x14ac:dyDescent="0.2">
      <c r="W1524" s="631"/>
    </row>
    <row r="1525" spans="23:23" x14ac:dyDescent="0.2">
      <c r="W1525" s="631"/>
    </row>
    <row r="1526" spans="23:23" x14ac:dyDescent="0.2">
      <c r="W1526" s="631"/>
    </row>
    <row r="1527" spans="23:23" x14ac:dyDescent="0.2">
      <c r="W1527" s="631"/>
    </row>
    <row r="1528" spans="23:23" x14ac:dyDescent="0.2">
      <c r="W1528" s="631"/>
    </row>
    <row r="1529" spans="23:23" x14ac:dyDescent="0.2">
      <c r="W1529" s="631"/>
    </row>
    <row r="1530" spans="23:23" x14ac:dyDescent="0.2">
      <c r="W1530" s="631"/>
    </row>
    <row r="1531" spans="23:23" x14ac:dyDescent="0.2">
      <c r="W1531" s="631"/>
    </row>
    <row r="1532" spans="23:23" x14ac:dyDescent="0.2">
      <c r="W1532" s="631"/>
    </row>
    <row r="1533" spans="23:23" x14ac:dyDescent="0.2">
      <c r="W1533" s="631"/>
    </row>
    <row r="1534" spans="23:23" x14ac:dyDescent="0.2">
      <c r="W1534" s="631"/>
    </row>
    <row r="1535" spans="23:23" x14ac:dyDescent="0.2">
      <c r="W1535" s="631"/>
    </row>
    <row r="1536" spans="23:23" x14ac:dyDescent="0.2">
      <c r="W1536" s="631"/>
    </row>
    <row r="1537" spans="23:23" x14ac:dyDescent="0.2">
      <c r="W1537" s="631"/>
    </row>
    <row r="1538" spans="23:23" x14ac:dyDescent="0.2">
      <c r="W1538" s="631"/>
    </row>
    <row r="1539" spans="23:23" x14ac:dyDescent="0.2">
      <c r="W1539" s="631"/>
    </row>
    <row r="1540" spans="23:23" x14ac:dyDescent="0.2">
      <c r="W1540" s="631"/>
    </row>
    <row r="1541" spans="23:23" x14ac:dyDescent="0.2">
      <c r="W1541" s="631"/>
    </row>
    <row r="1542" spans="23:23" x14ac:dyDescent="0.2">
      <c r="W1542" s="631"/>
    </row>
    <row r="1543" spans="23:23" x14ac:dyDescent="0.2">
      <c r="W1543" s="631"/>
    </row>
    <row r="1544" spans="23:23" x14ac:dyDescent="0.2">
      <c r="W1544" s="631"/>
    </row>
    <row r="1545" spans="23:23" x14ac:dyDescent="0.2">
      <c r="W1545" s="631"/>
    </row>
    <row r="1546" spans="23:23" x14ac:dyDescent="0.2">
      <c r="W1546" s="631"/>
    </row>
    <row r="1547" spans="23:23" x14ac:dyDescent="0.2">
      <c r="W1547" s="631"/>
    </row>
    <row r="1548" spans="23:23" x14ac:dyDescent="0.2">
      <c r="W1548" s="631"/>
    </row>
    <row r="1549" spans="23:23" x14ac:dyDescent="0.2">
      <c r="W1549" s="631"/>
    </row>
    <row r="1550" spans="23:23" x14ac:dyDescent="0.2">
      <c r="W1550" s="631"/>
    </row>
    <row r="1551" spans="23:23" x14ac:dyDescent="0.2">
      <c r="W1551" s="631"/>
    </row>
    <row r="1552" spans="23:23" x14ac:dyDescent="0.2">
      <c r="W1552" s="631"/>
    </row>
    <row r="1553" spans="23:23" x14ac:dyDescent="0.2">
      <c r="W1553" s="631"/>
    </row>
    <row r="1554" spans="23:23" x14ac:dyDescent="0.2">
      <c r="W1554" s="631"/>
    </row>
    <row r="1555" spans="23:23" x14ac:dyDescent="0.2">
      <c r="W1555" s="631"/>
    </row>
    <row r="1556" spans="23:23" x14ac:dyDescent="0.2">
      <c r="W1556" s="631"/>
    </row>
    <row r="1557" spans="23:23" x14ac:dyDescent="0.2">
      <c r="W1557" s="631"/>
    </row>
    <row r="1558" spans="23:23" x14ac:dyDescent="0.2">
      <c r="W1558" s="631"/>
    </row>
    <row r="1559" spans="23:23" x14ac:dyDescent="0.2">
      <c r="W1559" s="631"/>
    </row>
    <row r="1560" spans="23:23" x14ac:dyDescent="0.2">
      <c r="W1560" s="631"/>
    </row>
    <row r="1561" spans="23:23" x14ac:dyDescent="0.2">
      <c r="W1561" s="631"/>
    </row>
    <row r="1562" spans="23:23" x14ac:dyDescent="0.2">
      <c r="W1562" s="631"/>
    </row>
    <row r="1563" spans="23:23" x14ac:dyDescent="0.2">
      <c r="W1563" s="631"/>
    </row>
    <row r="1564" spans="23:23" x14ac:dyDescent="0.2">
      <c r="W1564" s="631"/>
    </row>
    <row r="1565" spans="23:23" x14ac:dyDescent="0.2">
      <c r="W1565" s="631"/>
    </row>
    <row r="1566" spans="23:23" x14ac:dyDescent="0.2">
      <c r="W1566" s="631"/>
    </row>
    <row r="1567" spans="23:23" x14ac:dyDescent="0.2">
      <c r="W1567" s="631"/>
    </row>
    <row r="1568" spans="23:23" x14ac:dyDescent="0.2">
      <c r="W1568" s="631"/>
    </row>
    <row r="1569" spans="23:23" x14ac:dyDescent="0.2">
      <c r="W1569" s="631"/>
    </row>
    <row r="1570" spans="23:23" x14ac:dyDescent="0.2">
      <c r="W1570" s="631"/>
    </row>
    <row r="1571" spans="23:23" x14ac:dyDescent="0.2">
      <c r="W1571" s="631"/>
    </row>
    <row r="1572" spans="23:23" x14ac:dyDescent="0.2">
      <c r="W1572" s="631"/>
    </row>
    <row r="1573" spans="23:23" x14ac:dyDescent="0.2">
      <c r="W1573" s="631"/>
    </row>
    <row r="1574" spans="23:23" x14ac:dyDescent="0.2">
      <c r="W1574" s="631"/>
    </row>
    <row r="1575" spans="23:23" x14ac:dyDescent="0.2">
      <c r="W1575" s="631"/>
    </row>
    <row r="1576" spans="23:23" x14ac:dyDescent="0.2">
      <c r="W1576" s="631"/>
    </row>
    <row r="1577" spans="23:23" x14ac:dyDescent="0.2">
      <c r="W1577" s="631"/>
    </row>
    <row r="1578" spans="23:23" x14ac:dyDescent="0.2">
      <c r="W1578" s="631"/>
    </row>
    <row r="1579" spans="23:23" x14ac:dyDescent="0.2">
      <c r="W1579" s="631"/>
    </row>
    <row r="1580" spans="23:23" x14ac:dyDescent="0.2">
      <c r="W1580" s="631"/>
    </row>
    <row r="1581" spans="23:23" x14ac:dyDescent="0.2">
      <c r="W1581" s="631"/>
    </row>
    <row r="1582" spans="23:23" x14ac:dyDescent="0.2">
      <c r="W1582" s="631"/>
    </row>
    <row r="1583" spans="23:23" x14ac:dyDescent="0.2">
      <c r="W1583" s="631"/>
    </row>
    <row r="1584" spans="23:23" x14ac:dyDescent="0.2">
      <c r="W1584" s="631"/>
    </row>
    <row r="1585" spans="23:23" x14ac:dyDescent="0.2">
      <c r="W1585" s="631"/>
    </row>
    <row r="1586" spans="23:23" x14ac:dyDescent="0.2">
      <c r="W1586" s="631"/>
    </row>
    <row r="1587" spans="23:23" x14ac:dyDescent="0.2">
      <c r="W1587" s="631"/>
    </row>
    <row r="1588" spans="23:23" x14ac:dyDescent="0.2">
      <c r="W1588" s="631"/>
    </row>
    <row r="1589" spans="23:23" x14ac:dyDescent="0.2">
      <c r="W1589" s="631"/>
    </row>
    <row r="1590" spans="23:23" x14ac:dyDescent="0.2">
      <c r="W1590" s="631"/>
    </row>
    <row r="1591" spans="23:23" x14ac:dyDescent="0.2">
      <c r="W1591" s="631"/>
    </row>
    <row r="1592" spans="23:23" x14ac:dyDescent="0.2">
      <c r="W1592" s="631"/>
    </row>
    <row r="1593" spans="23:23" x14ac:dyDescent="0.2">
      <c r="W1593" s="631"/>
    </row>
    <row r="1594" spans="23:23" x14ac:dyDescent="0.2">
      <c r="W1594" s="631"/>
    </row>
    <row r="1595" spans="23:23" x14ac:dyDescent="0.2">
      <c r="W1595" s="631"/>
    </row>
    <row r="1596" spans="23:23" x14ac:dyDescent="0.2">
      <c r="W1596" s="631"/>
    </row>
    <row r="1597" spans="23:23" x14ac:dyDescent="0.2">
      <c r="W1597" s="631"/>
    </row>
    <row r="1598" spans="23:23" x14ac:dyDescent="0.2">
      <c r="W1598" s="631"/>
    </row>
    <row r="1599" spans="23:23" x14ac:dyDescent="0.2">
      <c r="W1599" s="631"/>
    </row>
    <row r="1600" spans="23:23" x14ac:dyDescent="0.2">
      <c r="W1600" s="631"/>
    </row>
    <row r="1601" spans="23:23" x14ac:dyDescent="0.2">
      <c r="W1601" s="631"/>
    </row>
    <row r="1602" spans="23:23" x14ac:dyDescent="0.2">
      <c r="W1602" s="631"/>
    </row>
    <row r="1603" spans="23:23" x14ac:dyDescent="0.2">
      <c r="W1603" s="631"/>
    </row>
    <row r="1604" spans="23:23" x14ac:dyDescent="0.2">
      <c r="W1604" s="631"/>
    </row>
    <row r="1605" spans="23:23" x14ac:dyDescent="0.2">
      <c r="W1605" s="631"/>
    </row>
    <row r="1606" spans="23:23" x14ac:dyDescent="0.2">
      <c r="W1606" s="631"/>
    </row>
    <row r="1607" spans="23:23" x14ac:dyDescent="0.2">
      <c r="W1607" s="631"/>
    </row>
    <row r="1608" spans="23:23" x14ac:dyDescent="0.2">
      <c r="W1608" s="631"/>
    </row>
    <row r="1609" spans="23:23" x14ac:dyDescent="0.2">
      <c r="W1609" s="631"/>
    </row>
    <row r="1610" spans="23:23" x14ac:dyDescent="0.2">
      <c r="W1610" s="631"/>
    </row>
    <row r="1611" spans="23:23" x14ac:dyDescent="0.2">
      <c r="W1611" s="631"/>
    </row>
    <row r="1612" spans="23:23" x14ac:dyDescent="0.2">
      <c r="W1612" s="631"/>
    </row>
    <row r="1613" spans="23:23" x14ac:dyDescent="0.2">
      <c r="W1613" s="631"/>
    </row>
    <row r="1614" spans="23:23" x14ac:dyDescent="0.2">
      <c r="W1614" s="631"/>
    </row>
    <row r="1615" spans="23:23" x14ac:dyDescent="0.2">
      <c r="W1615" s="631"/>
    </row>
    <row r="1616" spans="23:23" x14ac:dyDescent="0.2">
      <c r="W1616" s="631"/>
    </row>
    <row r="1617" spans="23:23" x14ac:dyDescent="0.2">
      <c r="W1617" s="631"/>
    </row>
    <row r="1618" spans="23:23" x14ac:dyDescent="0.2">
      <c r="W1618" s="631"/>
    </row>
    <row r="1619" spans="23:23" x14ac:dyDescent="0.2">
      <c r="W1619" s="631"/>
    </row>
    <row r="1620" spans="23:23" x14ac:dyDescent="0.2">
      <c r="W1620" s="631"/>
    </row>
    <row r="1621" spans="23:23" x14ac:dyDescent="0.2">
      <c r="W1621" s="631"/>
    </row>
    <row r="1622" spans="23:23" x14ac:dyDescent="0.2">
      <c r="W1622" s="631"/>
    </row>
    <row r="1623" spans="23:23" x14ac:dyDescent="0.2">
      <c r="W1623" s="631"/>
    </row>
    <row r="1624" spans="23:23" x14ac:dyDescent="0.2">
      <c r="W1624" s="631"/>
    </row>
    <row r="1625" spans="23:23" x14ac:dyDescent="0.2">
      <c r="W1625" s="631"/>
    </row>
    <row r="1626" spans="23:23" x14ac:dyDescent="0.2">
      <c r="W1626" s="631"/>
    </row>
    <row r="1627" spans="23:23" x14ac:dyDescent="0.2">
      <c r="W1627" s="631"/>
    </row>
    <row r="1628" spans="23:23" x14ac:dyDescent="0.2">
      <c r="W1628" s="631"/>
    </row>
    <row r="1629" spans="23:23" x14ac:dyDescent="0.2">
      <c r="W1629" s="631"/>
    </row>
    <row r="1630" spans="23:23" x14ac:dyDescent="0.2">
      <c r="W1630" s="631"/>
    </row>
    <row r="1631" spans="23:23" x14ac:dyDescent="0.2">
      <c r="W1631" s="631"/>
    </row>
    <row r="1632" spans="23:23" x14ac:dyDescent="0.2">
      <c r="W1632" s="631"/>
    </row>
    <row r="1633" spans="23:23" x14ac:dyDescent="0.2">
      <c r="W1633" s="631"/>
    </row>
    <row r="1634" spans="23:23" x14ac:dyDescent="0.2">
      <c r="W1634" s="631"/>
    </row>
    <row r="1635" spans="23:23" x14ac:dyDescent="0.2">
      <c r="W1635" s="631"/>
    </row>
    <row r="1636" spans="23:23" x14ac:dyDescent="0.2">
      <c r="W1636" s="631"/>
    </row>
    <row r="1637" spans="23:23" x14ac:dyDescent="0.2">
      <c r="W1637" s="631"/>
    </row>
    <row r="1638" spans="23:23" x14ac:dyDescent="0.2">
      <c r="W1638" s="631"/>
    </row>
    <row r="1639" spans="23:23" x14ac:dyDescent="0.2">
      <c r="W1639" s="631"/>
    </row>
    <row r="1640" spans="23:23" x14ac:dyDescent="0.2">
      <c r="W1640" s="631"/>
    </row>
    <row r="1641" spans="23:23" x14ac:dyDescent="0.2">
      <c r="W1641" s="631"/>
    </row>
    <row r="1642" spans="23:23" x14ac:dyDescent="0.2">
      <c r="W1642" s="631"/>
    </row>
    <row r="1643" spans="23:23" x14ac:dyDescent="0.2">
      <c r="W1643" s="631"/>
    </row>
    <row r="1644" spans="23:23" x14ac:dyDescent="0.2">
      <c r="W1644" s="631"/>
    </row>
    <row r="1645" spans="23:23" x14ac:dyDescent="0.2">
      <c r="W1645" s="631"/>
    </row>
    <row r="1646" spans="23:23" x14ac:dyDescent="0.2">
      <c r="W1646" s="631"/>
    </row>
    <row r="1647" spans="23:23" x14ac:dyDescent="0.2">
      <c r="W1647" s="631"/>
    </row>
    <row r="1648" spans="23:23" x14ac:dyDescent="0.2">
      <c r="W1648" s="631"/>
    </row>
    <row r="1649" spans="23:23" x14ac:dyDescent="0.2">
      <c r="W1649" s="631"/>
    </row>
    <row r="1650" spans="23:23" x14ac:dyDescent="0.2">
      <c r="W1650" s="631"/>
    </row>
    <row r="1651" spans="23:23" x14ac:dyDescent="0.2">
      <c r="W1651" s="631"/>
    </row>
    <row r="1652" spans="23:23" x14ac:dyDescent="0.2">
      <c r="W1652" s="631"/>
    </row>
    <row r="1653" spans="23:23" x14ac:dyDescent="0.2">
      <c r="W1653" s="631"/>
    </row>
    <row r="1654" spans="23:23" x14ac:dyDescent="0.2">
      <c r="W1654" s="631"/>
    </row>
    <row r="1655" spans="23:23" x14ac:dyDescent="0.2">
      <c r="W1655" s="631"/>
    </row>
    <row r="1656" spans="23:23" x14ac:dyDescent="0.2">
      <c r="W1656" s="631"/>
    </row>
    <row r="1657" spans="23:23" x14ac:dyDescent="0.2">
      <c r="W1657" s="631"/>
    </row>
    <row r="1658" spans="23:23" x14ac:dyDescent="0.2">
      <c r="W1658" s="631"/>
    </row>
    <row r="1659" spans="23:23" x14ac:dyDescent="0.2">
      <c r="W1659" s="631"/>
    </row>
    <row r="1660" spans="23:23" x14ac:dyDescent="0.2">
      <c r="W1660" s="631"/>
    </row>
    <row r="1661" spans="23:23" x14ac:dyDescent="0.2">
      <c r="W1661" s="631"/>
    </row>
    <row r="1662" spans="23:23" x14ac:dyDescent="0.2">
      <c r="W1662" s="631"/>
    </row>
    <row r="1663" spans="23:23" x14ac:dyDescent="0.2">
      <c r="W1663" s="631"/>
    </row>
    <row r="1664" spans="23:23" x14ac:dyDescent="0.2">
      <c r="W1664" s="631"/>
    </row>
    <row r="1665" spans="23:23" x14ac:dyDescent="0.2">
      <c r="W1665" s="631"/>
    </row>
    <row r="1666" spans="23:23" x14ac:dyDescent="0.2">
      <c r="W1666" s="631"/>
    </row>
    <row r="1667" spans="23:23" x14ac:dyDescent="0.2">
      <c r="W1667" s="631"/>
    </row>
    <row r="1668" spans="23:23" x14ac:dyDescent="0.2">
      <c r="W1668" s="631"/>
    </row>
    <row r="1669" spans="23:23" x14ac:dyDescent="0.2">
      <c r="W1669" s="631"/>
    </row>
    <row r="1670" spans="23:23" x14ac:dyDescent="0.2">
      <c r="W1670" s="631"/>
    </row>
    <row r="1671" spans="23:23" x14ac:dyDescent="0.2">
      <c r="W1671" s="631"/>
    </row>
    <row r="1672" spans="23:23" x14ac:dyDescent="0.2">
      <c r="W1672" s="631"/>
    </row>
    <row r="1673" spans="23:23" x14ac:dyDescent="0.2">
      <c r="W1673" s="631"/>
    </row>
    <row r="1674" spans="23:23" x14ac:dyDescent="0.2">
      <c r="W1674" s="631"/>
    </row>
    <row r="1675" spans="23:23" x14ac:dyDescent="0.2">
      <c r="W1675" s="631"/>
    </row>
    <row r="1676" spans="23:23" x14ac:dyDescent="0.2">
      <c r="W1676" s="631"/>
    </row>
    <row r="1677" spans="23:23" x14ac:dyDescent="0.2">
      <c r="W1677" s="631"/>
    </row>
    <row r="1678" spans="23:23" x14ac:dyDescent="0.2">
      <c r="W1678" s="631"/>
    </row>
    <row r="1679" spans="23:23" x14ac:dyDescent="0.2">
      <c r="W1679" s="631"/>
    </row>
    <row r="1680" spans="23:23" x14ac:dyDescent="0.2">
      <c r="W1680" s="631"/>
    </row>
    <row r="1681" spans="23:23" x14ac:dyDescent="0.2">
      <c r="W1681" s="631"/>
    </row>
    <row r="1682" spans="23:23" x14ac:dyDescent="0.2">
      <c r="W1682" s="631"/>
    </row>
    <row r="1683" spans="23:23" x14ac:dyDescent="0.2">
      <c r="W1683" s="631"/>
    </row>
    <row r="1684" spans="23:23" x14ac:dyDescent="0.2">
      <c r="W1684" s="631"/>
    </row>
    <row r="1685" spans="23:23" x14ac:dyDescent="0.2">
      <c r="W1685" s="631"/>
    </row>
    <row r="1686" spans="23:23" x14ac:dyDescent="0.2">
      <c r="W1686" s="631"/>
    </row>
    <row r="1687" spans="23:23" x14ac:dyDescent="0.2">
      <c r="W1687" s="631"/>
    </row>
    <row r="1688" spans="23:23" x14ac:dyDescent="0.2">
      <c r="W1688" s="631"/>
    </row>
    <row r="1689" spans="23:23" x14ac:dyDescent="0.2">
      <c r="W1689" s="631"/>
    </row>
    <row r="1690" spans="23:23" x14ac:dyDescent="0.2">
      <c r="W1690" s="631"/>
    </row>
    <row r="1691" spans="23:23" x14ac:dyDescent="0.2">
      <c r="W1691" s="631"/>
    </row>
    <row r="1692" spans="23:23" x14ac:dyDescent="0.2">
      <c r="W1692" s="631"/>
    </row>
    <row r="1693" spans="23:23" x14ac:dyDescent="0.2">
      <c r="W1693" s="631"/>
    </row>
    <row r="1694" spans="23:23" x14ac:dyDescent="0.2">
      <c r="W1694" s="631"/>
    </row>
    <row r="1695" spans="23:23" x14ac:dyDescent="0.2">
      <c r="W1695" s="631"/>
    </row>
    <row r="1696" spans="23:23" x14ac:dyDescent="0.2">
      <c r="W1696" s="631"/>
    </row>
    <row r="1697" spans="23:23" x14ac:dyDescent="0.2">
      <c r="W1697" s="631"/>
    </row>
    <row r="1698" spans="23:23" x14ac:dyDescent="0.2">
      <c r="W1698" s="631"/>
    </row>
    <row r="1699" spans="23:23" x14ac:dyDescent="0.2">
      <c r="W1699" s="631"/>
    </row>
    <row r="1700" spans="23:23" x14ac:dyDescent="0.2">
      <c r="W1700" s="631"/>
    </row>
    <row r="1701" spans="23:23" x14ac:dyDescent="0.2">
      <c r="W1701" s="631"/>
    </row>
    <row r="1702" spans="23:23" x14ac:dyDescent="0.2">
      <c r="W1702" s="631"/>
    </row>
    <row r="1703" spans="23:23" x14ac:dyDescent="0.2">
      <c r="W1703" s="631"/>
    </row>
    <row r="1704" spans="23:23" x14ac:dyDescent="0.2">
      <c r="W1704" s="631"/>
    </row>
    <row r="1705" spans="23:23" x14ac:dyDescent="0.2">
      <c r="W1705" s="631"/>
    </row>
    <row r="1706" spans="23:23" x14ac:dyDescent="0.2">
      <c r="W1706" s="631"/>
    </row>
    <row r="1707" spans="23:23" x14ac:dyDescent="0.2">
      <c r="W1707" s="631"/>
    </row>
    <row r="1708" spans="23:23" x14ac:dyDescent="0.2">
      <c r="W1708" s="631"/>
    </row>
    <row r="1709" spans="23:23" x14ac:dyDescent="0.2">
      <c r="W1709" s="631"/>
    </row>
    <row r="1710" spans="23:23" x14ac:dyDescent="0.2">
      <c r="W1710" s="631"/>
    </row>
    <row r="1711" spans="23:23" x14ac:dyDescent="0.2">
      <c r="W1711" s="631"/>
    </row>
    <row r="1712" spans="23:23" x14ac:dyDescent="0.2">
      <c r="W1712" s="631"/>
    </row>
    <row r="1713" spans="23:23" x14ac:dyDescent="0.2">
      <c r="W1713" s="631"/>
    </row>
    <row r="1714" spans="23:23" x14ac:dyDescent="0.2">
      <c r="W1714" s="631"/>
    </row>
    <row r="1715" spans="23:23" x14ac:dyDescent="0.2">
      <c r="W1715" s="631"/>
    </row>
    <row r="1716" spans="23:23" x14ac:dyDescent="0.2">
      <c r="W1716" s="631"/>
    </row>
    <row r="1717" spans="23:23" x14ac:dyDescent="0.2">
      <c r="W1717" s="631"/>
    </row>
    <row r="1718" spans="23:23" x14ac:dyDescent="0.2">
      <c r="W1718" s="631"/>
    </row>
    <row r="1719" spans="23:23" x14ac:dyDescent="0.2">
      <c r="W1719" s="631"/>
    </row>
    <row r="1720" spans="23:23" x14ac:dyDescent="0.2">
      <c r="W1720" s="631"/>
    </row>
    <row r="1721" spans="23:23" x14ac:dyDescent="0.2">
      <c r="W1721" s="631"/>
    </row>
    <row r="1722" spans="23:23" x14ac:dyDescent="0.2">
      <c r="W1722" s="631"/>
    </row>
    <row r="1723" spans="23:23" x14ac:dyDescent="0.2">
      <c r="W1723" s="631"/>
    </row>
    <row r="1724" spans="23:23" x14ac:dyDescent="0.2">
      <c r="W1724" s="631"/>
    </row>
    <row r="1725" spans="23:23" x14ac:dyDescent="0.2">
      <c r="W1725" s="631"/>
    </row>
    <row r="1726" spans="23:23" x14ac:dyDescent="0.2">
      <c r="W1726" s="631"/>
    </row>
    <row r="1727" spans="23:23" x14ac:dyDescent="0.2">
      <c r="W1727" s="631"/>
    </row>
    <row r="1728" spans="23:23" x14ac:dyDescent="0.2">
      <c r="W1728" s="631"/>
    </row>
    <row r="1729" spans="23:23" x14ac:dyDescent="0.2">
      <c r="W1729" s="631"/>
    </row>
    <row r="1730" spans="23:23" x14ac:dyDescent="0.2">
      <c r="W1730" s="631"/>
    </row>
    <row r="1731" spans="23:23" x14ac:dyDescent="0.2">
      <c r="W1731" s="631"/>
    </row>
    <row r="1732" spans="23:23" x14ac:dyDescent="0.2">
      <c r="W1732" s="631"/>
    </row>
    <row r="1733" spans="23:23" x14ac:dyDescent="0.2">
      <c r="W1733" s="631"/>
    </row>
    <row r="1734" spans="23:23" x14ac:dyDescent="0.2">
      <c r="W1734" s="631"/>
    </row>
    <row r="1735" spans="23:23" x14ac:dyDescent="0.2">
      <c r="W1735" s="631"/>
    </row>
    <row r="1736" spans="23:23" x14ac:dyDescent="0.2">
      <c r="W1736" s="631"/>
    </row>
    <row r="1737" spans="23:23" x14ac:dyDescent="0.2">
      <c r="W1737" s="631"/>
    </row>
    <row r="1738" spans="23:23" x14ac:dyDescent="0.2">
      <c r="W1738" s="631"/>
    </row>
    <row r="1739" spans="23:23" x14ac:dyDescent="0.2">
      <c r="W1739" s="631"/>
    </row>
    <row r="1740" spans="23:23" x14ac:dyDescent="0.2">
      <c r="W1740" s="631"/>
    </row>
    <row r="1741" spans="23:23" x14ac:dyDescent="0.2">
      <c r="W1741" s="631"/>
    </row>
    <row r="1742" spans="23:23" x14ac:dyDescent="0.2">
      <c r="W1742" s="631"/>
    </row>
    <row r="1743" spans="23:23" x14ac:dyDescent="0.2">
      <c r="W1743" s="631"/>
    </row>
    <row r="1744" spans="23:23" x14ac:dyDescent="0.2">
      <c r="W1744" s="631"/>
    </row>
    <row r="1745" spans="23:23" x14ac:dyDescent="0.2">
      <c r="W1745" s="631"/>
    </row>
    <row r="1746" spans="23:23" x14ac:dyDescent="0.2">
      <c r="W1746" s="631"/>
    </row>
    <row r="1747" spans="23:23" x14ac:dyDescent="0.2">
      <c r="W1747" s="631"/>
    </row>
    <row r="1748" spans="23:23" x14ac:dyDescent="0.2">
      <c r="W1748" s="631"/>
    </row>
    <row r="1749" spans="23:23" x14ac:dyDescent="0.2">
      <c r="W1749" s="631"/>
    </row>
    <row r="1750" spans="23:23" x14ac:dyDescent="0.2">
      <c r="W1750" s="631"/>
    </row>
    <row r="1751" spans="23:23" x14ac:dyDescent="0.2">
      <c r="W1751" s="631"/>
    </row>
    <row r="1752" spans="23:23" x14ac:dyDescent="0.2">
      <c r="W1752" s="631"/>
    </row>
    <row r="1753" spans="23:23" x14ac:dyDescent="0.2">
      <c r="W1753" s="631"/>
    </row>
    <row r="1754" spans="23:23" x14ac:dyDescent="0.2">
      <c r="W1754" s="631"/>
    </row>
    <row r="1755" spans="23:23" x14ac:dyDescent="0.2">
      <c r="W1755" s="631"/>
    </row>
    <row r="1756" spans="23:23" x14ac:dyDescent="0.2">
      <c r="W1756" s="631"/>
    </row>
    <row r="1757" spans="23:23" x14ac:dyDescent="0.2">
      <c r="W1757" s="631"/>
    </row>
    <row r="1758" spans="23:23" x14ac:dyDescent="0.2">
      <c r="W1758" s="631"/>
    </row>
    <row r="1759" spans="23:23" x14ac:dyDescent="0.2">
      <c r="W1759" s="631"/>
    </row>
    <row r="1760" spans="23:23" x14ac:dyDescent="0.2">
      <c r="W1760" s="631"/>
    </row>
    <row r="1761" spans="23:23" x14ac:dyDescent="0.2">
      <c r="W1761" s="631"/>
    </row>
    <row r="1762" spans="23:23" x14ac:dyDescent="0.2">
      <c r="W1762" s="631"/>
    </row>
    <row r="1763" spans="23:23" x14ac:dyDescent="0.2">
      <c r="W1763" s="631"/>
    </row>
    <row r="1764" spans="23:23" x14ac:dyDescent="0.2">
      <c r="W1764" s="631"/>
    </row>
    <row r="1765" spans="23:23" x14ac:dyDescent="0.2">
      <c r="W1765" s="631"/>
    </row>
    <row r="1766" spans="23:23" x14ac:dyDescent="0.2">
      <c r="W1766" s="631"/>
    </row>
    <row r="1767" spans="23:23" x14ac:dyDescent="0.2">
      <c r="W1767" s="631"/>
    </row>
    <row r="1768" spans="23:23" x14ac:dyDescent="0.2">
      <c r="W1768" s="631"/>
    </row>
    <row r="1769" spans="23:23" x14ac:dyDescent="0.2">
      <c r="W1769" s="631"/>
    </row>
    <row r="1770" spans="23:23" x14ac:dyDescent="0.2">
      <c r="W1770" s="631"/>
    </row>
    <row r="1771" spans="23:23" x14ac:dyDescent="0.2">
      <c r="W1771" s="631"/>
    </row>
    <row r="1772" spans="23:23" x14ac:dyDescent="0.2">
      <c r="W1772" s="631"/>
    </row>
    <row r="1773" spans="23:23" x14ac:dyDescent="0.2">
      <c r="W1773" s="631"/>
    </row>
    <row r="1774" spans="23:23" x14ac:dyDescent="0.2">
      <c r="W1774" s="631"/>
    </row>
    <row r="1775" spans="23:23" x14ac:dyDescent="0.2">
      <c r="W1775" s="631"/>
    </row>
    <row r="1776" spans="23:23" x14ac:dyDescent="0.2">
      <c r="W1776" s="631"/>
    </row>
    <row r="1777" spans="23:23" x14ac:dyDescent="0.2">
      <c r="W1777" s="631"/>
    </row>
    <row r="1778" spans="23:23" x14ac:dyDescent="0.2">
      <c r="W1778" s="631"/>
    </row>
    <row r="1779" spans="23:23" x14ac:dyDescent="0.2">
      <c r="W1779" s="631"/>
    </row>
    <row r="1780" spans="23:23" x14ac:dyDescent="0.2">
      <c r="W1780" s="631"/>
    </row>
    <row r="1781" spans="23:23" x14ac:dyDescent="0.2">
      <c r="W1781" s="631"/>
    </row>
    <row r="1782" spans="23:23" x14ac:dyDescent="0.2">
      <c r="W1782" s="631"/>
    </row>
    <row r="1783" spans="23:23" x14ac:dyDescent="0.2">
      <c r="W1783" s="631"/>
    </row>
    <row r="1784" spans="23:23" x14ac:dyDescent="0.2">
      <c r="W1784" s="631"/>
    </row>
    <row r="1785" spans="23:23" x14ac:dyDescent="0.2">
      <c r="W1785" s="631"/>
    </row>
    <row r="1786" spans="23:23" x14ac:dyDescent="0.2">
      <c r="W1786" s="631"/>
    </row>
    <row r="1787" spans="23:23" x14ac:dyDescent="0.2">
      <c r="W1787" s="631"/>
    </row>
    <row r="1788" spans="23:23" x14ac:dyDescent="0.2">
      <c r="W1788" s="631"/>
    </row>
    <row r="1789" spans="23:23" x14ac:dyDescent="0.2">
      <c r="W1789" s="631"/>
    </row>
    <row r="1790" spans="23:23" x14ac:dyDescent="0.2">
      <c r="W1790" s="631"/>
    </row>
    <row r="1791" spans="23:23" x14ac:dyDescent="0.2">
      <c r="W1791" s="631"/>
    </row>
    <row r="1792" spans="23:23" x14ac:dyDescent="0.2">
      <c r="W1792" s="631"/>
    </row>
    <row r="1793" spans="23:23" x14ac:dyDescent="0.2">
      <c r="W1793" s="631"/>
    </row>
    <row r="1794" spans="23:23" x14ac:dyDescent="0.2">
      <c r="W1794" s="631"/>
    </row>
    <row r="1795" spans="23:23" x14ac:dyDescent="0.2">
      <c r="W1795" s="631"/>
    </row>
    <row r="1796" spans="23:23" x14ac:dyDescent="0.2">
      <c r="W1796" s="631"/>
    </row>
    <row r="1797" spans="23:23" x14ac:dyDescent="0.2">
      <c r="W1797" s="631"/>
    </row>
    <row r="1798" spans="23:23" x14ac:dyDescent="0.2">
      <c r="W1798" s="631"/>
    </row>
    <row r="1799" spans="23:23" x14ac:dyDescent="0.2">
      <c r="W1799" s="631"/>
    </row>
    <row r="1800" spans="23:23" x14ac:dyDescent="0.2">
      <c r="W1800" s="631"/>
    </row>
    <row r="1801" spans="23:23" x14ac:dyDescent="0.2">
      <c r="W1801" s="631"/>
    </row>
    <row r="1802" spans="23:23" x14ac:dyDescent="0.2">
      <c r="W1802" s="631"/>
    </row>
    <row r="1803" spans="23:23" x14ac:dyDescent="0.2">
      <c r="W1803" s="631"/>
    </row>
    <row r="1804" spans="23:23" x14ac:dyDescent="0.2">
      <c r="W1804" s="631"/>
    </row>
    <row r="1805" spans="23:23" x14ac:dyDescent="0.2">
      <c r="W1805" s="631"/>
    </row>
    <row r="1806" spans="23:23" x14ac:dyDescent="0.2">
      <c r="W1806" s="631"/>
    </row>
    <row r="1807" spans="23:23" x14ac:dyDescent="0.2">
      <c r="W1807" s="631"/>
    </row>
    <row r="1808" spans="23:23" x14ac:dyDescent="0.2">
      <c r="W1808" s="631"/>
    </row>
    <row r="1809" spans="23:23" x14ac:dyDescent="0.2">
      <c r="W1809" s="631"/>
    </row>
    <row r="1810" spans="23:23" x14ac:dyDescent="0.2">
      <c r="W1810" s="631"/>
    </row>
    <row r="1811" spans="23:23" x14ac:dyDescent="0.2">
      <c r="W1811" s="631"/>
    </row>
    <row r="1812" spans="23:23" x14ac:dyDescent="0.2">
      <c r="W1812" s="631"/>
    </row>
    <row r="1813" spans="23:23" x14ac:dyDescent="0.2">
      <c r="W1813" s="631"/>
    </row>
    <row r="1814" spans="23:23" x14ac:dyDescent="0.2">
      <c r="W1814" s="631"/>
    </row>
    <row r="1815" spans="23:23" x14ac:dyDescent="0.2">
      <c r="W1815" s="631"/>
    </row>
    <row r="1816" spans="23:23" x14ac:dyDescent="0.2">
      <c r="W1816" s="631"/>
    </row>
    <row r="1817" spans="23:23" x14ac:dyDescent="0.2">
      <c r="W1817" s="631"/>
    </row>
    <row r="1818" spans="23:23" x14ac:dyDescent="0.2">
      <c r="W1818" s="631"/>
    </row>
    <row r="1819" spans="23:23" x14ac:dyDescent="0.2">
      <c r="W1819" s="631"/>
    </row>
    <row r="1820" spans="23:23" x14ac:dyDescent="0.2">
      <c r="W1820" s="631"/>
    </row>
    <row r="1821" spans="23:23" x14ac:dyDescent="0.2">
      <c r="W1821" s="631"/>
    </row>
    <row r="1822" spans="23:23" x14ac:dyDescent="0.2">
      <c r="W1822" s="631"/>
    </row>
    <row r="1823" spans="23:23" x14ac:dyDescent="0.2">
      <c r="W1823" s="631"/>
    </row>
    <row r="1824" spans="23:23" x14ac:dyDescent="0.2">
      <c r="W1824" s="631"/>
    </row>
    <row r="1825" spans="23:23" x14ac:dyDescent="0.2">
      <c r="W1825" s="631"/>
    </row>
    <row r="1826" spans="23:23" x14ac:dyDescent="0.2">
      <c r="W1826" s="631"/>
    </row>
    <row r="1827" spans="23:23" x14ac:dyDescent="0.2">
      <c r="W1827" s="631"/>
    </row>
    <row r="1828" spans="23:23" x14ac:dyDescent="0.2">
      <c r="W1828" s="631"/>
    </row>
    <row r="1829" spans="23:23" x14ac:dyDescent="0.2">
      <c r="W1829" s="631"/>
    </row>
    <row r="1830" spans="23:23" x14ac:dyDescent="0.2">
      <c r="W1830" s="631"/>
    </row>
    <row r="1831" spans="23:23" x14ac:dyDescent="0.2">
      <c r="W1831" s="631"/>
    </row>
    <row r="1832" spans="23:23" x14ac:dyDescent="0.2">
      <c r="W1832" s="631"/>
    </row>
    <row r="1833" spans="23:23" x14ac:dyDescent="0.2">
      <c r="W1833" s="631"/>
    </row>
    <row r="1834" spans="23:23" x14ac:dyDescent="0.2">
      <c r="W1834" s="631"/>
    </row>
    <row r="1835" spans="23:23" x14ac:dyDescent="0.2">
      <c r="W1835" s="631"/>
    </row>
    <row r="1836" spans="23:23" x14ac:dyDescent="0.2">
      <c r="W1836" s="631"/>
    </row>
    <row r="1837" spans="23:23" x14ac:dyDescent="0.2">
      <c r="W1837" s="631"/>
    </row>
    <row r="1838" spans="23:23" x14ac:dyDescent="0.2">
      <c r="W1838" s="631"/>
    </row>
    <row r="1839" spans="23:23" x14ac:dyDescent="0.2">
      <c r="W1839" s="631"/>
    </row>
    <row r="1840" spans="23:23" x14ac:dyDescent="0.2">
      <c r="W1840" s="631"/>
    </row>
    <row r="1841" spans="23:23" x14ac:dyDescent="0.2">
      <c r="W1841" s="631"/>
    </row>
    <row r="1842" spans="23:23" x14ac:dyDescent="0.2">
      <c r="W1842" s="631"/>
    </row>
    <row r="1843" spans="23:23" x14ac:dyDescent="0.2">
      <c r="W1843" s="631"/>
    </row>
    <row r="1844" spans="23:23" x14ac:dyDescent="0.2">
      <c r="W1844" s="631"/>
    </row>
    <row r="1845" spans="23:23" x14ac:dyDescent="0.2">
      <c r="W1845" s="631"/>
    </row>
    <row r="1846" spans="23:23" x14ac:dyDescent="0.2">
      <c r="W1846" s="631"/>
    </row>
    <row r="1847" spans="23:23" x14ac:dyDescent="0.2">
      <c r="W1847" s="631"/>
    </row>
    <row r="1848" spans="23:23" x14ac:dyDescent="0.2">
      <c r="W1848" s="631"/>
    </row>
    <row r="1849" spans="23:23" x14ac:dyDescent="0.2">
      <c r="W1849" s="631"/>
    </row>
    <row r="1850" spans="23:23" x14ac:dyDescent="0.2">
      <c r="W1850" s="631"/>
    </row>
    <row r="1851" spans="23:23" x14ac:dyDescent="0.2">
      <c r="W1851" s="631"/>
    </row>
    <row r="1852" spans="23:23" x14ac:dyDescent="0.2">
      <c r="W1852" s="631"/>
    </row>
    <row r="1853" spans="23:23" x14ac:dyDescent="0.2">
      <c r="W1853" s="631"/>
    </row>
    <row r="1854" spans="23:23" x14ac:dyDescent="0.2">
      <c r="W1854" s="631"/>
    </row>
    <row r="1855" spans="23:23" x14ac:dyDescent="0.2">
      <c r="W1855" s="631"/>
    </row>
    <row r="1856" spans="23:23" x14ac:dyDescent="0.2">
      <c r="W1856" s="631"/>
    </row>
    <row r="1857" spans="23:23" x14ac:dyDescent="0.2">
      <c r="W1857" s="631"/>
    </row>
    <row r="1858" spans="23:23" x14ac:dyDescent="0.2">
      <c r="W1858" s="631"/>
    </row>
    <row r="1859" spans="23:23" x14ac:dyDescent="0.2">
      <c r="W1859" s="631"/>
    </row>
    <row r="1860" spans="23:23" x14ac:dyDescent="0.2">
      <c r="W1860" s="631"/>
    </row>
    <row r="1861" spans="23:23" x14ac:dyDescent="0.2">
      <c r="W1861" s="631"/>
    </row>
    <row r="1862" spans="23:23" x14ac:dyDescent="0.2">
      <c r="W1862" s="631"/>
    </row>
    <row r="1863" spans="23:23" x14ac:dyDescent="0.2">
      <c r="W1863" s="631"/>
    </row>
    <row r="1864" spans="23:23" x14ac:dyDescent="0.2">
      <c r="W1864" s="631"/>
    </row>
    <row r="1865" spans="23:23" x14ac:dyDescent="0.2">
      <c r="W1865" s="631"/>
    </row>
    <row r="1866" spans="23:23" x14ac:dyDescent="0.2">
      <c r="W1866" s="631"/>
    </row>
    <row r="1867" spans="23:23" x14ac:dyDescent="0.2">
      <c r="W1867" s="631"/>
    </row>
    <row r="1868" spans="23:23" x14ac:dyDescent="0.2">
      <c r="W1868" s="631"/>
    </row>
    <row r="1869" spans="23:23" x14ac:dyDescent="0.2">
      <c r="W1869" s="631"/>
    </row>
    <row r="1870" spans="23:23" x14ac:dyDescent="0.2">
      <c r="W1870" s="631"/>
    </row>
    <row r="1871" spans="23:23" x14ac:dyDescent="0.2">
      <c r="W1871" s="631"/>
    </row>
    <row r="1872" spans="23:23" x14ac:dyDescent="0.2">
      <c r="W1872" s="631"/>
    </row>
    <row r="1873" spans="23:23" x14ac:dyDescent="0.2">
      <c r="W1873" s="631"/>
    </row>
    <row r="1874" spans="23:23" x14ac:dyDescent="0.2">
      <c r="W1874" s="631"/>
    </row>
    <row r="1875" spans="23:23" x14ac:dyDescent="0.2">
      <c r="W1875" s="631"/>
    </row>
    <row r="1876" spans="23:23" x14ac:dyDescent="0.2">
      <c r="W1876" s="631"/>
    </row>
    <row r="1877" spans="23:23" x14ac:dyDescent="0.2">
      <c r="W1877" s="631"/>
    </row>
    <row r="1878" spans="23:23" x14ac:dyDescent="0.2">
      <c r="W1878" s="631"/>
    </row>
    <row r="1879" spans="23:23" x14ac:dyDescent="0.2">
      <c r="W1879" s="631"/>
    </row>
    <row r="1880" spans="23:23" x14ac:dyDescent="0.2">
      <c r="W1880" s="631"/>
    </row>
    <row r="1881" spans="23:23" x14ac:dyDescent="0.2">
      <c r="W1881" s="631"/>
    </row>
    <row r="1882" spans="23:23" x14ac:dyDescent="0.2">
      <c r="W1882" s="631"/>
    </row>
    <row r="1883" spans="23:23" x14ac:dyDescent="0.2">
      <c r="W1883" s="631"/>
    </row>
    <row r="1884" spans="23:23" x14ac:dyDescent="0.2">
      <c r="W1884" s="631"/>
    </row>
    <row r="1885" spans="23:23" x14ac:dyDescent="0.2">
      <c r="W1885" s="631"/>
    </row>
    <row r="1886" spans="23:23" x14ac:dyDescent="0.2">
      <c r="W1886" s="631"/>
    </row>
    <row r="1887" spans="23:23" x14ac:dyDescent="0.2">
      <c r="W1887" s="631"/>
    </row>
    <row r="1888" spans="23:23" x14ac:dyDescent="0.2">
      <c r="W1888" s="631"/>
    </row>
    <row r="1889" spans="23:23" x14ac:dyDescent="0.2">
      <c r="W1889" s="631"/>
    </row>
    <row r="1890" spans="23:23" x14ac:dyDescent="0.2">
      <c r="W1890" s="631"/>
    </row>
    <row r="1891" spans="23:23" x14ac:dyDescent="0.2">
      <c r="W1891" s="631"/>
    </row>
    <row r="1892" spans="23:23" x14ac:dyDescent="0.2">
      <c r="W1892" s="631"/>
    </row>
    <row r="1893" spans="23:23" x14ac:dyDescent="0.2">
      <c r="W1893" s="631"/>
    </row>
    <row r="1894" spans="23:23" x14ac:dyDescent="0.2">
      <c r="W1894" s="631"/>
    </row>
    <row r="1895" spans="23:23" x14ac:dyDescent="0.2">
      <c r="W1895" s="631"/>
    </row>
    <row r="1896" spans="23:23" x14ac:dyDescent="0.2">
      <c r="W1896" s="631"/>
    </row>
    <row r="1897" spans="23:23" x14ac:dyDescent="0.2">
      <c r="W1897" s="631"/>
    </row>
    <row r="1898" spans="23:23" x14ac:dyDescent="0.2">
      <c r="W1898" s="631"/>
    </row>
    <row r="1899" spans="23:23" x14ac:dyDescent="0.2">
      <c r="W1899" s="631"/>
    </row>
    <row r="1900" spans="23:23" x14ac:dyDescent="0.2">
      <c r="W1900" s="631"/>
    </row>
    <row r="1901" spans="23:23" x14ac:dyDescent="0.2">
      <c r="W1901" s="631"/>
    </row>
    <row r="1902" spans="23:23" x14ac:dyDescent="0.2">
      <c r="W1902" s="631"/>
    </row>
    <row r="1903" spans="23:23" x14ac:dyDescent="0.2">
      <c r="W1903" s="631"/>
    </row>
    <row r="1904" spans="23:23" x14ac:dyDescent="0.2">
      <c r="W1904" s="631"/>
    </row>
    <row r="1905" spans="23:23" x14ac:dyDescent="0.2">
      <c r="W1905" s="631"/>
    </row>
    <row r="1906" spans="23:23" x14ac:dyDescent="0.2">
      <c r="W1906" s="631"/>
    </row>
    <row r="1907" spans="23:23" x14ac:dyDescent="0.2">
      <c r="W1907" s="631"/>
    </row>
    <row r="1908" spans="23:23" x14ac:dyDescent="0.2">
      <c r="W1908" s="631"/>
    </row>
    <row r="1909" spans="23:23" x14ac:dyDescent="0.2">
      <c r="W1909" s="631"/>
    </row>
    <row r="1910" spans="23:23" x14ac:dyDescent="0.2">
      <c r="W1910" s="631"/>
    </row>
    <row r="1911" spans="23:23" x14ac:dyDescent="0.2">
      <c r="W1911" s="631"/>
    </row>
    <row r="1912" spans="23:23" x14ac:dyDescent="0.2">
      <c r="W1912" s="631"/>
    </row>
    <row r="1913" spans="23:23" x14ac:dyDescent="0.2">
      <c r="W1913" s="631"/>
    </row>
    <row r="1914" spans="23:23" x14ac:dyDescent="0.2">
      <c r="W1914" s="631"/>
    </row>
    <row r="1915" spans="23:23" x14ac:dyDescent="0.2">
      <c r="W1915" s="631"/>
    </row>
    <row r="1916" spans="23:23" x14ac:dyDescent="0.2">
      <c r="W1916" s="631"/>
    </row>
    <row r="1917" spans="23:23" x14ac:dyDescent="0.2">
      <c r="W1917" s="631"/>
    </row>
    <row r="1918" spans="23:23" x14ac:dyDescent="0.2">
      <c r="W1918" s="631"/>
    </row>
    <row r="1919" spans="23:23" x14ac:dyDescent="0.2">
      <c r="W1919" s="631"/>
    </row>
    <row r="1920" spans="23:23" x14ac:dyDescent="0.2">
      <c r="W1920" s="631"/>
    </row>
    <row r="1921" spans="23:23" x14ac:dyDescent="0.2">
      <c r="W1921" s="631"/>
    </row>
    <row r="1922" spans="23:23" x14ac:dyDescent="0.2">
      <c r="W1922" s="631"/>
    </row>
    <row r="1923" spans="23:23" x14ac:dyDescent="0.2">
      <c r="W1923" s="631"/>
    </row>
    <row r="1924" spans="23:23" x14ac:dyDescent="0.2">
      <c r="W1924" s="631"/>
    </row>
    <row r="1925" spans="23:23" x14ac:dyDescent="0.2">
      <c r="W1925" s="631"/>
    </row>
    <row r="1926" spans="23:23" x14ac:dyDescent="0.2">
      <c r="W1926" s="631"/>
    </row>
    <row r="1927" spans="23:23" x14ac:dyDescent="0.2">
      <c r="W1927" s="631"/>
    </row>
    <row r="1928" spans="23:23" x14ac:dyDescent="0.2">
      <c r="W1928" s="631"/>
    </row>
    <row r="1929" spans="23:23" x14ac:dyDescent="0.2">
      <c r="W1929" s="631"/>
    </row>
    <row r="1930" spans="23:23" x14ac:dyDescent="0.2">
      <c r="W1930" s="631"/>
    </row>
    <row r="1931" spans="23:23" x14ac:dyDescent="0.2">
      <c r="W1931" s="631"/>
    </row>
    <row r="1932" spans="23:23" x14ac:dyDescent="0.2">
      <c r="W1932" s="631"/>
    </row>
    <row r="1933" spans="23:23" x14ac:dyDescent="0.2">
      <c r="W1933" s="631"/>
    </row>
    <row r="1934" spans="23:23" x14ac:dyDescent="0.2">
      <c r="W1934" s="631"/>
    </row>
    <row r="1935" spans="23:23" x14ac:dyDescent="0.2">
      <c r="W1935" s="631"/>
    </row>
    <row r="1936" spans="23:23" x14ac:dyDescent="0.2">
      <c r="W1936" s="631"/>
    </row>
    <row r="1937" spans="23:23" x14ac:dyDescent="0.2">
      <c r="W1937" s="631"/>
    </row>
    <row r="1938" spans="23:23" x14ac:dyDescent="0.2">
      <c r="W1938" s="631"/>
    </row>
    <row r="1939" spans="23:23" x14ac:dyDescent="0.2">
      <c r="W1939" s="631"/>
    </row>
    <row r="1940" spans="23:23" x14ac:dyDescent="0.2">
      <c r="W1940" s="631"/>
    </row>
    <row r="1941" spans="23:23" x14ac:dyDescent="0.2">
      <c r="W1941" s="631"/>
    </row>
    <row r="1942" spans="23:23" x14ac:dyDescent="0.2">
      <c r="W1942" s="631"/>
    </row>
    <row r="1943" spans="23:23" x14ac:dyDescent="0.2">
      <c r="W1943" s="631"/>
    </row>
    <row r="1944" spans="23:23" x14ac:dyDescent="0.2">
      <c r="W1944" s="631"/>
    </row>
    <row r="1945" spans="23:23" x14ac:dyDescent="0.2">
      <c r="W1945" s="631"/>
    </row>
    <row r="1946" spans="23:23" x14ac:dyDescent="0.2">
      <c r="W1946" s="631"/>
    </row>
    <row r="1947" spans="23:23" x14ac:dyDescent="0.2">
      <c r="W1947" s="631"/>
    </row>
    <row r="1948" spans="23:23" x14ac:dyDescent="0.2">
      <c r="W1948" s="631"/>
    </row>
    <row r="1949" spans="23:23" x14ac:dyDescent="0.2">
      <c r="W1949" s="631"/>
    </row>
    <row r="1950" spans="23:23" x14ac:dyDescent="0.2">
      <c r="W1950" s="631"/>
    </row>
    <row r="1951" spans="23:23" x14ac:dyDescent="0.2">
      <c r="W1951" s="631"/>
    </row>
    <row r="1952" spans="23:23" x14ac:dyDescent="0.2">
      <c r="W1952" s="631"/>
    </row>
    <row r="1953" spans="23:23" x14ac:dyDescent="0.2">
      <c r="W1953" s="631"/>
    </row>
    <row r="1954" spans="23:23" x14ac:dyDescent="0.2">
      <c r="W1954" s="631"/>
    </row>
    <row r="1955" spans="23:23" x14ac:dyDescent="0.2">
      <c r="W1955" s="631"/>
    </row>
    <row r="1956" spans="23:23" x14ac:dyDescent="0.2">
      <c r="W1956" s="631"/>
    </row>
    <row r="1957" spans="23:23" x14ac:dyDescent="0.2">
      <c r="W1957" s="631"/>
    </row>
    <row r="1958" spans="23:23" x14ac:dyDescent="0.2">
      <c r="W1958" s="631"/>
    </row>
    <row r="1959" spans="23:23" x14ac:dyDescent="0.2">
      <c r="W1959" s="631"/>
    </row>
    <row r="1960" spans="23:23" x14ac:dyDescent="0.2">
      <c r="W1960" s="631"/>
    </row>
    <row r="1961" spans="23:23" x14ac:dyDescent="0.2">
      <c r="W1961" s="631"/>
    </row>
    <row r="1962" spans="23:23" x14ac:dyDescent="0.2">
      <c r="W1962" s="631"/>
    </row>
    <row r="1963" spans="23:23" x14ac:dyDescent="0.2">
      <c r="W1963" s="631"/>
    </row>
    <row r="1964" spans="23:23" x14ac:dyDescent="0.2">
      <c r="W1964" s="631"/>
    </row>
    <row r="1965" spans="23:23" x14ac:dyDescent="0.2">
      <c r="W1965" s="631"/>
    </row>
    <row r="1966" spans="23:23" x14ac:dyDescent="0.2">
      <c r="W1966" s="631"/>
    </row>
    <row r="1967" spans="23:23" x14ac:dyDescent="0.2">
      <c r="W1967" s="631"/>
    </row>
    <row r="1968" spans="23:23" x14ac:dyDescent="0.2">
      <c r="W1968" s="631"/>
    </row>
    <row r="1969" spans="23:23" x14ac:dyDescent="0.2">
      <c r="W1969" s="631"/>
    </row>
    <row r="1970" spans="23:23" x14ac:dyDescent="0.2">
      <c r="W1970" s="631"/>
    </row>
    <row r="1971" spans="23:23" x14ac:dyDescent="0.2">
      <c r="W1971" s="631"/>
    </row>
    <row r="1972" spans="23:23" x14ac:dyDescent="0.2">
      <c r="W1972" s="631"/>
    </row>
    <row r="1973" spans="23:23" x14ac:dyDescent="0.2">
      <c r="W1973" s="631"/>
    </row>
    <row r="1974" spans="23:23" x14ac:dyDescent="0.2">
      <c r="W1974" s="631"/>
    </row>
    <row r="1975" spans="23:23" x14ac:dyDescent="0.2">
      <c r="W1975" s="631"/>
    </row>
    <row r="1976" spans="23:23" x14ac:dyDescent="0.2">
      <c r="W1976" s="631"/>
    </row>
    <row r="1977" spans="23:23" x14ac:dyDescent="0.2">
      <c r="W1977" s="631"/>
    </row>
    <row r="1978" spans="23:23" x14ac:dyDescent="0.2">
      <c r="W1978" s="631"/>
    </row>
    <row r="1979" spans="23:23" x14ac:dyDescent="0.2">
      <c r="W1979" s="631"/>
    </row>
    <row r="1980" spans="23:23" x14ac:dyDescent="0.2">
      <c r="W1980" s="631"/>
    </row>
    <row r="1981" spans="23:23" x14ac:dyDescent="0.2">
      <c r="W1981" s="631"/>
    </row>
    <row r="1982" spans="23:23" x14ac:dyDescent="0.2">
      <c r="W1982" s="631"/>
    </row>
    <row r="1983" spans="23:23" x14ac:dyDescent="0.2">
      <c r="W1983" s="631"/>
    </row>
    <row r="1984" spans="23:23" x14ac:dyDescent="0.2">
      <c r="W1984" s="631"/>
    </row>
    <row r="1985" spans="23:23" x14ac:dyDescent="0.2">
      <c r="W1985" s="631"/>
    </row>
    <row r="1986" spans="23:23" x14ac:dyDescent="0.2">
      <c r="W1986" s="631"/>
    </row>
    <row r="1987" spans="23:23" x14ac:dyDescent="0.2">
      <c r="W1987" s="631"/>
    </row>
    <row r="1988" spans="23:23" x14ac:dyDescent="0.2">
      <c r="W1988" s="631"/>
    </row>
    <row r="1989" spans="23:23" x14ac:dyDescent="0.2">
      <c r="W1989" s="631"/>
    </row>
    <row r="1990" spans="23:23" x14ac:dyDescent="0.2">
      <c r="W1990" s="631"/>
    </row>
    <row r="1991" spans="23:23" x14ac:dyDescent="0.2">
      <c r="W1991" s="631"/>
    </row>
    <row r="1992" spans="23:23" x14ac:dyDescent="0.2">
      <c r="W1992" s="631"/>
    </row>
    <row r="1993" spans="23:23" x14ac:dyDescent="0.2">
      <c r="W1993" s="631"/>
    </row>
    <row r="1994" spans="23:23" x14ac:dyDescent="0.2">
      <c r="W1994" s="631"/>
    </row>
    <row r="1995" spans="23:23" x14ac:dyDescent="0.2">
      <c r="W1995" s="631"/>
    </row>
    <row r="1996" spans="23:23" x14ac:dyDescent="0.2">
      <c r="W1996" s="631"/>
    </row>
    <row r="1997" spans="23:23" x14ac:dyDescent="0.2">
      <c r="W1997" s="631"/>
    </row>
    <row r="1998" spans="23:23" x14ac:dyDescent="0.2">
      <c r="W1998" s="631"/>
    </row>
    <row r="1999" spans="23:23" x14ac:dyDescent="0.2">
      <c r="W1999" s="631"/>
    </row>
    <row r="2000" spans="23:23" x14ac:dyDescent="0.2">
      <c r="W2000" s="631"/>
    </row>
    <row r="2001" spans="23:23" x14ac:dyDescent="0.2">
      <c r="W2001" s="631"/>
    </row>
    <row r="2002" spans="23:23" x14ac:dyDescent="0.2">
      <c r="W2002" s="631"/>
    </row>
    <row r="2003" spans="23:23" x14ac:dyDescent="0.2">
      <c r="W2003" s="631"/>
    </row>
    <row r="2004" spans="23:23" x14ac:dyDescent="0.2">
      <c r="W2004" s="631"/>
    </row>
    <row r="2005" spans="23:23" x14ac:dyDescent="0.2">
      <c r="W2005" s="631"/>
    </row>
    <row r="2006" spans="23:23" x14ac:dyDescent="0.2">
      <c r="W2006" s="631"/>
    </row>
    <row r="2007" spans="23:23" x14ac:dyDescent="0.2">
      <c r="W2007" s="631"/>
    </row>
    <row r="2008" spans="23:23" x14ac:dyDescent="0.2">
      <c r="W2008" s="631"/>
    </row>
    <row r="2009" spans="23:23" x14ac:dyDescent="0.2">
      <c r="W2009" s="631"/>
    </row>
    <row r="2010" spans="23:23" x14ac:dyDescent="0.2">
      <c r="W2010" s="631"/>
    </row>
    <row r="2011" spans="23:23" x14ac:dyDescent="0.2">
      <c r="W2011" s="631"/>
    </row>
    <row r="2012" spans="23:23" x14ac:dyDescent="0.2">
      <c r="W2012" s="631"/>
    </row>
    <row r="2013" spans="23:23" x14ac:dyDescent="0.2">
      <c r="W2013" s="631"/>
    </row>
    <row r="2014" spans="23:23" x14ac:dyDescent="0.2">
      <c r="W2014" s="631"/>
    </row>
    <row r="2015" spans="23:23" x14ac:dyDescent="0.2">
      <c r="W2015" s="631"/>
    </row>
    <row r="2016" spans="23:23" x14ac:dyDescent="0.2">
      <c r="W2016" s="631"/>
    </row>
    <row r="2017" spans="23:23" x14ac:dyDescent="0.2">
      <c r="W2017" s="631"/>
    </row>
    <row r="2018" spans="23:23" x14ac:dyDescent="0.2">
      <c r="W2018" s="631"/>
    </row>
    <row r="2019" spans="23:23" x14ac:dyDescent="0.2">
      <c r="W2019" s="631"/>
    </row>
    <row r="2020" spans="23:23" x14ac:dyDescent="0.2">
      <c r="W2020" s="631"/>
    </row>
    <row r="2021" spans="23:23" x14ac:dyDescent="0.2">
      <c r="W2021" s="631"/>
    </row>
    <row r="2022" spans="23:23" x14ac:dyDescent="0.2">
      <c r="W2022" s="631"/>
    </row>
    <row r="2023" spans="23:23" x14ac:dyDescent="0.2">
      <c r="W2023" s="631"/>
    </row>
    <row r="2024" spans="23:23" x14ac:dyDescent="0.2">
      <c r="W2024" s="631"/>
    </row>
    <row r="2025" spans="23:23" x14ac:dyDescent="0.2">
      <c r="W2025" s="631"/>
    </row>
    <row r="2026" spans="23:23" x14ac:dyDescent="0.2">
      <c r="W2026" s="631"/>
    </row>
    <row r="2027" spans="23:23" x14ac:dyDescent="0.2">
      <c r="W2027" s="631"/>
    </row>
    <row r="2028" spans="23:23" x14ac:dyDescent="0.2">
      <c r="W2028" s="631"/>
    </row>
    <row r="2029" spans="23:23" x14ac:dyDescent="0.2">
      <c r="W2029" s="631"/>
    </row>
    <row r="2030" spans="23:23" x14ac:dyDescent="0.2">
      <c r="W2030" s="631"/>
    </row>
    <row r="2031" spans="23:23" x14ac:dyDescent="0.2">
      <c r="W2031" s="631"/>
    </row>
    <row r="2032" spans="23:23" x14ac:dyDescent="0.2">
      <c r="W2032" s="631"/>
    </row>
    <row r="2033" spans="23:23" x14ac:dyDescent="0.2">
      <c r="W2033" s="631"/>
    </row>
    <row r="2034" spans="23:23" x14ac:dyDescent="0.2">
      <c r="W2034" s="631"/>
    </row>
    <row r="2035" spans="23:23" x14ac:dyDescent="0.2">
      <c r="W2035" s="631"/>
    </row>
    <row r="2036" spans="23:23" x14ac:dyDescent="0.2">
      <c r="W2036" s="631"/>
    </row>
    <row r="2037" spans="23:23" x14ac:dyDescent="0.2">
      <c r="W2037" s="631"/>
    </row>
    <row r="2038" spans="23:23" x14ac:dyDescent="0.2">
      <c r="W2038" s="631"/>
    </row>
    <row r="2039" spans="23:23" x14ac:dyDescent="0.2">
      <c r="W2039" s="631"/>
    </row>
    <row r="2040" spans="23:23" x14ac:dyDescent="0.2">
      <c r="W2040" s="631"/>
    </row>
    <row r="2041" spans="23:23" x14ac:dyDescent="0.2">
      <c r="W2041" s="631"/>
    </row>
    <row r="2042" spans="23:23" x14ac:dyDescent="0.2">
      <c r="W2042" s="631"/>
    </row>
    <row r="2043" spans="23:23" x14ac:dyDescent="0.2">
      <c r="W2043" s="631"/>
    </row>
    <row r="2044" spans="23:23" x14ac:dyDescent="0.2">
      <c r="W2044" s="631"/>
    </row>
    <row r="2045" spans="23:23" x14ac:dyDescent="0.2">
      <c r="W2045" s="631"/>
    </row>
    <row r="2046" spans="23:23" x14ac:dyDescent="0.2">
      <c r="W2046" s="631"/>
    </row>
    <row r="2047" spans="23:23" x14ac:dyDescent="0.2">
      <c r="W2047" s="631"/>
    </row>
    <row r="2048" spans="23:23" x14ac:dyDescent="0.2">
      <c r="W2048" s="631"/>
    </row>
    <row r="2049" spans="23:23" x14ac:dyDescent="0.2">
      <c r="W2049" s="631"/>
    </row>
    <row r="2050" spans="23:23" x14ac:dyDescent="0.2">
      <c r="W2050" s="631"/>
    </row>
    <row r="2051" spans="23:23" x14ac:dyDescent="0.2">
      <c r="W2051" s="631"/>
    </row>
    <row r="2052" spans="23:23" x14ac:dyDescent="0.2">
      <c r="W2052" s="631"/>
    </row>
    <row r="2053" spans="23:23" x14ac:dyDescent="0.2">
      <c r="W2053" s="631"/>
    </row>
    <row r="2054" spans="23:23" x14ac:dyDescent="0.2">
      <c r="W2054" s="631"/>
    </row>
    <row r="2055" spans="23:23" x14ac:dyDescent="0.2">
      <c r="W2055" s="631"/>
    </row>
    <row r="2056" spans="23:23" x14ac:dyDescent="0.2">
      <c r="W2056" s="631"/>
    </row>
    <row r="2057" spans="23:23" x14ac:dyDescent="0.2">
      <c r="W2057" s="631"/>
    </row>
    <row r="2058" spans="23:23" x14ac:dyDescent="0.2">
      <c r="W2058" s="631"/>
    </row>
    <row r="2059" spans="23:23" x14ac:dyDescent="0.2">
      <c r="W2059" s="631"/>
    </row>
    <row r="2060" spans="23:23" x14ac:dyDescent="0.2">
      <c r="W2060" s="631"/>
    </row>
    <row r="2061" spans="23:23" x14ac:dyDescent="0.2">
      <c r="W2061" s="631"/>
    </row>
    <row r="2062" spans="23:23" x14ac:dyDescent="0.2">
      <c r="W2062" s="631"/>
    </row>
    <row r="2063" spans="23:23" x14ac:dyDescent="0.2">
      <c r="W2063" s="631"/>
    </row>
    <row r="2064" spans="23:23" x14ac:dyDescent="0.2">
      <c r="W2064" s="631"/>
    </row>
    <row r="2065" spans="23:23" x14ac:dyDescent="0.2">
      <c r="W2065" s="631"/>
    </row>
    <row r="2066" spans="23:23" x14ac:dyDescent="0.2">
      <c r="W2066" s="631"/>
    </row>
    <row r="2067" spans="23:23" x14ac:dyDescent="0.2">
      <c r="W2067" s="631"/>
    </row>
    <row r="2068" spans="23:23" x14ac:dyDescent="0.2">
      <c r="W2068" s="631"/>
    </row>
    <row r="2069" spans="23:23" x14ac:dyDescent="0.2">
      <c r="W2069" s="631"/>
    </row>
    <row r="2070" spans="23:23" x14ac:dyDescent="0.2">
      <c r="W2070" s="631"/>
    </row>
    <row r="2071" spans="23:23" x14ac:dyDescent="0.2">
      <c r="W2071" s="631"/>
    </row>
    <row r="2072" spans="23:23" x14ac:dyDescent="0.2">
      <c r="W2072" s="631"/>
    </row>
    <row r="2073" spans="23:23" x14ac:dyDescent="0.2">
      <c r="W2073" s="631"/>
    </row>
    <row r="2074" spans="23:23" x14ac:dyDescent="0.2">
      <c r="W2074" s="631"/>
    </row>
    <row r="2075" spans="23:23" x14ac:dyDescent="0.2">
      <c r="W2075" s="631"/>
    </row>
    <row r="2076" spans="23:23" x14ac:dyDescent="0.2">
      <c r="W2076" s="631"/>
    </row>
    <row r="2077" spans="23:23" x14ac:dyDescent="0.2">
      <c r="W2077" s="631"/>
    </row>
    <row r="2078" spans="23:23" x14ac:dyDescent="0.2">
      <c r="W2078" s="631"/>
    </row>
    <row r="2079" spans="23:23" x14ac:dyDescent="0.2">
      <c r="W2079" s="631"/>
    </row>
    <row r="2080" spans="23:23" x14ac:dyDescent="0.2">
      <c r="W2080" s="631"/>
    </row>
    <row r="2081" spans="23:23" x14ac:dyDescent="0.2">
      <c r="W2081" s="631"/>
    </row>
    <row r="2082" spans="23:23" x14ac:dyDescent="0.2">
      <c r="W2082" s="631"/>
    </row>
    <row r="2083" spans="23:23" x14ac:dyDescent="0.2">
      <c r="W2083" s="631"/>
    </row>
    <row r="2084" spans="23:23" x14ac:dyDescent="0.2">
      <c r="W2084" s="631"/>
    </row>
    <row r="2085" spans="23:23" x14ac:dyDescent="0.2">
      <c r="W2085" s="631"/>
    </row>
    <row r="2086" spans="23:23" x14ac:dyDescent="0.2">
      <c r="W2086" s="631"/>
    </row>
    <row r="2087" spans="23:23" x14ac:dyDescent="0.2">
      <c r="W2087" s="631"/>
    </row>
    <row r="2088" spans="23:23" x14ac:dyDescent="0.2">
      <c r="W2088" s="631"/>
    </row>
    <row r="2089" spans="23:23" x14ac:dyDescent="0.2">
      <c r="W2089" s="631"/>
    </row>
    <row r="2090" spans="23:23" x14ac:dyDescent="0.2">
      <c r="W2090" s="631"/>
    </row>
    <row r="2091" spans="23:23" x14ac:dyDescent="0.2">
      <c r="W2091" s="631"/>
    </row>
    <row r="2092" spans="23:23" x14ac:dyDescent="0.2">
      <c r="W2092" s="631"/>
    </row>
    <row r="2093" spans="23:23" x14ac:dyDescent="0.2">
      <c r="W2093" s="631"/>
    </row>
    <row r="2094" spans="23:23" x14ac:dyDescent="0.2">
      <c r="W2094" s="631"/>
    </row>
    <row r="2095" spans="23:23" x14ac:dyDescent="0.2">
      <c r="W2095" s="631"/>
    </row>
    <row r="2096" spans="23:23" x14ac:dyDescent="0.2">
      <c r="W2096" s="631"/>
    </row>
    <row r="2097" spans="23:23" x14ac:dyDescent="0.2">
      <c r="W2097" s="631"/>
    </row>
    <row r="2098" spans="23:23" x14ac:dyDescent="0.2">
      <c r="W2098" s="631"/>
    </row>
    <row r="2099" spans="23:23" x14ac:dyDescent="0.2">
      <c r="W2099" s="631"/>
    </row>
    <row r="2100" spans="23:23" x14ac:dyDescent="0.2">
      <c r="W2100" s="631"/>
    </row>
    <row r="2101" spans="23:23" x14ac:dyDescent="0.2">
      <c r="W2101" s="631"/>
    </row>
    <row r="2102" spans="23:23" x14ac:dyDescent="0.2">
      <c r="W2102" s="631"/>
    </row>
    <row r="2103" spans="23:23" x14ac:dyDescent="0.2">
      <c r="W2103" s="631"/>
    </row>
    <row r="2104" spans="23:23" x14ac:dyDescent="0.2">
      <c r="W2104" s="631"/>
    </row>
    <row r="2105" spans="23:23" x14ac:dyDescent="0.2">
      <c r="W2105" s="631"/>
    </row>
    <row r="2106" spans="23:23" x14ac:dyDescent="0.2">
      <c r="W2106" s="631"/>
    </row>
    <row r="2107" spans="23:23" x14ac:dyDescent="0.2">
      <c r="W2107" s="631"/>
    </row>
    <row r="2108" spans="23:23" x14ac:dyDescent="0.2">
      <c r="W2108" s="631"/>
    </row>
    <row r="2109" spans="23:23" x14ac:dyDescent="0.2">
      <c r="W2109" s="631"/>
    </row>
    <row r="2110" spans="23:23" x14ac:dyDescent="0.2">
      <c r="W2110" s="631"/>
    </row>
    <row r="2111" spans="23:23" x14ac:dyDescent="0.2">
      <c r="W2111" s="631"/>
    </row>
    <row r="2112" spans="23:23" x14ac:dyDescent="0.2">
      <c r="W2112" s="631"/>
    </row>
    <row r="2113" spans="23:23" x14ac:dyDescent="0.2">
      <c r="W2113" s="631"/>
    </row>
    <row r="2114" spans="23:23" x14ac:dyDescent="0.2">
      <c r="W2114" s="631"/>
    </row>
    <row r="2115" spans="23:23" x14ac:dyDescent="0.2">
      <c r="W2115" s="631"/>
    </row>
    <row r="2116" spans="23:23" x14ac:dyDescent="0.2">
      <c r="W2116" s="631"/>
    </row>
    <row r="2117" spans="23:23" x14ac:dyDescent="0.2">
      <c r="W2117" s="631"/>
    </row>
    <row r="2118" spans="23:23" x14ac:dyDescent="0.2">
      <c r="W2118" s="631"/>
    </row>
    <row r="2119" spans="23:23" x14ac:dyDescent="0.2">
      <c r="W2119" s="631"/>
    </row>
    <row r="2120" spans="23:23" x14ac:dyDescent="0.2">
      <c r="W2120" s="631"/>
    </row>
    <row r="2121" spans="23:23" x14ac:dyDescent="0.2">
      <c r="W2121" s="631"/>
    </row>
    <row r="2122" spans="23:23" x14ac:dyDescent="0.2">
      <c r="W2122" s="631"/>
    </row>
    <row r="2123" spans="23:23" x14ac:dyDescent="0.2">
      <c r="W2123" s="631"/>
    </row>
    <row r="2124" spans="23:23" x14ac:dyDescent="0.2">
      <c r="W2124" s="631"/>
    </row>
    <row r="2125" spans="23:23" x14ac:dyDescent="0.2">
      <c r="W2125" s="631"/>
    </row>
    <row r="2126" spans="23:23" x14ac:dyDescent="0.2">
      <c r="W2126" s="631"/>
    </row>
    <row r="2127" spans="23:23" x14ac:dyDescent="0.2">
      <c r="W2127" s="631"/>
    </row>
    <row r="2128" spans="23:23" x14ac:dyDescent="0.2">
      <c r="W2128" s="631"/>
    </row>
    <row r="2129" spans="23:23" x14ac:dyDescent="0.2">
      <c r="W2129" s="631"/>
    </row>
    <row r="2130" spans="23:23" x14ac:dyDescent="0.2">
      <c r="W2130" s="631"/>
    </row>
    <row r="2131" spans="23:23" x14ac:dyDescent="0.2">
      <c r="W2131" s="631"/>
    </row>
    <row r="2132" spans="23:23" x14ac:dyDescent="0.2">
      <c r="W2132" s="631"/>
    </row>
    <row r="2133" spans="23:23" x14ac:dyDescent="0.2">
      <c r="W2133" s="631"/>
    </row>
    <row r="2134" spans="23:23" x14ac:dyDescent="0.2">
      <c r="W2134" s="631"/>
    </row>
    <row r="2135" spans="23:23" x14ac:dyDescent="0.2">
      <c r="W2135" s="631"/>
    </row>
    <row r="2136" spans="23:23" x14ac:dyDescent="0.2">
      <c r="W2136" s="631"/>
    </row>
    <row r="2137" spans="23:23" x14ac:dyDescent="0.2">
      <c r="W2137" s="631"/>
    </row>
    <row r="2138" spans="23:23" x14ac:dyDescent="0.2">
      <c r="W2138" s="631"/>
    </row>
    <row r="2139" spans="23:23" x14ac:dyDescent="0.2">
      <c r="W2139" s="631"/>
    </row>
    <row r="2140" spans="23:23" x14ac:dyDescent="0.2">
      <c r="W2140" s="631"/>
    </row>
    <row r="2141" spans="23:23" x14ac:dyDescent="0.2">
      <c r="W2141" s="631"/>
    </row>
    <row r="2142" spans="23:23" x14ac:dyDescent="0.2">
      <c r="W2142" s="631"/>
    </row>
    <row r="2143" spans="23:23" x14ac:dyDescent="0.2">
      <c r="W2143" s="631"/>
    </row>
    <row r="2144" spans="23:23" x14ac:dyDescent="0.2">
      <c r="W2144" s="631"/>
    </row>
    <row r="2145" spans="23:23" x14ac:dyDescent="0.2">
      <c r="W2145" s="631"/>
    </row>
    <row r="2146" spans="23:23" x14ac:dyDescent="0.2">
      <c r="W2146" s="631"/>
    </row>
    <row r="2147" spans="23:23" x14ac:dyDescent="0.2">
      <c r="W2147" s="631"/>
    </row>
    <row r="2148" spans="23:23" x14ac:dyDescent="0.2">
      <c r="W2148" s="631"/>
    </row>
    <row r="2149" spans="23:23" x14ac:dyDescent="0.2">
      <c r="W2149" s="631"/>
    </row>
    <row r="2150" spans="23:23" x14ac:dyDescent="0.2">
      <c r="W2150" s="631"/>
    </row>
    <row r="2151" spans="23:23" x14ac:dyDescent="0.2">
      <c r="W2151" s="631"/>
    </row>
    <row r="2152" spans="23:23" x14ac:dyDescent="0.2">
      <c r="W2152" s="631"/>
    </row>
    <row r="2153" spans="23:23" x14ac:dyDescent="0.2">
      <c r="W2153" s="631"/>
    </row>
    <row r="2154" spans="23:23" x14ac:dyDescent="0.2">
      <c r="W2154" s="631"/>
    </row>
    <row r="2155" spans="23:23" x14ac:dyDescent="0.2">
      <c r="W2155" s="631"/>
    </row>
    <row r="2156" spans="23:23" x14ac:dyDescent="0.2">
      <c r="W2156" s="631"/>
    </row>
    <row r="2157" spans="23:23" x14ac:dyDescent="0.2">
      <c r="W2157" s="631"/>
    </row>
    <row r="2158" spans="23:23" x14ac:dyDescent="0.2">
      <c r="W2158" s="631"/>
    </row>
    <row r="2159" spans="23:23" x14ac:dyDescent="0.2">
      <c r="W2159" s="631"/>
    </row>
    <row r="2160" spans="23:23" x14ac:dyDescent="0.2">
      <c r="W2160" s="631"/>
    </row>
    <row r="2161" spans="23:23" x14ac:dyDescent="0.2">
      <c r="W2161" s="631"/>
    </row>
    <row r="2162" spans="23:23" x14ac:dyDescent="0.2">
      <c r="W2162" s="631"/>
    </row>
    <row r="2163" spans="23:23" x14ac:dyDescent="0.2">
      <c r="W2163" s="631"/>
    </row>
    <row r="2164" spans="23:23" x14ac:dyDescent="0.2">
      <c r="W2164" s="631"/>
    </row>
    <row r="2165" spans="23:23" x14ac:dyDescent="0.2">
      <c r="W2165" s="631"/>
    </row>
    <row r="2166" spans="23:23" x14ac:dyDescent="0.2">
      <c r="W2166" s="631"/>
    </row>
    <row r="2167" spans="23:23" x14ac:dyDescent="0.2">
      <c r="W2167" s="631"/>
    </row>
    <row r="2168" spans="23:23" x14ac:dyDescent="0.2">
      <c r="W2168" s="631"/>
    </row>
    <row r="2169" spans="23:23" x14ac:dyDescent="0.2">
      <c r="W2169" s="631"/>
    </row>
    <row r="2170" spans="23:23" x14ac:dyDescent="0.2">
      <c r="W2170" s="631"/>
    </row>
    <row r="2171" spans="23:23" x14ac:dyDescent="0.2">
      <c r="W2171" s="631"/>
    </row>
    <row r="2172" spans="23:23" x14ac:dyDescent="0.2">
      <c r="W2172" s="631"/>
    </row>
    <row r="2173" spans="23:23" x14ac:dyDescent="0.2">
      <c r="W2173" s="631"/>
    </row>
    <row r="2174" spans="23:23" x14ac:dyDescent="0.2">
      <c r="W2174" s="631"/>
    </row>
    <row r="2175" spans="23:23" x14ac:dyDescent="0.2">
      <c r="W2175" s="631"/>
    </row>
    <row r="2176" spans="23:23" x14ac:dyDescent="0.2">
      <c r="W2176" s="631"/>
    </row>
    <row r="2177" spans="23:23" x14ac:dyDescent="0.2">
      <c r="W2177" s="631"/>
    </row>
    <row r="2178" spans="23:23" x14ac:dyDescent="0.2">
      <c r="W2178" s="631"/>
    </row>
    <row r="2179" spans="23:23" x14ac:dyDescent="0.2">
      <c r="W2179" s="631"/>
    </row>
    <row r="2180" spans="23:23" x14ac:dyDescent="0.2">
      <c r="W2180" s="631"/>
    </row>
    <row r="2181" spans="23:23" x14ac:dyDescent="0.2">
      <c r="W2181" s="631"/>
    </row>
    <row r="2182" spans="23:23" x14ac:dyDescent="0.2">
      <c r="W2182" s="631"/>
    </row>
    <row r="2183" spans="23:23" x14ac:dyDescent="0.2">
      <c r="W2183" s="631"/>
    </row>
    <row r="2184" spans="23:23" x14ac:dyDescent="0.2">
      <c r="W2184" s="631"/>
    </row>
    <row r="2185" spans="23:23" x14ac:dyDescent="0.2">
      <c r="W2185" s="631"/>
    </row>
    <row r="2186" spans="23:23" x14ac:dyDescent="0.2">
      <c r="W2186" s="631"/>
    </row>
    <row r="2187" spans="23:23" x14ac:dyDescent="0.2">
      <c r="W2187" s="631"/>
    </row>
    <row r="2188" spans="23:23" x14ac:dyDescent="0.2">
      <c r="W2188" s="631"/>
    </row>
    <row r="2189" spans="23:23" x14ac:dyDescent="0.2">
      <c r="W2189" s="631"/>
    </row>
    <row r="2190" spans="23:23" x14ac:dyDescent="0.2">
      <c r="W2190" s="631"/>
    </row>
    <row r="2191" spans="23:23" x14ac:dyDescent="0.2">
      <c r="W2191" s="631"/>
    </row>
    <row r="2192" spans="23:23" x14ac:dyDescent="0.2">
      <c r="W2192" s="631"/>
    </row>
    <row r="2193" spans="23:23" x14ac:dyDescent="0.2">
      <c r="W2193" s="631"/>
    </row>
    <row r="2194" spans="23:23" x14ac:dyDescent="0.2">
      <c r="W2194" s="631"/>
    </row>
    <row r="2195" spans="23:23" x14ac:dyDescent="0.2">
      <c r="W2195" s="631"/>
    </row>
    <row r="2196" spans="23:23" x14ac:dyDescent="0.2">
      <c r="W2196" s="631"/>
    </row>
    <row r="2197" spans="23:23" x14ac:dyDescent="0.2">
      <c r="W2197" s="631"/>
    </row>
    <row r="2198" spans="23:23" x14ac:dyDescent="0.2">
      <c r="W2198" s="631"/>
    </row>
    <row r="2199" spans="23:23" x14ac:dyDescent="0.2">
      <c r="W2199" s="631"/>
    </row>
    <row r="2200" spans="23:23" x14ac:dyDescent="0.2">
      <c r="W2200" s="631"/>
    </row>
    <row r="2201" spans="23:23" x14ac:dyDescent="0.2">
      <c r="W2201" s="631"/>
    </row>
    <row r="2202" spans="23:23" x14ac:dyDescent="0.2">
      <c r="W2202" s="631"/>
    </row>
    <row r="2203" spans="23:23" x14ac:dyDescent="0.2">
      <c r="W2203" s="631"/>
    </row>
    <row r="2204" spans="23:23" x14ac:dyDescent="0.2">
      <c r="W2204" s="631"/>
    </row>
    <row r="2205" spans="23:23" x14ac:dyDescent="0.2">
      <c r="W2205" s="631"/>
    </row>
    <row r="2206" spans="23:23" x14ac:dyDescent="0.2">
      <c r="W2206" s="631"/>
    </row>
    <row r="2207" spans="23:23" x14ac:dyDescent="0.2">
      <c r="W2207" s="631"/>
    </row>
    <row r="2208" spans="23:23" x14ac:dyDescent="0.2">
      <c r="W2208" s="631"/>
    </row>
    <row r="2209" spans="23:23" x14ac:dyDescent="0.2">
      <c r="W2209" s="631"/>
    </row>
    <row r="2210" spans="23:23" x14ac:dyDescent="0.2">
      <c r="W2210" s="631"/>
    </row>
    <row r="2211" spans="23:23" x14ac:dyDescent="0.2">
      <c r="W2211" s="631"/>
    </row>
    <row r="2212" spans="23:23" x14ac:dyDescent="0.2">
      <c r="W2212" s="631"/>
    </row>
    <row r="2213" spans="23:23" x14ac:dyDescent="0.2">
      <c r="W2213" s="631"/>
    </row>
    <row r="2214" spans="23:23" x14ac:dyDescent="0.2">
      <c r="W2214" s="631"/>
    </row>
    <row r="2215" spans="23:23" x14ac:dyDescent="0.2">
      <c r="W2215" s="631"/>
    </row>
    <row r="2216" spans="23:23" x14ac:dyDescent="0.2">
      <c r="W2216" s="631"/>
    </row>
    <row r="2217" spans="23:23" x14ac:dyDescent="0.2">
      <c r="W2217" s="631"/>
    </row>
    <row r="2218" spans="23:23" x14ac:dyDescent="0.2">
      <c r="W2218" s="631"/>
    </row>
    <row r="2219" spans="23:23" x14ac:dyDescent="0.2">
      <c r="W2219" s="631"/>
    </row>
    <row r="2220" spans="23:23" x14ac:dyDescent="0.2">
      <c r="W2220" s="631"/>
    </row>
    <row r="2221" spans="23:23" x14ac:dyDescent="0.2">
      <c r="W2221" s="631"/>
    </row>
    <row r="2222" spans="23:23" x14ac:dyDescent="0.2">
      <c r="W2222" s="631"/>
    </row>
    <row r="2223" spans="23:23" x14ac:dyDescent="0.2">
      <c r="W2223" s="631"/>
    </row>
    <row r="2224" spans="23:23" x14ac:dyDescent="0.2">
      <c r="W2224" s="631"/>
    </row>
    <row r="2225" spans="23:23" x14ac:dyDescent="0.2">
      <c r="W2225" s="631"/>
    </row>
    <row r="2226" spans="23:23" x14ac:dyDescent="0.2">
      <c r="W2226" s="631"/>
    </row>
    <row r="2227" spans="23:23" x14ac:dyDescent="0.2">
      <c r="W2227" s="631"/>
    </row>
    <row r="2228" spans="23:23" x14ac:dyDescent="0.2">
      <c r="W2228" s="631"/>
    </row>
    <row r="2229" spans="23:23" x14ac:dyDescent="0.2">
      <c r="W2229" s="631"/>
    </row>
    <row r="2230" spans="23:23" x14ac:dyDescent="0.2">
      <c r="W2230" s="631"/>
    </row>
    <row r="2231" spans="23:23" x14ac:dyDescent="0.2">
      <c r="W2231" s="631"/>
    </row>
    <row r="2232" spans="23:23" x14ac:dyDescent="0.2">
      <c r="W2232" s="631"/>
    </row>
    <row r="2233" spans="23:23" x14ac:dyDescent="0.2">
      <c r="W2233" s="631"/>
    </row>
    <row r="2234" spans="23:23" x14ac:dyDescent="0.2">
      <c r="W2234" s="631"/>
    </row>
    <row r="2235" spans="23:23" x14ac:dyDescent="0.2">
      <c r="W2235" s="631"/>
    </row>
    <row r="2236" spans="23:23" x14ac:dyDescent="0.2">
      <c r="W2236" s="631"/>
    </row>
    <row r="2237" spans="23:23" x14ac:dyDescent="0.2">
      <c r="W2237" s="631"/>
    </row>
    <row r="2238" spans="23:23" x14ac:dyDescent="0.2">
      <c r="W2238" s="631"/>
    </row>
    <row r="2239" spans="23:23" x14ac:dyDescent="0.2">
      <c r="W2239" s="631"/>
    </row>
    <row r="2240" spans="23:23" x14ac:dyDescent="0.2">
      <c r="W2240" s="631"/>
    </row>
    <row r="2241" spans="23:23" x14ac:dyDescent="0.2">
      <c r="W2241" s="631"/>
    </row>
    <row r="2242" spans="23:23" x14ac:dyDescent="0.2">
      <c r="W2242" s="631"/>
    </row>
    <row r="2243" spans="23:23" x14ac:dyDescent="0.2">
      <c r="W2243" s="631"/>
    </row>
    <row r="2244" spans="23:23" x14ac:dyDescent="0.2">
      <c r="W2244" s="631"/>
    </row>
    <row r="2245" spans="23:23" x14ac:dyDescent="0.2">
      <c r="W2245" s="631"/>
    </row>
    <row r="2246" spans="23:23" x14ac:dyDescent="0.2">
      <c r="W2246" s="631"/>
    </row>
    <row r="2247" spans="23:23" x14ac:dyDescent="0.2">
      <c r="W2247" s="631"/>
    </row>
    <row r="2248" spans="23:23" x14ac:dyDescent="0.2">
      <c r="W2248" s="631"/>
    </row>
    <row r="2249" spans="23:23" x14ac:dyDescent="0.2">
      <c r="W2249" s="631"/>
    </row>
    <row r="2250" spans="23:23" x14ac:dyDescent="0.2">
      <c r="W2250" s="631"/>
    </row>
    <row r="2251" spans="23:23" x14ac:dyDescent="0.2">
      <c r="W2251" s="631"/>
    </row>
    <row r="2252" spans="23:23" x14ac:dyDescent="0.2">
      <c r="W2252" s="631"/>
    </row>
    <row r="2253" spans="23:23" x14ac:dyDescent="0.2">
      <c r="W2253" s="631"/>
    </row>
    <row r="2254" spans="23:23" x14ac:dyDescent="0.2">
      <c r="W2254" s="631"/>
    </row>
    <row r="2255" spans="23:23" x14ac:dyDescent="0.2">
      <c r="W2255" s="631"/>
    </row>
    <row r="2256" spans="23:23" x14ac:dyDescent="0.2">
      <c r="W2256" s="631"/>
    </row>
    <row r="2257" spans="23:23" x14ac:dyDescent="0.2">
      <c r="W2257" s="631"/>
    </row>
    <row r="2258" spans="23:23" x14ac:dyDescent="0.2">
      <c r="W2258" s="631"/>
    </row>
    <row r="2259" spans="23:23" x14ac:dyDescent="0.2">
      <c r="W2259" s="631"/>
    </row>
    <row r="2260" spans="23:23" x14ac:dyDescent="0.2">
      <c r="W2260" s="631"/>
    </row>
    <row r="2261" spans="23:23" x14ac:dyDescent="0.2">
      <c r="W2261" s="631"/>
    </row>
    <row r="2262" spans="23:23" x14ac:dyDescent="0.2">
      <c r="W2262" s="631"/>
    </row>
    <row r="2263" spans="23:23" x14ac:dyDescent="0.2">
      <c r="W2263" s="631"/>
    </row>
    <row r="2264" spans="23:23" x14ac:dyDescent="0.2">
      <c r="W2264" s="631"/>
    </row>
    <row r="2265" spans="23:23" x14ac:dyDescent="0.2">
      <c r="W2265" s="631"/>
    </row>
    <row r="2266" spans="23:23" x14ac:dyDescent="0.2">
      <c r="W2266" s="631"/>
    </row>
    <row r="2267" spans="23:23" x14ac:dyDescent="0.2">
      <c r="W2267" s="631"/>
    </row>
    <row r="2268" spans="23:23" x14ac:dyDescent="0.2">
      <c r="W2268" s="631"/>
    </row>
    <row r="2269" spans="23:23" x14ac:dyDescent="0.2">
      <c r="W2269" s="631"/>
    </row>
    <row r="2270" spans="23:23" x14ac:dyDescent="0.2">
      <c r="W2270" s="631"/>
    </row>
    <row r="2271" spans="23:23" x14ac:dyDescent="0.2">
      <c r="W2271" s="631"/>
    </row>
    <row r="2272" spans="23:23" x14ac:dyDescent="0.2">
      <c r="W2272" s="631"/>
    </row>
    <row r="2273" spans="23:23" x14ac:dyDescent="0.2">
      <c r="W2273" s="631"/>
    </row>
    <row r="2274" spans="23:23" x14ac:dyDescent="0.2">
      <c r="W2274" s="631"/>
    </row>
    <row r="2275" spans="23:23" x14ac:dyDescent="0.2">
      <c r="W2275" s="631"/>
    </row>
    <row r="2276" spans="23:23" x14ac:dyDescent="0.2">
      <c r="W2276" s="631"/>
    </row>
    <row r="2277" spans="23:23" x14ac:dyDescent="0.2">
      <c r="W2277" s="631"/>
    </row>
    <row r="2278" spans="23:23" x14ac:dyDescent="0.2">
      <c r="W2278" s="631"/>
    </row>
    <row r="2279" spans="23:23" x14ac:dyDescent="0.2">
      <c r="W2279" s="631"/>
    </row>
    <row r="2280" spans="23:23" x14ac:dyDescent="0.2">
      <c r="W2280" s="631"/>
    </row>
    <row r="2281" spans="23:23" x14ac:dyDescent="0.2">
      <c r="W2281" s="631"/>
    </row>
    <row r="2282" spans="23:23" x14ac:dyDescent="0.2">
      <c r="W2282" s="631"/>
    </row>
    <row r="2283" spans="23:23" x14ac:dyDescent="0.2">
      <c r="W2283" s="631"/>
    </row>
    <row r="2284" spans="23:23" x14ac:dyDescent="0.2">
      <c r="W2284" s="631"/>
    </row>
    <row r="2285" spans="23:23" x14ac:dyDescent="0.2">
      <c r="W2285" s="631"/>
    </row>
    <row r="2286" spans="23:23" x14ac:dyDescent="0.2">
      <c r="W2286" s="631"/>
    </row>
    <row r="2287" spans="23:23" x14ac:dyDescent="0.2">
      <c r="W2287" s="631"/>
    </row>
    <row r="2288" spans="23:23" x14ac:dyDescent="0.2">
      <c r="W2288" s="631"/>
    </row>
    <row r="2289" spans="23:23" x14ac:dyDescent="0.2">
      <c r="W2289" s="631"/>
    </row>
    <row r="2290" spans="23:23" x14ac:dyDescent="0.2">
      <c r="W2290" s="631"/>
    </row>
    <row r="2291" spans="23:23" x14ac:dyDescent="0.2">
      <c r="W2291" s="631"/>
    </row>
    <row r="2292" spans="23:23" x14ac:dyDescent="0.2">
      <c r="W2292" s="631"/>
    </row>
    <row r="2293" spans="23:23" x14ac:dyDescent="0.2">
      <c r="W2293" s="631"/>
    </row>
    <row r="2294" spans="23:23" x14ac:dyDescent="0.2">
      <c r="W2294" s="631"/>
    </row>
    <row r="2295" spans="23:23" x14ac:dyDescent="0.2">
      <c r="W2295" s="631"/>
    </row>
    <row r="2296" spans="23:23" x14ac:dyDescent="0.2">
      <c r="W2296" s="631"/>
    </row>
    <row r="2297" spans="23:23" x14ac:dyDescent="0.2">
      <c r="W2297" s="631"/>
    </row>
    <row r="2298" spans="23:23" x14ac:dyDescent="0.2">
      <c r="W2298" s="631"/>
    </row>
    <row r="2299" spans="23:23" x14ac:dyDescent="0.2">
      <c r="W2299" s="631"/>
    </row>
    <row r="2300" spans="23:23" x14ac:dyDescent="0.2">
      <c r="W2300" s="631"/>
    </row>
    <row r="2301" spans="23:23" x14ac:dyDescent="0.2">
      <c r="W2301" s="631"/>
    </row>
    <row r="2302" spans="23:23" x14ac:dyDescent="0.2">
      <c r="W2302" s="631"/>
    </row>
    <row r="2303" spans="23:23" x14ac:dyDescent="0.2">
      <c r="W2303" s="631"/>
    </row>
    <row r="2304" spans="23:23" x14ac:dyDescent="0.2">
      <c r="W2304" s="631"/>
    </row>
    <row r="2305" spans="23:23" x14ac:dyDescent="0.2">
      <c r="W2305" s="631"/>
    </row>
    <row r="2306" spans="23:23" x14ac:dyDescent="0.2">
      <c r="W2306" s="631"/>
    </row>
    <row r="2307" spans="23:23" x14ac:dyDescent="0.2">
      <c r="W2307" s="631"/>
    </row>
    <row r="2308" spans="23:23" x14ac:dyDescent="0.2">
      <c r="W2308" s="631"/>
    </row>
    <row r="2309" spans="23:23" x14ac:dyDescent="0.2">
      <c r="W2309" s="631"/>
    </row>
    <row r="2310" spans="23:23" x14ac:dyDescent="0.2">
      <c r="W2310" s="631"/>
    </row>
    <row r="2311" spans="23:23" x14ac:dyDescent="0.2">
      <c r="W2311" s="631"/>
    </row>
    <row r="2312" spans="23:23" x14ac:dyDescent="0.2">
      <c r="W2312" s="631"/>
    </row>
    <row r="2313" spans="23:23" x14ac:dyDescent="0.2">
      <c r="W2313" s="631"/>
    </row>
    <row r="2314" spans="23:23" x14ac:dyDescent="0.2">
      <c r="W2314" s="631"/>
    </row>
    <row r="2315" spans="23:23" x14ac:dyDescent="0.2">
      <c r="W2315" s="631"/>
    </row>
    <row r="2316" spans="23:23" x14ac:dyDescent="0.2">
      <c r="W2316" s="631"/>
    </row>
    <row r="2317" spans="23:23" x14ac:dyDescent="0.2">
      <c r="W2317" s="631"/>
    </row>
    <row r="2318" spans="23:23" x14ac:dyDescent="0.2">
      <c r="W2318" s="631"/>
    </row>
    <row r="2319" spans="23:23" x14ac:dyDescent="0.2">
      <c r="W2319" s="631"/>
    </row>
    <row r="2320" spans="23:23" x14ac:dyDescent="0.2">
      <c r="W2320" s="631"/>
    </row>
    <row r="2321" spans="23:23" x14ac:dyDescent="0.2">
      <c r="W2321" s="631"/>
    </row>
    <row r="2322" spans="23:23" x14ac:dyDescent="0.2">
      <c r="W2322" s="631"/>
    </row>
    <row r="2323" spans="23:23" x14ac:dyDescent="0.2">
      <c r="W2323" s="631"/>
    </row>
    <row r="2324" spans="23:23" x14ac:dyDescent="0.2">
      <c r="W2324" s="631"/>
    </row>
    <row r="2325" spans="23:23" x14ac:dyDescent="0.2">
      <c r="W2325" s="631"/>
    </row>
    <row r="2326" spans="23:23" x14ac:dyDescent="0.2">
      <c r="W2326" s="631"/>
    </row>
    <row r="2327" spans="23:23" x14ac:dyDescent="0.2">
      <c r="W2327" s="631"/>
    </row>
    <row r="2328" spans="23:23" x14ac:dyDescent="0.2">
      <c r="W2328" s="631"/>
    </row>
    <row r="2329" spans="23:23" x14ac:dyDescent="0.2">
      <c r="W2329" s="631"/>
    </row>
    <row r="2330" spans="23:23" x14ac:dyDescent="0.2">
      <c r="W2330" s="631"/>
    </row>
    <row r="2331" spans="23:23" x14ac:dyDescent="0.2">
      <c r="W2331" s="631"/>
    </row>
    <row r="2332" spans="23:23" x14ac:dyDescent="0.2">
      <c r="W2332" s="631"/>
    </row>
    <row r="2333" spans="23:23" x14ac:dyDescent="0.2">
      <c r="W2333" s="631"/>
    </row>
    <row r="2334" spans="23:23" x14ac:dyDescent="0.2">
      <c r="W2334" s="631"/>
    </row>
    <row r="2335" spans="23:23" x14ac:dyDescent="0.2">
      <c r="W2335" s="631"/>
    </row>
    <row r="2336" spans="23:23" x14ac:dyDescent="0.2">
      <c r="W2336" s="631"/>
    </row>
    <row r="2337" spans="23:23" x14ac:dyDescent="0.2">
      <c r="W2337" s="631"/>
    </row>
    <row r="2338" spans="23:23" x14ac:dyDescent="0.2">
      <c r="W2338" s="631"/>
    </row>
    <row r="2339" spans="23:23" x14ac:dyDescent="0.2">
      <c r="W2339" s="631"/>
    </row>
    <row r="2340" spans="23:23" x14ac:dyDescent="0.2">
      <c r="W2340" s="631"/>
    </row>
    <row r="2341" spans="23:23" x14ac:dyDescent="0.2">
      <c r="W2341" s="631"/>
    </row>
    <row r="2342" spans="23:23" x14ac:dyDescent="0.2">
      <c r="W2342" s="631"/>
    </row>
    <row r="2343" spans="23:23" x14ac:dyDescent="0.2">
      <c r="W2343" s="631"/>
    </row>
    <row r="2344" spans="23:23" x14ac:dyDescent="0.2">
      <c r="W2344" s="631"/>
    </row>
    <row r="2345" spans="23:23" x14ac:dyDescent="0.2">
      <c r="W2345" s="631"/>
    </row>
    <row r="2346" spans="23:23" x14ac:dyDescent="0.2">
      <c r="W2346" s="631"/>
    </row>
    <row r="2347" spans="23:23" x14ac:dyDescent="0.2">
      <c r="W2347" s="631"/>
    </row>
    <row r="2348" spans="23:23" x14ac:dyDescent="0.2">
      <c r="W2348" s="631"/>
    </row>
    <row r="2349" spans="23:23" x14ac:dyDescent="0.2">
      <c r="W2349" s="631"/>
    </row>
    <row r="2350" spans="23:23" x14ac:dyDescent="0.2">
      <c r="W2350" s="631"/>
    </row>
    <row r="2351" spans="23:23" x14ac:dyDescent="0.2">
      <c r="W2351" s="631"/>
    </row>
    <row r="2352" spans="23:23" x14ac:dyDescent="0.2">
      <c r="W2352" s="631"/>
    </row>
    <row r="2353" spans="23:23" x14ac:dyDescent="0.2">
      <c r="W2353" s="631"/>
    </row>
    <row r="2354" spans="23:23" x14ac:dyDescent="0.2">
      <c r="W2354" s="631"/>
    </row>
    <row r="2355" spans="23:23" x14ac:dyDescent="0.2">
      <c r="W2355" s="631"/>
    </row>
    <row r="2356" spans="23:23" x14ac:dyDescent="0.2">
      <c r="W2356" s="631"/>
    </row>
    <row r="2357" spans="23:23" x14ac:dyDescent="0.2">
      <c r="W2357" s="631"/>
    </row>
    <row r="2358" spans="23:23" x14ac:dyDescent="0.2">
      <c r="W2358" s="631"/>
    </row>
    <row r="2359" spans="23:23" x14ac:dyDescent="0.2">
      <c r="W2359" s="631"/>
    </row>
    <row r="2360" spans="23:23" x14ac:dyDescent="0.2">
      <c r="W2360" s="631"/>
    </row>
    <row r="2361" spans="23:23" x14ac:dyDescent="0.2">
      <c r="W2361" s="631"/>
    </row>
    <row r="2362" spans="23:23" x14ac:dyDescent="0.2">
      <c r="W2362" s="631"/>
    </row>
    <row r="2363" spans="23:23" x14ac:dyDescent="0.2">
      <c r="W2363" s="631"/>
    </row>
    <row r="2364" spans="23:23" x14ac:dyDescent="0.2">
      <c r="W2364" s="631"/>
    </row>
    <row r="2365" spans="23:23" x14ac:dyDescent="0.2">
      <c r="W2365" s="631"/>
    </row>
    <row r="2366" spans="23:23" x14ac:dyDescent="0.2">
      <c r="W2366" s="631"/>
    </row>
    <row r="2367" spans="23:23" x14ac:dyDescent="0.2">
      <c r="W2367" s="631"/>
    </row>
    <row r="2368" spans="23:23" x14ac:dyDescent="0.2">
      <c r="W2368" s="631"/>
    </row>
    <row r="2369" spans="23:23" x14ac:dyDescent="0.2">
      <c r="W2369" s="631"/>
    </row>
    <row r="2370" spans="23:23" x14ac:dyDescent="0.2">
      <c r="W2370" s="631"/>
    </row>
    <row r="2371" spans="23:23" x14ac:dyDescent="0.2">
      <c r="W2371" s="631"/>
    </row>
    <row r="2372" spans="23:23" x14ac:dyDescent="0.2">
      <c r="W2372" s="631"/>
    </row>
    <row r="2373" spans="23:23" x14ac:dyDescent="0.2">
      <c r="W2373" s="631"/>
    </row>
    <row r="2374" spans="23:23" x14ac:dyDescent="0.2">
      <c r="W2374" s="631"/>
    </row>
    <row r="2375" spans="23:23" x14ac:dyDescent="0.2">
      <c r="W2375" s="631"/>
    </row>
    <row r="2376" spans="23:23" x14ac:dyDescent="0.2">
      <c r="W2376" s="631"/>
    </row>
    <row r="2377" spans="23:23" x14ac:dyDescent="0.2">
      <c r="W2377" s="631"/>
    </row>
    <row r="2378" spans="23:23" x14ac:dyDescent="0.2">
      <c r="W2378" s="631"/>
    </row>
    <row r="2379" spans="23:23" x14ac:dyDescent="0.2">
      <c r="W2379" s="631"/>
    </row>
    <row r="2380" spans="23:23" x14ac:dyDescent="0.2">
      <c r="W2380" s="631"/>
    </row>
    <row r="2381" spans="23:23" x14ac:dyDescent="0.2">
      <c r="W2381" s="631"/>
    </row>
    <row r="2382" spans="23:23" x14ac:dyDescent="0.2">
      <c r="W2382" s="631"/>
    </row>
    <row r="2383" spans="23:23" x14ac:dyDescent="0.2">
      <c r="W2383" s="631"/>
    </row>
    <row r="2384" spans="23:23" x14ac:dyDescent="0.2">
      <c r="W2384" s="631"/>
    </row>
    <row r="2385" spans="23:23" x14ac:dyDescent="0.2">
      <c r="W2385" s="631"/>
    </row>
    <row r="2386" spans="23:23" x14ac:dyDescent="0.2">
      <c r="W2386" s="631"/>
    </row>
    <row r="2387" spans="23:23" x14ac:dyDescent="0.2">
      <c r="W2387" s="631"/>
    </row>
    <row r="2388" spans="23:23" x14ac:dyDescent="0.2">
      <c r="W2388" s="631"/>
    </row>
    <row r="2389" spans="23:23" x14ac:dyDescent="0.2">
      <c r="W2389" s="631"/>
    </row>
    <row r="2390" spans="23:23" x14ac:dyDescent="0.2">
      <c r="W2390" s="631"/>
    </row>
    <row r="2391" spans="23:23" x14ac:dyDescent="0.2">
      <c r="W2391" s="631"/>
    </row>
    <row r="2392" spans="23:23" x14ac:dyDescent="0.2">
      <c r="W2392" s="631"/>
    </row>
    <row r="2393" spans="23:23" x14ac:dyDescent="0.2">
      <c r="W2393" s="631"/>
    </row>
    <row r="2394" spans="23:23" x14ac:dyDescent="0.2">
      <c r="W2394" s="631"/>
    </row>
    <row r="2395" spans="23:23" x14ac:dyDescent="0.2">
      <c r="W2395" s="631"/>
    </row>
    <row r="2396" spans="23:23" x14ac:dyDescent="0.2">
      <c r="W2396" s="631"/>
    </row>
    <row r="2397" spans="23:23" x14ac:dyDescent="0.2">
      <c r="W2397" s="631"/>
    </row>
    <row r="2398" spans="23:23" x14ac:dyDescent="0.2">
      <c r="W2398" s="631"/>
    </row>
    <row r="2399" spans="23:23" x14ac:dyDescent="0.2">
      <c r="W2399" s="631"/>
    </row>
    <row r="2400" spans="23:23" x14ac:dyDescent="0.2">
      <c r="W2400" s="631"/>
    </row>
    <row r="2401" spans="23:23" x14ac:dyDescent="0.2">
      <c r="W2401" s="631"/>
    </row>
    <row r="2402" spans="23:23" x14ac:dyDescent="0.2">
      <c r="W2402" s="631"/>
    </row>
    <row r="2403" spans="23:23" x14ac:dyDescent="0.2">
      <c r="W2403" s="631"/>
    </row>
    <row r="2404" spans="23:23" x14ac:dyDescent="0.2">
      <c r="W2404" s="631"/>
    </row>
    <row r="2405" spans="23:23" x14ac:dyDescent="0.2">
      <c r="W2405" s="631"/>
    </row>
    <row r="2406" spans="23:23" x14ac:dyDescent="0.2">
      <c r="W2406" s="631"/>
    </row>
    <row r="2407" spans="23:23" x14ac:dyDescent="0.2">
      <c r="W2407" s="631"/>
    </row>
    <row r="2408" spans="23:23" x14ac:dyDescent="0.2">
      <c r="W2408" s="631"/>
    </row>
    <row r="2409" spans="23:23" x14ac:dyDescent="0.2">
      <c r="W2409" s="631"/>
    </row>
    <row r="2410" spans="23:23" x14ac:dyDescent="0.2">
      <c r="W2410" s="631"/>
    </row>
    <row r="2411" spans="23:23" x14ac:dyDescent="0.2">
      <c r="W2411" s="631"/>
    </row>
    <row r="2412" spans="23:23" x14ac:dyDescent="0.2">
      <c r="W2412" s="631"/>
    </row>
    <row r="2413" spans="23:23" x14ac:dyDescent="0.2">
      <c r="W2413" s="631"/>
    </row>
    <row r="2414" spans="23:23" x14ac:dyDescent="0.2">
      <c r="W2414" s="631"/>
    </row>
    <row r="2415" spans="23:23" x14ac:dyDescent="0.2">
      <c r="W2415" s="631"/>
    </row>
    <row r="2416" spans="23:23" x14ac:dyDescent="0.2">
      <c r="W2416" s="631"/>
    </row>
    <row r="2417" spans="23:23" x14ac:dyDescent="0.2">
      <c r="W2417" s="631"/>
    </row>
    <row r="2418" spans="23:23" x14ac:dyDescent="0.2">
      <c r="W2418" s="631"/>
    </row>
    <row r="2419" spans="23:23" x14ac:dyDescent="0.2">
      <c r="W2419" s="631"/>
    </row>
    <row r="2420" spans="23:23" x14ac:dyDescent="0.2">
      <c r="W2420" s="631"/>
    </row>
    <row r="2421" spans="23:23" x14ac:dyDescent="0.2">
      <c r="W2421" s="631"/>
    </row>
    <row r="2422" spans="23:23" x14ac:dyDescent="0.2">
      <c r="W2422" s="631"/>
    </row>
    <row r="2423" spans="23:23" x14ac:dyDescent="0.2">
      <c r="W2423" s="631"/>
    </row>
    <row r="2424" spans="23:23" x14ac:dyDescent="0.2">
      <c r="W2424" s="631"/>
    </row>
    <row r="2425" spans="23:23" x14ac:dyDescent="0.2">
      <c r="W2425" s="631"/>
    </row>
    <row r="2426" spans="23:23" x14ac:dyDescent="0.2">
      <c r="W2426" s="631"/>
    </row>
    <row r="2427" spans="23:23" x14ac:dyDescent="0.2">
      <c r="W2427" s="631"/>
    </row>
    <row r="2428" spans="23:23" x14ac:dyDescent="0.2">
      <c r="W2428" s="631"/>
    </row>
    <row r="2429" spans="23:23" x14ac:dyDescent="0.2">
      <c r="W2429" s="631"/>
    </row>
    <row r="2430" spans="23:23" x14ac:dyDescent="0.2">
      <c r="W2430" s="631"/>
    </row>
    <row r="2431" spans="23:23" x14ac:dyDescent="0.2">
      <c r="W2431" s="631"/>
    </row>
    <row r="2432" spans="23:23" x14ac:dyDescent="0.2">
      <c r="W2432" s="631"/>
    </row>
    <row r="2433" spans="23:23" x14ac:dyDescent="0.2">
      <c r="W2433" s="631"/>
    </row>
    <row r="2434" spans="23:23" x14ac:dyDescent="0.2">
      <c r="W2434" s="631"/>
    </row>
    <row r="2435" spans="23:23" x14ac:dyDescent="0.2">
      <c r="W2435" s="631"/>
    </row>
    <row r="2436" spans="23:23" x14ac:dyDescent="0.2">
      <c r="W2436" s="631"/>
    </row>
    <row r="2437" spans="23:23" x14ac:dyDescent="0.2">
      <c r="W2437" s="631"/>
    </row>
    <row r="2438" spans="23:23" x14ac:dyDescent="0.2">
      <c r="W2438" s="631"/>
    </row>
    <row r="2439" spans="23:23" x14ac:dyDescent="0.2">
      <c r="W2439" s="631"/>
    </row>
    <row r="2440" spans="23:23" x14ac:dyDescent="0.2">
      <c r="W2440" s="631"/>
    </row>
    <row r="2441" spans="23:23" x14ac:dyDescent="0.2">
      <c r="W2441" s="631"/>
    </row>
    <row r="2442" spans="23:23" x14ac:dyDescent="0.2">
      <c r="W2442" s="631"/>
    </row>
    <row r="2443" spans="23:23" x14ac:dyDescent="0.2">
      <c r="W2443" s="631"/>
    </row>
    <row r="2444" spans="23:23" x14ac:dyDescent="0.2">
      <c r="W2444" s="631"/>
    </row>
    <row r="2445" spans="23:23" x14ac:dyDescent="0.2">
      <c r="W2445" s="631"/>
    </row>
    <row r="2446" spans="23:23" x14ac:dyDescent="0.2">
      <c r="W2446" s="631"/>
    </row>
    <row r="2447" spans="23:23" x14ac:dyDescent="0.2">
      <c r="W2447" s="631"/>
    </row>
    <row r="2448" spans="23:23" x14ac:dyDescent="0.2">
      <c r="W2448" s="631"/>
    </row>
    <row r="2449" spans="23:23" x14ac:dyDescent="0.2">
      <c r="W2449" s="631"/>
    </row>
    <row r="2450" spans="23:23" x14ac:dyDescent="0.2">
      <c r="W2450" s="631"/>
    </row>
    <row r="2451" spans="23:23" x14ac:dyDescent="0.2">
      <c r="W2451" s="631"/>
    </row>
    <row r="2452" spans="23:23" x14ac:dyDescent="0.2">
      <c r="W2452" s="631"/>
    </row>
    <row r="2453" spans="23:23" x14ac:dyDescent="0.2">
      <c r="W2453" s="631"/>
    </row>
    <row r="2454" spans="23:23" x14ac:dyDescent="0.2">
      <c r="W2454" s="631"/>
    </row>
    <row r="2455" spans="23:23" x14ac:dyDescent="0.2">
      <c r="W2455" s="631"/>
    </row>
    <row r="2456" spans="23:23" x14ac:dyDescent="0.2">
      <c r="W2456" s="631"/>
    </row>
    <row r="2457" spans="23:23" x14ac:dyDescent="0.2">
      <c r="W2457" s="631"/>
    </row>
    <row r="2458" spans="23:23" x14ac:dyDescent="0.2">
      <c r="W2458" s="631"/>
    </row>
    <row r="2459" spans="23:23" x14ac:dyDescent="0.2">
      <c r="W2459" s="631"/>
    </row>
    <row r="2460" spans="23:23" x14ac:dyDescent="0.2">
      <c r="W2460" s="631"/>
    </row>
    <row r="2461" spans="23:23" x14ac:dyDescent="0.2">
      <c r="W2461" s="631"/>
    </row>
    <row r="2462" spans="23:23" x14ac:dyDescent="0.2">
      <c r="W2462" s="631"/>
    </row>
    <row r="2463" spans="23:23" x14ac:dyDescent="0.2">
      <c r="W2463" s="631"/>
    </row>
    <row r="2464" spans="23:23" x14ac:dyDescent="0.2">
      <c r="W2464" s="631"/>
    </row>
    <row r="2465" spans="23:23" x14ac:dyDescent="0.2">
      <c r="W2465" s="631"/>
    </row>
    <row r="2466" spans="23:23" x14ac:dyDescent="0.2">
      <c r="W2466" s="631"/>
    </row>
    <row r="2467" spans="23:23" x14ac:dyDescent="0.2">
      <c r="W2467" s="631"/>
    </row>
    <row r="2468" spans="23:23" x14ac:dyDescent="0.2">
      <c r="W2468" s="631"/>
    </row>
    <row r="2469" spans="23:23" x14ac:dyDescent="0.2">
      <c r="W2469" s="631"/>
    </row>
    <row r="2470" spans="23:23" x14ac:dyDescent="0.2">
      <c r="W2470" s="631"/>
    </row>
    <row r="2471" spans="23:23" x14ac:dyDescent="0.2">
      <c r="W2471" s="631"/>
    </row>
    <row r="2472" spans="23:23" x14ac:dyDescent="0.2">
      <c r="W2472" s="631"/>
    </row>
    <row r="2473" spans="23:23" x14ac:dyDescent="0.2">
      <c r="W2473" s="631"/>
    </row>
    <row r="2474" spans="23:23" x14ac:dyDescent="0.2">
      <c r="W2474" s="631"/>
    </row>
    <row r="2475" spans="23:23" x14ac:dyDescent="0.2">
      <c r="W2475" s="631"/>
    </row>
    <row r="2476" spans="23:23" x14ac:dyDescent="0.2">
      <c r="W2476" s="631"/>
    </row>
    <row r="2477" spans="23:23" x14ac:dyDescent="0.2">
      <c r="W2477" s="631"/>
    </row>
    <row r="2478" spans="23:23" x14ac:dyDescent="0.2">
      <c r="W2478" s="631"/>
    </row>
    <row r="2479" spans="23:23" x14ac:dyDescent="0.2">
      <c r="W2479" s="631"/>
    </row>
    <row r="2480" spans="23:23" x14ac:dyDescent="0.2">
      <c r="W2480" s="631"/>
    </row>
    <row r="2481" spans="23:23" x14ac:dyDescent="0.2">
      <c r="W2481" s="631"/>
    </row>
    <row r="2482" spans="23:23" x14ac:dyDescent="0.2">
      <c r="W2482" s="631"/>
    </row>
    <row r="2483" spans="23:23" x14ac:dyDescent="0.2">
      <c r="W2483" s="631"/>
    </row>
    <row r="2484" spans="23:23" x14ac:dyDescent="0.2">
      <c r="W2484" s="631"/>
    </row>
    <row r="2485" spans="23:23" x14ac:dyDescent="0.2">
      <c r="W2485" s="631"/>
    </row>
    <row r="2486" spans="23:23" x14ac:dyDescent="0.2">
      <c r="W2486" s="631"/>
    </row>
    <row r="2487" spans="23:23" x14ac:dyDescent="0.2">
      <c r="W2487" s="631"/>
    </row>
    <row r="2488" spans="23:23" x14ac:dyDescent="0.2">
      <c r="W2488" s="631"/>
    </row>
    <row r="2489" spans="23:23" x14ac:dyDescent="0.2">
      <c r="W2489" s="631"/>
    </row>
    <row r="2490" spans="23:23" x14ac:dyDescent="0.2">
      <c r="W2490" s="631"/>
    </row>
    <row r="2491" spans="23:23" x14ac:dyDescent="0.2">
      <c r="W2491" s="631"/>
    </row>
    <row r="2492" spans="23:23" x14ac:dyDescent="0.2">
      <c r="W2492" s="631"/>
    </row>
    <row r="2493" spans="23:23" x14ac:dyDescent="0.2">
      <c r="W2493" s="631"/>
    </row>
    <row r="2494" spans="23:23" x14ac:dyDescent="0.2">
      <c r="W2494" s="631"/>
    </row>
    <row r="2495" spans="23:23" x14ac:dyDescent="0.2">
      <c r="W2495" s="631"/>
    </row>
    <row r="2496" spans="23:23" x14ac:dyDescent="0.2">
      <c r="W2496" s="631"/>
    </row>
    <row r="2497" spans="23:23" x14ac:dyDescent="0.2">
      <c r="W2497" s="631"/>
    </row>
    <row r="2498" spans="23:23" x14ac:dyDescent="0.2">
      <c r="W2498" s="631"/>
    </row>
    <row r="2499" spans="23:23" x14ac:dyDescent="0.2">
      <c r="W2499" s="631"/>
    </row>
    <row r="2500" spans="23:23" x14ac:dyDescent="0.2">
      <c r="W2500" s="631"/>
    </row>
    <row r="2501" spans="23:23" x14ac:dyDescent="0.2">
      <c r="W2501" s="631"/>
    </row>
    <row r="2502" spans="23:23" x14ac:dyDescent="0.2">
      <c r="W2502" s="631"/>
    </row>
    <row r="2503" spans="23:23" x14ac:dyDescent="0.2">
      <c r="W2503" s="631"/>
    </row>
    <row r="2504" spans="23:23" x14ac:dyDescent="0.2">
      <c r="W2504" s="631"/>
    </row>
    <row r="2505" spans="23:23" x14ac:dyDescent="0.2">
      <c r="W2505" s="631"/>
    </row>
    <row r="2506" spans="23:23" x14ac:dyDescent="0.2">
      <c r="W2506" s="631"/>
    </row>
    <row r="2507" spans="23:23" x14ac:dyDescent="0.2">
      <c r="W2507" s="631"/>
    </row>
    <row r="2508" spans="23:23" x14ac:dyDescent="0.2">
      <c r="W2508" s="631"/>
    </row>
    <row r="2509" spans="23:23" x14ac:dyDescent="0.2">
      <c r="W2509" s="631"/>
    </row>
    <row r="2510" spans="23:23" x14ac:dyDescent="0.2">
      <c r="W2510" s="631"/>
    </row>
    <row r="2511" spans="23:23" x14ac:dyDescent="0.2">
      <c r="W2511" s="631"/>
    </row>
    <row r="2512" spans="23:23" x14ac:dyDescent="0.2">
      <c r="W2512" s="631"/>
    </row>
    <row r="2513" spans="23:23" x14ac:dyDescent="0.2">
      <c r="W2513" s="631"/>
    </row>
    <row r="2514" spans="23:23" x14ac:dyDescent="0.2">
      <c r="W2514" s="631"/>
    </row>
    <row r="2515" spans="23:23" x14ac:dyDescent="0.2">
      <c r="W2515" s="631"/>
    </row>
    <row r="2516" spans="23:23" x14ac:dyDescent="0.2">
      <c r="W2516" s="631"/>
    </row>
    <row r="2517" spans="23:23" x14ac:dyDescent="0.2">
      <c r="W2517" s="631"/>
    </row>
    <row r="2518" spans="23:23" x14ac:dyDescent="0.2">
      <c r="W2518" s="631"/>
    </row>
    <row r="2519" spans="23:23" x14ac:dyDescent="0.2">
      <c r="W2519" s="631"/>
    </row>
    <row r="2520" spans="23:23" x14ac:dyDescent="0.2">
      <c r="W2520" s="631"/>
    </row>
    <row r="2521" spans="23:23" x14ac:dyDescent="0.2">
      <c r="W2521" s="631"/>
    </row>
    <row r="2522" spans="23:23" x14ac:dyDescent="0.2">
      <c r="W2522" s="631"/>
    </row>
    <row r="2523" spans="23:23" x14ac:dyDescent="0.2">
      <c r="W2523" s="631"/>
    </row>
    <row r="2524" spans="23:23" x14ac:dyDescent="0.2">
      <c r="W2524" s="631"/>
    </row>
    <row r="2525" spans="23:23" x14ac:dyDescent="0.2">
      <c r="W2525" s="631"/>
    </row>
    <row r="2526" spans="23:23" x14ac:dyDescent="0.2">
      <c r="W2526" s="631"/>
    </row>
    <row r="2527" spans="23:23" x14ac:dyDescent="0.2">
      <c r="W2527" s="631"/>
    </row>
    <row r="2528" spans="23:23" x14ac:dyDescent="0.2">
      <c r="W2528" s="631"/>
    </row>
    <row r="2529" spans="23:23" x14ac:dyDescent="0.2">
      <c r="W2529" s="631"/>
    </row>
    <row r="2530" spans="23:23" x14ac:dyDescent="0.2">
      <c r="W2530" s="631"/>
    </row>
    <row r="2531" spans="23:23" x14ac:dyDescent="0.2">
      <c r="W2531" s="631"/>
    </row>
    <row r="2532" spans="23:23" x14ac:dyDescent="0.2">
      <c r="W2532" s="631"/>
    </row>
    <row r="2533" spans="23:23" x14ac:dyDescent="0.2">
      <c r="W2533" s="631"/>
    </row>
    <row r="2534" spans="23:23" x14ac:dyDescent="0.2">
      <c r="W2534" s="631"/>
    </row>
    <row r="2535" spans="23:23" x14ac:dyDescent="0.2">
      <c r="W2535" s="631"/>
    </row>
    <row r="2536" spans="23:23" x14ac:dyDescent="0.2">
      <c r="W2536" s="631"/>
    </row>
    <row r="2537" spans="23:23" x14ac:dyDescent="0.2">
      <c r="W2537" s="631"/>
    </row>
    <row r="2538" spans="23:23" x14ac:dyDescent="0.2">
      <c r="W2538" s="631"/>
    </row>
    <row r="2539" spans="23:23" x14ac:dyDescent="0.2">
      <c r="W2539" s="631"/>
    </row>
    <row r="2540" spans="23:23" x14ac:dyDescent="0.2">
      <c r="W2540" s="631"/>
    </row>
    <row r="2541" spans="23:23" x14ac:dyDescent="0.2">
      <c r="W2541" s="631"/>
    </row>
    <row r="2542" spans="23:23" x14ac:dyDescent="0.2">
      <c r="W2542" s="631"/>
    </row>
    <row r="2543" spans="23:23" x14ac:dyDescent="0.2">
      <c r="W2543" s="631"/>
    </row>
    <row r="2544" spans="23:23" x14ac:dyDescent="0.2">
      <c r="W2544" s="631"/>
    </row>
    <row r="2545" spans="23:23" x14ac:dyDescent="0.2">
      <c r="W2545" s="631"/>
    </row>
    <row r="2546" spans="23:23" x14ac:dyDescent="0.2">
      <c r="W2546" s="631"/>
    </row>
    <row r="2547" spans="23:23" x14ac:dyDescent="0.2">
      <c r="W2547" s="631"/>
    </row>
    <row r="2548" spans="23:23" x14ac:dyDescent="0.2">
      <c r="W2548" s="631"/>
    </row>
    <row r="2549" spans="23:23" x14ac:dyDescent="0.2">
      <c r="W2549" s="631"/>
    </row>
    <row r="2550" spans="23:23" x14ac:dyDescent="0.2">
      <c r="W2550" s="631"/>
    </row>
    <row r="2551" spans="23:23" x14ac:dyDescent="0.2">
      <c r="W2551" s="631"/>
    </row>
    <row r="2552" spans="23:23" x14ac:dyDescent="0.2">
      <c r="W2552" s="631"/>
    </row>
    <row r="2553" spans="23:23" x14ac:dyDescent="0.2">
      <c r="W2553" s="631"/>
    </row>
    <row r="2554" spans="23:23" x14ac:dyDescent="0.2">
      <c r="W2554" s="631"/>
    </row>
    <row r="2555" spans="23:23" x14ac:dyDescent="0.2">
      <c r="W2555" s="631"/>
    </row>
    <row r="2556" spans="23:23" x14ac:dyDescent="0.2">
      <c r="W2556" s="631"/>
    </row>
    <row r="2557" spans="23:23" x14ac:dyDescent="0.2">
      <c r="W2557" s="631"/>
    </row>
    <row r="2558" spans="23:23" x14ac:dyDescent="0.2">
      <c r="W2558" s="631"/>
    </row>
    <row r="2559" spans="23:23" x14ac:dyDescent="0.2">
      <c r="W2559" s="631"/>
    </row>
    <row r="2560" spans="23:23" x14ac:dyDescent="0.2">
      <c r="W2560" s="631"/>
    </row>
    <row r="2561" spans="23:23" x14ac:dyDescent="0.2">
      <c r="W2561" s="631"/>
    </row>
    <row r="2562" spans="23:23" x14ac:dyDescent="0.2">
      <c r="W2562" s="631"/>
    </row>
    <row r="2563" spans="23:23" x14ac:dyDescent="0.2">
      <c r="W2563" s="631"/>
    </row>
    <row r="2564" spans="23:23" x14ac:dyDescent="0.2">
      <c r="W2564" s="631"/>
    </row>
    <row r="2565" spans="23:23" x14ac:dyDescent="0.2">
      <c r="W2565" s="631"/>
    </row>
    <row r="2566" spans="23:23" x14ac:dyDescent="0.2">
      <c r="W2566" s="631"/>
    </row>
    <row r="2567" spans="23:23" x14ac:dyDescent="0.2">
      <c r="W2567" s="631"/>
    </row>
    <row r="2568" spans="23:23" x14ac:dyDescent="0.2">
      <c r="W2568" s="631"/>
    </row>
    <row r="2569" spans="23:23" x14ac:dyDescent="0.2">
      <c r="W2569" s="631"/>
    </row>
    <row r="2570" spans="23:23" x14ac:dyDescent="0.2">
      <c r="W2570" s="631"/>
    </row>
    <row r="2571" spans="23:23" x14ac:dyDescent="0.2">
      <c r="W2571" s="631"/>
    </row>
    <row r="2572" spans="23:23" x14ac:dyDescent="0.2">
      <c r="W2572" s="631"/>
    </row>
    <row r="2573" spans="23:23" x14ac:dyDescent="0.2">
      <c r="W2573" s="631"/>
    </row>
    <row r="2574" spans="23:23" x14ac:dyDescent="0.2">
      <c r="W2574" s="631"/>
    </row>
    <row r="2575" spans="23:23" x14ac:dyDescent="0.2">
      <c r="W2575" s="631"/>
    </row>
    <row r="2576" spans="23:23" x14ac:dyDescent="0.2">
      <c r="W2576" s="631"/>
    </row>
    <row r="2577" spans="23:23" x14ac:dyDescent="0.2">
      <c r="W2577" s="631"/>
    </row>
    <row r="2578" spans="23:23" x14ac:dyDescent="0.2">
      <c r="W2578" s="631"/>
    </row>
    <row r="2579" spans="23:23" x14ac:dyDescent="0.2">
      <c r="W2579" s="631"/>
    </row>
    <row r="2580" spans="23:23" x14ac:dyDescent="0.2">
      <c r="W2580" s="631"/>
    </row>
    <row r="2581" spans="23:23" x14ac:dyDescent="0.2">
      <c r="W2581" s="631"/>
    </row>
    <row r="2582" spans="23:23" x14ac:dyDescent="0.2">
      <c r="W2582" s="631"/>
    </row>
    <row r="2583" spans="23:23" x14ac:dyDescent="0.2">
      <c r="W2583" s="631"/>
    </row>
    <row r="2584" spans="23:23" x14ac:dyDescent="0.2">
      <c r="W2584" s="631"/>
    </row>
    <row r="2585" spans="23:23" x14ac:dyDescent="0.2">
      <c r="W2585" s="631"/>
    </row>
    <row r="2586" spans="23:23" x14ac:dyDescent="0.2">
      <c r="W2586" s="631"/>
    </row>
    <row r="2587" spans="23:23" x14ac:dyDescent="0.2">
      <c r="W2587" s="631"/>
    </row>
    <row r="2588" spans="23:23" x14ac:dyDescent="0.2">
      <c r="W2588" s="631"/>
    </row>
    <row r="2589" spans="23:23" x14ac:dyDescent="0.2">
      <c r="W2589" s="631"/>
    </row>
    <row r="2590" spans="23:23" x14ac:dyDescent="0.2">
      <c r="W2590" s="631"/>
    </row>
    <row r="2591" spans="23:23" x14ac:dyDescent="0.2">
      <c r="W2591" s="631"/>
    </row>
    <row r="2592" spans="23:23" x14ac:dyDescent="0.2">
      <c r="W2592" s="631"/>
    </row>
    <row r="2593" spans="23:23" x14ac:dyDescent="0.2">
      <c r="W2593" s="631"/>
    </row>
    <row r="2594" spans="23:23" x14ac:dyDescent="0.2">
      <c r="W2594" s="631"/>
    </row>
    <row r="2595" spans="23:23" x14ac:dyDescent="0.2">
      <c r="W2595" s="631"/>
    </row>
    <row r="2596" spans="23:23" x14ac:dyDescent="0.2">
      <c r="W2596" s="631"/>
    </row>
    <row r="2597" spans="23:23" x14ac:dyDescent="0.2">
      <c r="W2597" s="631"/>
    </row>
    <row r="2598" spans="23:23" x14ac:dyDescent="0.2">
      <c r="W2598" s="631"/>
    </row>
    <row r="2599" spans="23:23" x14ac:dyDescent="0.2">
      <c r="W2599" s="631"/>
    </row>
    <row r="2600" spans="23:23" x14ac:dyDescent="0.2">
      <c r="W2600" s="631"/>
    </row>
    <row r="2601" spans="23:23" x14ac:dyDescent="0.2">
      <c r="W2601" s="631"/>
    </row>
    <row r="2602" spans="23:23" x14ac:dyDescent="0.2">
      <c r="W2602" s="631"/>
    </row>
    <row r="2603" spans="23:23" x14ac:dyDescent="0.2">
      <c r="W2603" s="631"/>
    </row>
    <row r="2604" spans="23:23" x14ac:dyDescent="0.2">
      <c r="W2604" s="631"/>
    </row>
    <row r="2605" spans="23:23" x14ac:dyDescent="0.2">
      <c r="W2605" s="631"/>
    </row>
    <row r="2606" spans="23:23" x14ac:dyDescent="0.2">
      <c r="W2606" s="631"/>
    </row>
    <row r="2607" spans="23:23" x14ac:dyDescent="0.2">
      <c r="W2607" s="631"/>
    </row>
    <row r="2608" spans="23:23" x14ac:dyDescent="0.2">
      <c r="W2608" s="631"/>
    </row>
    <row r="2609" spans="23:23" x14ac:dyDescent="0.2">
      <c r="W2609" s="631"/>
    </row>
    <row r="2610" spans="23:23" x14ac:dyDescent="0.2">
      <c r="W2610" s="631"/>
    </row>
    <row r="2611" spans="23:23" x14ac:dyDescent="0.2">
      <c r="W2611" s="631"/>
    </row>
    <row r="2612" spans="23:23" x14ac:dyDescent="0.2">
      <c r="W2612" s="631"/>
    </row>
    <row r="2613" spans="23:23" x14ac:dyDescent="0.2">
      <c r="W2613" s="631"/>
    </row>
    <row r="2614" spans="23:23" x14ac:dyDescent="0.2">
      <c r="W2614" s="631"/>
    </row>
    <row r="2615" spans="23:23" x14ac:dyDescent="0.2">
      <c r="W2615" s="631"/>
    </row>
    <row r="2616" spans="23:23" x14ac:dyDescent="0.2">
      <c r="W2616" s="631"/>
    </row>
    <row r="2617" spans="23:23" x14ac:dyDescent="0.2">
      <c r="W2617" s="631"/>
    </row>
    <row r="2618" spans="23:23" x14ac:dyDescent="0.2">
      <c r="W2618" s="631"/>
    </row>
    <row r="2619" spans="23:23" x14ac:dyDescent="0.2">
      <c r="W2619" s="631"/>
    </row>
    <row r="2620" spans="23:23" x14ac:dyDescent="0.2">
      <c r="W2620" s="631"/>
    </row>
    <row r="2621" spans="23:23" x14ac:dyDescent="0.2">
      <c r="W2621" s="631"/>
    </row>
    <row r="2622" spans="23:23" x14ac:dyDescent="0.2">
      <c r="W2622" s="631"/>
    </row>
    <row r="2623" spans="23:23" x14ac:dyDescent="0.2">
      <c r="W2623" s="631"/>
    </row>
    <row r="2624" spans="23:23" x14ac:dyDescent="0.2">
      <c r="W2624" s="631"/>
    </row>
    <row r="2625" spans="23:23" x14ac:dyDescent="0.2">
      <c r="W2625" s="631"/>
    </row>
    <row r="2626" spans="23:23" x14ac:dyDescent="0.2">
      <c r="W2626" s="631"/>
    </row>
    <row r="2627" spans="23:23" x14ac:dyDescent="0.2">
      <c r="W2627" s="631"/>
    </row>
    <row r="2628" spans="23:23" x14ac:dyDescent="0.2">
      <c r="W2628" s="631"/>
    </row>
    <row r="2629" spans="23:23" x14ac:dyDescent="0.2">
      <c r="W2629" s="631"/>
    </row>
    <row r="2630" spans="23:23" x14ac:dyDescent="0.2">
      <c r="W2630" s="631"/>
    </row>
    <row r="2631" spans="23:23" x14ac:dyDescent="0.2">
      <c r="W2631" s="631"/>
    </row>
    <row r="2632" spans="23:23" x14ac:dyDescent="0.2">
      <c r="W2632" s="631"/>
    </row>
    <row r="2633" spans="23:23" x14ac:dyDescent="0.2">
      <c r="W2633" s="631"/>
    </row>
    <row r="2634" spans="23:23" x14ac:dyDescent="0.2">
      <c r="W2634" s="631"/>
    </row>
    <row r="2635" spans="23:23" x14ac:dyDescent="0.2">
      <c r="W2635" s="631"/>
    </row>
    <row r="2636" spans="23:23" x14ac:dyDescent="0.2">
      <c r="W2636" s="631"/>
    </row>
    <row r="2637" spans="23:23" x14ac:dyDescent="0.2">
      <c r="W2637" s="631"/>
    </row>
    <row r="2638" spans="23:23" x14ac:dyDescent="0.2">
      <c r="W2638" s="631"/>
    </row>
    <row r="2639" spans="23:23" x14ac:dyDescent="0.2">
      <c r="W2639" s="631"/>
    </row>
    <row r="2640" spans="23:23" x14ac:dyDescent="0.2">
      <c r="W2640" s="631"/>
    </row>
    <row r="2641" spans="23:23" x14ac:dyDescent="0.2">
      <c r="W2641" s="631"/>
    </row>
    <row r="2642" spans="23:23" x14ac:dyDescent="0.2">
      <c r="W2642" s="631"/>
    </row>
    <row r="2643" spans="23:23" x14ac:dyDescent="0.2">
      <c r="W2643" s="631"/>
    </row>
    <row r="2644" spans="23:23" x14ac:dyDescent="0.2">
      <c r="W2644" s="631"/>
    </row>
    <row r="2645" spans="23:23" x14ac:dyDescent="0.2">
      <c r="W2645" s="631"/>
    </row>
    <row r="2646" spans="23:23" x14ac:dyDescent="0.2">
      <c r="W2646" s="631"/>
    </row>
    <row r="2647" spans="23:23" x14ac:dyDescent="0.2">
      <c r="W2647" s="631"/>
    </row>
    <row r="2648" spans="23:23" x14ac:dyDescent="0.2">
      <c r="W2648" s="631"/>
    </row>
    <row r="2649" spans="23:23" x14ac:dyDescent="0.2">
      <c r="W2649" s="631"/>
    </row>
    <row r="2650" spans="23:23" x14ac:dyDescent="0.2">
      <c r="W2650" s="631"/>
    </row>
    <row r="2651" spans="23:23" x14ac:dyDescent="0.2">
      <c r="W2651" s="631"/>
    </row>
    <row r="2652" spans="23:23" x14ac:dyDescent="0.2">
      <c r="W2652" s="631"/>
    </row>
    <row r="2653" spans="23:23" x14ac:dyDescent="0.2">
      <c r="W2653" s="631"/>
    </row>
    <row r="2654" spans="23:23" x14ac:dyDescent="0.2">
      <c r="W2654" s="631"/>
    </row>
    <row r="2655" spans="23:23" x14ac:dyDescent="0.2">
      <c r="W2655" s="631"/>
    </row>
    <row r="2656" spans="23:23" x14ac:dyDescent="0.2">
      <c r="W2656" s="631"/>
    </row>
    <row r="2657" spans="23:23" x14ac:dyDescent="0.2">
      <c r="W2657" s="631"/>
    </row>
    <row r="2658" spans="23:23" x14ac:dyDescent="0.2">
      <c r="W2658" s="631"/>
    </row>
    <row r="2659" spans="23:23" x14ac:dyDescent="0.2">
      <c r="W2659" s="631"/>
    </row>
    <row r="2660" spans="23:23" x14ac:dyDescent="0.2">
      <c r="W2660" s="631"/>
    </row>
    <row r="2661" spans="23:23" x14ac:dyDescent="0.2">
      <c r="W2661" s="631"/>
    </row>
    <row r="2662" spans="23:23" x14ac:dyDescent="0.2">
      <c r="W2662" s="631"/>
    </row>
    <row r="2663" spans="23:23" x14ac:dyDescent="0.2">
      <c r="W2663" s="631"/>
    </row>
    <row r="2664" spans="23:23" x14ac:dyDescent="0.2">
      <c r="W2664" s="631"/>
    </row>
    <row r="2665" spans="23:23" x14ac:dyDescent="0.2">
      <c r="W2665" s="631"/>
    </row>
    <row r="2666" spans="23:23" x14ac:dyDescent="0.2">
      <c r="W2666" s="631"/>
    </row>
    <row r="2667" spans="23:23" x14ac:dyDescent="0.2">
      <c r="W2667" s="631"/>
    </row>
    <row r="2668" spans="23:23" x14ac:dyDescent="0.2">
      <c r="W2668" s="631"/>
    </row>
    <row r="2669" spans="23:23" x14ac:dyDescent="0.2">
      <c r="W2669" s="631"/>
    </row>
    <row r="2670" spans="23:23" x14ac:dyDescent="0.2">
      <c r="W2670" s="631"/>
    </row>
    <row r="2671" spans="23:23" x14ac:dyDescent="0.2">
      <c r="W2671" s="631"/>
    </row>
    <row r="2672" spans="23:23" x14ac:dyDescent="0.2">
      <c r="W2672" s="631"/>
    </row>
    <row r="2673" spans="23:23" x14ac:dyDescent="0.2">
      <c r="W2673" s="631"/>
    </row>
    <row r="2674" spans="23:23" x14ac:dyDescent="0.2">
      <c r="W2674" s="631"/>
    </row>
    <row r="2675" spans="23:23" x14ac:dyDescent="0.2">
      <c r="W2675" s="631"/>
    </row>
    <row r="2676" spans="23:23" x14ac:dyDescent="0.2">
      <c r="W2676" s="631"/>
    </row>
    <row r="2677" spans="23:23" x14ac:dyDescent="0.2">
      <c r="W2677" s="631"/>
    </row>
    <row r="2678" spans="23:23" x14ac:dyDescent="0.2">
      <c r="W2678" s="631"/>
    </row>
    <row r="2679" spans="23:23" x14ac:dyDescent="0.2">
      <c r="W2679" s="631"/>
    </row>
    <row r="2680" spans="23:23" x14ac:dyDescent="0.2">
      <c r="W2680" s="631"/>
    </row>
    <row r="2681" spans="23:23" x14ac:dyDescent="0.2">
      <c r="W2681" s="631"/>
    </row>
    <row r="2682" spans="23:23" x14ac:dyDescent="0.2">
      <c r="W2682" s="631"/>
    </row>
    <row r="2683" spans="23:23" x14ac:dyDescent="0.2">
      <c r="W2683" s="631"/>
    </row>
    <row r="2684" spans="23:23" x14ac:dyDescent="0.2">
      <c r="W2684" s="631"/>
    </row>
    <row r="2685" spans="23:23" x14ac:dyDescent="0.2">
      <c r="W2685" s="631"/>
    </row>
    <row r="2686" spans="23:23" x14ac:dyDescent="0.2">
      <c r="W2686" s="631"/>
    </row>
    <row r="2687" spans="23:23" x14ac:dyDescent="0.2">
      <c r="W2687" s="631"/>
    </row>
    <row r="2688" spans="23:23" x14ac:dyDescent="0.2">
      <c r="W2688" s="631"/>
    </row>
    <row r="2689" spans="23:23" x14ac:dyDescent="0.2">
      <c r="W2689" s="631"/>
    </row>
    <row r="2690" spans="23:23" x14ac:dyDescent="0.2">
      <c r="W2690" s="631"/>
    </row>
    <row r="2691" spans="23:23" x14ac:dyDescent="0.2">
      <c r="W2691" s="631"/>
    </row>
    <row r="2692" spans="23:23" x14ac:dyDescent="0.2">
      <c r="W2692" s="631"/>
    </row>
    <row r="2693" spans="23:23" x14ac:dyDescent="0.2">
      <c r="W2693" s="631"/>
    </row>
    <row r="2694" spans="23:23" x14ac:dyDescent="0.2">
      <c r="W2694" s="631"/>
    </row>
    <row r="2695" spans="23:23" x14ac:dyDescent="0.2">
      <c r="W2695" s="631"/>
    </row>
    <row r="2696" spans="23:23" x14ac:dyDescent="0.2">
      <c r="W2696" s="631"/>
    </row>
    <row r="2697" spans="23:23" x14ac:dyDescent="0.2">
      <c r="W2697" s="631"/>
    </row>
    <row r="2698" spans="23:23" x14ac:dyDescent="0.2">
      <c r="W2698" s="631"/>
    </row>
    <row r="2699" spans="23:23" x14ac:dyDescent="0.2">
      <c r="W2699" s="631"/>
    </row>
    <row r="2700" spans="23:23" x14ac:dyDescent="0.2">
      <c r="W2700" s="631"/>
    </row>
    <row r="2701" spans="23:23" x14ac:dyDescent="0.2">
      <c r="W2701" s="631"/>
    </row>
    <row r="2702" spans="23:23" x14ac:dyDescent="0.2">
      <c r="W2702" s="631"/>
    </row>
    <row r="2703" spans="23:23" x14ac:dyDescent="0.2">
      <c r="W2703" s="631"/>
    </row>
    <row r="2704" spans="23:23" x14ac:dyDescent="0.2">
      <c r="W2704" s="631"/>
    </row>
    <row r="2705" spans="23:23" x14ac:dyDescent="0.2">
      <c r="W2705" s="631"/>
    </row>
    <row r="2706" spans="23:23" x14ac:dyDescent="0.2">
      <c r="W2706" s="631"/>
    </row>
    <row r="2707" spans="23:23" x14ac:dyDescent="0.2">
      <c r="W2707" s="631"/>
    </row>
    <row r="2708" spans="23:23" x14ac:dyDescent="0.2">
      <c r="W2708" s="631"/>
    </row>
    <row r="2709" spans="23:23" x14ac:dyDescent="0.2">
      <c r="W2709" s="631"/>
    </row>
    <row r="2710" spans="23:23" x14ac:dyDescent="0.2">
      <c r="W2710" s="631"/>
    </row>
    <row r="2711" spans="23:23" x14ac:dyDescent="0.2">
      <c r="W2711" s="631"/>
    </row>
    <row r="2712" spans="23:23" x14ac:dyDescent="0.2">
      <c r="W2712" s="631"/>
    </row>
    <row r="2713" spans="23:23" x14ac:dyDescent="0.2">
      <c r="W2713" s="631"/>
    </row>
    <row r="2714" spans="23:23" x14ac:dyDescent="0.2">
      <c r="W2714" s="631"/>
    </row>
    <row r="2715" spans="23:23" x14ac:dyDescent="0.2">
      <c r="W2715" s="631"/>
    </row>
    <row r="2716" spans="23:23" x14ac:dyDescent="0.2">
      <c r="W2716" s="631"/>
    </row>
    <row r="2717" spans="23:23" x14ac:dyDescent="0.2">
      <c r="W2717" s="631"/>
    </row>
    <row r="2718" spans="23:23" x14ac:dyDescent="0.2">
      <c r="W2718" s="631"/>
    </row>
    <row r="2719" spans="23:23" x14ac:dyDescent="0.2">
      <c r="W2719" s="631"/>
    </row>
    <row r="2720" spans="23:23" x14ac:dyDescent="0.2">
      <c r="W2720" s="631"/>
    </row>
    <row r="2721" spans="23:23" x14ac:dyDescent="0.2">
      <c r="W2721" s="631"/>
    </row>
    <row r="2722" spans="23:23" x14ac:dyDescent="0.2">
      <c r="W2722" s="631"/>
    </row>
    <row r="2723" spans="23:23" x14ac:dyDescent="0.2">
      <c r="W2723" s="631"/>
    </row>
    <row r="2724" spans="23:23" x14ac:dyDescent="0.2">
      <c r="W2724" s="631"/>
    </row>
    <row r="2725" spans="23:23" x14ac:dyDescent="0.2">
      <c r="W2725" s="631"/>
    </row>
    <row r="2726" spans="23:23" x14ac:dyDescent="0.2">
      <c r="W2726" s="631"/>
    </row>
    <row r="2727" spans="23:23" x14ac:dyDescent="0.2">
      <c r="W2727" s="631"/>
    </row>
    <row r="2728" spans="23:23" x14ac:dyDescent="0.2">
      <c r="W2728" s="631"/>
    </row>
    <row r="2729" spans="23:23" x14ac:dyDescent="0.2">
      <c r="W2729" s="631"/>
    </row>
    <row r="2730" spans="23:23" x14ac:dyDescent="0.2">
      <c r="W2730" s="631"/>
    </row>
    <row r="2731" spans="23:23" x14ac:dyDescent="0.2">
      <c r="W2731" s="631"/>
    </row>
    <row r="2732" spans="23:23" x14ac:dyDescent="0.2">
      <c r="W2732" s="631"/>
    </row>
    <row r="2733" spans="23:23" x14ac:dyDescent="0.2">
      <c r="W2733" s="631"/>
    </row>
    <row r="2734" spans="23:23" x14ac:dyDescent="0.2">
      <c r="W2734" s="631"/>
    </row>
    <row r="2735" spans="23:23" x14ac:dyDescent="0.2">
      <c r="W2735" s="631"/>
    </row>
    <row r="2736" spans="23:23" x14ac:dyDescent="0.2">
      <c r="W2736" s="631"/>
    </row>
    <row r="2737" spans="23:23" x14ac:dyDescent="0.2">
      <c r="W2737" s="631"/>
    </row>
    <row r="2738" spans="23:23" x14ac:dyDescent="0.2">
      <c r="W2738" s="631"/>
    </row>
    <row r="2739" spans="23:23" x14ac:dyDescent="0.2">
      <c r="W2739" s="631"/>
    </row>
    <row r="2740" spans="23:23" x14ac:dyDescent="0.2">
      <c r="W2740" s="631"/>
    </row>
    <row r="2741" spans="23:23" x14ac:dyDescent="0.2">
      <c r="W2741" s="631"/>
    </row>
    <row r="2742" spans="23:23" x14ac:dyDescent="0.2">
      <c r="W2742" s="631"/>
    </row>
    <row r="2743" spans="23:23" x14ac:dyDescent="0.2">
      <c r="W2743" s="631"/>
    </row>
    <row r="2744" spans="23:23" x14ac:dyDescent="0.2">
      <c r="W2744" s="631"/>
    </row>
    <row r="2745" spans="23:23" x14ac:dyDescent="0.2">
      <c r="W2745" s="631"/>
    </row>
    <row r="2746" spans="23:23" x14ac:dyDescent="0.2">
      <c r="W2746" s="631"/>
    </row>
    <row r="2747" spans="23:23" x14ac:dyDescent="0.2">
      <c r="W2747" s="631"/>
    </row>
    <row r="2748" spans="23:23" x14ac:dyDescent="0.2">
      <c r="W2748" s="631"/>
    </row>
    <row r="2749" spans="23:23" x14ac:dyDescent="0.2">
      <c r="W2749" s="631"/>
    </row>
    <row r="2750" spans="23:23" x14ac:dyDescent="0.2">
      <c r="W2750" s="631"/>
    </row>
    <row r="2751" spans="23:23" x14ac:dyDescent="0.2">
      <c r="W2751" s="631"/>
    </row>
    <row r="2752" spans="23:23" x14ac:dyDescent="0.2">
      <c r="W2752" s="631"/>
    </row>
    <row r="2753" spans="23:23" x14ac:dyDescent="0.2">
      <c r="W2753" s="631"/>
    </row>
    <row r="2754" spans="23:23" x14ac:dyDescent="0.2">
      <c r="W2754" s="631"/>
    </row>
    <row r="2755" spans="23:23" x14ac:dyDescent="0.2">
      <c r="W2755" s="631"/>
    </row>
    <row r="2756" spans="23:23" x14ac:dyDescent="0.2">
      <c r="W2756" s="631"/>
    </row>
    <row r="2757" spans="23:23" x14ac:dyDescent="0.2">
      <c r="W2757" s="631"/>
    </row>
    <row r="2758" spans="23:23" x14ac:dyDescent="0.2">
      <c r="W2758" s="631"/>
    </row>
    <row r="2759" spans="23:23" x14ac:dyDescent="0.2">
      <c r="W2759" s="631"/>
    </row>
    <row r="2760" spans="23:23" x14ac:dyDescent="0.2">
      <c r="W2760" s="631"/>
    </row>
    <row r="2761" spans="23:23" x14ac:dyDescent="0.2">
      <c r="W2761" s="631"/>
    </row>
    <row r="2762" spans="23:23" x14ac:dyDescent="0.2">
      <c r="W2762" s="631"/>
    </row>
    <row r="2763" spans="23:23" x14ac:dyDescent="0.2">
      <c r="W2763" s="631"/>
    </row>
    <row r="2764" spans="23:23" x14ac:dyDescent="0.2">
      <c r="W2764" s="631"/>
    </row>
    <row r="2765" spans="23:23" x14ac:dyDescent="0.2">
      <c r="W2765" s="631"/>
    </row>
    <row r="2766" spans="23:23" x14ac:dyDescent="0.2">
      <c r="W2766" s="631"/>
    </row>
    <row r="2767" spans="23:23" x14ac:dyDescent="0.2">
      <c r="W2767" s="631"/>
    </row>
    <row r="2768" spans="23:23" x14ac:dyDescent="0.2">
      <c r="W2768" s="631"/>
    </row>
    <row r="2769" spans="23:23" x14ac:dyDescent="0.2">
      <c r="W2769" s="631"/>
    </row>
    <row r="2770" spans="23:23" x14ac:dyDescent="0.2">
      <c r="W2770" s="631"/>
    </row>
    <row r="2771" spans="23:23" x14ac:dyDescent="0.2">
      <c r="W2771" s="631"/>
    </row>
    <row r="2772" spans="23:23" x14ac:dyDescent="0.2">
      <c r="W2772" s="631"/>
    </row>
    <row r="2773" spans="23:23" x14ac:dyDescent="0.2">
      <c r="W2773" s="631"/>
    </row>
    <row r="2774" spans="23:23" x14ac:dyDescent="0.2">
      <c r="W2774" s="631"/>
    </row>
    <row r="2775" spans="23:23" x14ac:dyDescent="0.2">
      <c r="W2775" s="631"/>
    </row>
    <row r="2776" spans="23:23" x14ac:dyDescent="0.2">
      <c r="W2776" s="631"/>
    </row>
    <row r="2777" spans="23:23" x14ac:dyDescent="0.2">
      <c r="W2777" s="631"/>
    </row>
    <row r="2778" spans="23:23" x14ac:dyDescent="0.2">
      <c r="W2778" s="631"/>
    </row>
    <row r="2779" spans="23:23" x14ac:dyDescent="0.2">
      <c r="W2779" s="631"/>
    </row>
    <row r="2780" spans="23:23" x14ac:dyDescent="0.2">
      <c r="W2780" s="631"/>
    </row>
    <row r="2781" spans="23:23" x14ac:dyDescent="0.2">
      <c r="W2781" s="631"/>
    </row>
    <row r="2782" spans="23:23" x14ac:dyDescent="0.2">
      <c r="W2782" s="631"/>
    </row>
    <row r="2783" spans="23:23" x14ac:dyDescent="0.2">
      <c r="W2783" s="631"/>
    </row>
    <row r="2784" spans="23:23" x14ac:dyDescent="0.2">
      <c r="W2784" s="631"/>
    </row>
    <row r="2785" spans="23:23" x14ac:dyDescent="0.2">
      <c r="W2785" s="631"/>
    </row>
    <row r="2786" spans="23:23" x14ac:dyDescent="0.2">
      <c r="W2786" s="631"/>
    </row>
    <row r="2787" spans="23:23" x14ac:dyDescent="0.2">
      <c r="W2787" s="631"/>
    </row>
    <row r="2788" spans="23:23" x14ac:dyDescent="0.2">
      <c r="W2788" s="631"/>
    </row>
    <row r="2789" spans="23:23" x14ac:dyDescent="0.2">
      <c r="W2789" s="631"/>
    </row>
    <row r="2790" spans="23:23" x14ac:dyDescent="0.2">
      <c r="W2790" s="631"/>
    </row>
    <row r="2791" spans="23:23" x14ac:dyDescent="0.2">
      <c r="W2791" s="631"/>
    </row>
    <row r="2792" spans="23:23" x14ac:dyDescent="0.2">
      <c r="W2792" s="631"/>
    </row>
    <row r="2793" spans="23:23" x14ac:dyDescent="0.2">
      <c r="W2793" s="631"/>
    </row>
    <row r="2794" spans="23:23" x14ac:dyDescent="0.2">
      <c r="W2794" s="631"/>
    </row>
    <row r="2795" spans="23:23" x14ac:dyDescent="0.2">
      <c r="W2795" s="631"/>
    </row>
    <row r="2796" spans="23:23" x14ac:dyDescent="0.2">
      <c r="W2796" s="631"/>
    </row>
    <row r="2797" spans="23:23" x14ac:dyDescent="0.2">
      <c r="W2797" s="631"/>
    </row>
    <row r="2798" spans="23:23" x14ac:dyDescent="0.2">
      <c r="W2798" s="631"/>
    </row>
    <row r="2799" spans="23:23" x14ac:dyDescent="0.2">
      <c r="W2799" s="631"/>
    </row>
    <row r="2800" spans="23:23" x14ac:dyDescent="0.2">
      <c r="W2800" s="631"/>
    </row>
    <row r="2801" spans="23:23" x14ac:dyDescent="0.2">
      <c r="W2801" s="631"/>
    </row>
    <row r="2802" spans="23:23" x14ac:dyDescent="0.2">
      <c r="W2802" s="631"/>
    </row>
    <row r="2803" spans="23:23" x14ac:dyDescent="0.2">
      <c r="W2803" s="631"/>
    </row>
    <row r="2804" spans="23:23" x14ac:dyDescent="0.2">
      <c r="W2804" s="631"/>
    </row>
    <row r="2805" spans="23:23" x14ac:dyDescent="0.2">
      <c r="W2805" s="631"/>
    </row>
    <row r="2806" spans="23:23" x14ac:dyDescent="0.2">
      <c r="W2806" s="631"/>
    </row>
    <row r="2807" spans="23:23" x14ac:dyDescent="0.2">
      <c r="W2807" s="631"/>
    </row>
    <row r="2808" spans="23:23" x14ac:dyDescent="0.2">
      <c r="W2808" s="631"/>
    </row>
    <row r="2809" spans="23:23" x14ac:dyDescent="0.2">
      <c r="W2809" s="631"/>
    </row>
    <row r="2810" spans="23:23" x14ac:dyDescent="0.2">
      <c r="W2810" s="631"/>
    </row>
    <row r="2811" spans="23:23" x14ac:dyDescent="0.2">
      <c r="W2811" s="631"/>
    </row>
    <row r="2812" spans="23:23" x14ac:dyDescent="0.2">
      <c r="W2812" s="631"/>
    </row>
    <row r="2813" spans="23:23" x14ac:dyDescent="0.2">
      <c r="W2813" s="631"/>
    </row>
    <row r="2814" spans="23:23" x14ac:dyDescent="0.2">
      <c r="W2814" s="631"/>
    </row>
    <row r="2815" spans="23:23" x14ac:dyDescent="0.2">
      <c r="W2815" s="631"/>
    </row>
    <row r="2816" spans="23:23" x14ac:dyDescent="0.2">
      <c r="W2816" s="631"/>
    </row>
    <row r="2817" spans="23:23" x14ac:dyDescent="0.2">
      <c r="W2817" s="631"/>
    </row>
    <row r="2818" spans="23:23" x14ac:dyDescent="0.2">
      <c r="W2818" s="631"/>
    </row>
    <row r="2819" spans="23:23" x14ac:dyDescent="0.2">
      <c r="W2819" s="631"/>
    </row>
    <row r="2820" spans="23:23" x14ac:dyDescent="0.2">
      <c r="W2820" s="631"/>
    </row>
    <row r="2821" spans="23:23" x14ac:dyDescent="0.2">
      <c r="W2821" s="631"/>
    </row>
    <row r="2822" spans="23:23" x14ac:dyDescent="0.2">
      <c r="W2822" s="631"/>
    </row>
    <row r="2823" spans="23:23" x14ac:dyDescent="0.2">
      <c r="W2823" s="631"/>
    </row>
    <row r="2824" spans="23:23" x14ac:dyDescent="0.2">
      <c r="W2824" s="631"/>
    </row>
    <row r="2825" spans="23:23" x14ac:dyDescent="0.2">
      <c r="W2825" s="631"/>
    </row>
    <row r="2826" spans="23:23" x14ac:dyDescent="0.2">
      <c r="W2826" s="631"/>
    </row>
    <row r="2827" spans="23:23" x14ac:dyDescent="0.2">
      <c r="W2827" s="631"/>
    </row>
    <row r="2828" spans="23:23" x14ac:dyDescent="0.2">
      <c r="W2828" s="631"/>
    </row>
    <row r="2829" spans="23:23" x14ac:dyDescent="0.2">
      <c r="W2829" s="631"/>
    </row>
    <row r="2830" spans="23:23" x14ac:dyDescent="0.2">
      <c r="W2830" s="631"/>
    </row>
    <row r="2831" spans="23:23" x14ac:dyDescent="0.2">
      <c r="W2831" s="631"/>
    </row>
    <row r="2832" spans="23:23" x14ac:dyDescent="0.2">
      <c r="W2832" s="631"/>
    </row>
    <row r="2833" spans="23:23" x14ac:dyDescent="0.2">
      <c r="W2833" s="631"/>
    </row>
    <row r="2834" spans="23:23" x14ac:dyDescent="0.2">
      <c r="W2834" s="631"/>
    </row>
    <row r="2835" spans="23:23" x14ac:dyDescent="0.2">
      <c r="W2835" s="631"/>
    </row>
    <row r="2836" spans="23:23" x14ac:dyDescent="0.2">
      <c r="W2836" s="631"/>
    </row>
    <row r="2837" spans="23:23" x14ac:dyDescent="0.2">
      <c r="W2837" s="631"/>
    </row>
    <row r="2838" spans="23:23" x14ac:dyDescent="0.2">
      <c r="W2838" s="631"/>
    </row>
    <row r="2839" spans="23:23" x14ac:dyDescent="0.2">
      <c r="W2839" s="631"/>
    </row>
    <row r="2840" spans="23:23" x14ac:dyDescent="0.2">
      <c r="W2840" s="631"/>
    </row>
    <row r="2841" spans="23:23" x14ac:dyDescent="0.2">
      <c r="W2841" s="631"/>
    </row>
    <row r="2842" spans="23:23" x14ac:dyDescent="0.2">
      <c r="W2842" s="631"/>
    </row>
    <row r="2843" spans="23:23" x14ac:dyDescent="0.2">
      <c r="W2843" s="631"/>
    </row>
    <row r="2844" spans="23:23" x14ac:dyDescent="0.2">
      <c r="W2844" s="631"/>
    </row>
    <row r="2845" spans="23:23" x14ac:dyDescent="0.2">
      <c r="W2845" s="631"/>
    </row>
    <row r="2846" spans="23:23" x14ac:dyDescent="0.2">
      <c r="W2846" s="631"/>
    </row>
    <row r="2847" spans="23:23" x14ac:dyDescent="0.2">
      <c r="W2847" s="631"/>
    </row>
    <row r="2848" spans="23:23" x14ac:dyDescent="0.2">
      <c r="W2848" s="631"/>
    </row>
    <row r="2849" spans="23:23" x14ac:dyDescent="0.2">
      <c r="W2849" s="631"/>
    </row>
    <row r="2850" spans="23:23" x14ac:dyDescent="0.2">
      <c r="W2850" s="631"/>
    </row>
    <row r="2851" spans="23:23" x14ac:dyDescent="0.2">
      <c r="W2851" s="631"/>
    </row>
    <row r="2852" spans="23:23" x14ac:dyDescent="0.2">
      <c r="W2852" s="631"/>
    </row>
    <row r="2853" spans="23:23" x14ac:dyDescent="0.2">
      <c r="W2853" s="631"/>
    </row>
    <row r="2854" spans="23:23" x14ac:dyDescent="0.2">
      <c r="W2854" s="631"/>
    </row>
    <row r="2855" spans="23:23" x14ac:dyDescent="0.2">
      <c r="W2855" s="631"/>
    </row>
    <row r="2856" spans="23:23" x14ac:dyDescent="0.2">
      <c r="W2856" s="631"/>
    </row>
    <row r="2857" spans="23:23" x14ac:dyDescent="0.2">
      <c r="W2857" s="631"/>
    </row>
    <row r="2858" spans="23:23" x14ac:dyDescent="0.2">
      <c r="W2858" s="631"/>
    </row>
    <row r="2859" spans="23:23" x14ac:dyDescent="0.2">
      <c r="W2859" s="631"/>
    </row>
    <row r="2860" spans="23:23" x14ac:dyDescent="0.2">
      <c r="W2860" s="631"/>
    </row>
    <row r="2861" spans="23:23" x14ac:dyDescent="0.2">
      <c r="W2861" s="631"/>
    </row>
    <row r="2862" spans="23:23" x14ac:dyDescent="0.2">
      <c r="W2862" s="631"/>
    </row>
    <row r="2863" spans="23:23" x14ac:dyDescent="0.2">
      <c r="W2863" s="631"/>
    </row>
    <row r="2864" spans="23:23" x14ac:dyDescent="0.2">
      <c r="W2864" s="631"/>
    </row>
    <row r="2865" spans="23:23" x14ac:dyDescent="0.2">
      <c r="W2865" s="631"/>
    </row>
    <row r="2866" spans="23:23" x14ac:dyDescent="0.2">
      <c r="W2866" s="631"/>
    </row>
    <row r="2867" spans="23:23" x14ac:dyDescent="0.2">
      <c r="W2867" s="631"/>
    </row>
    <row r="2868" spans="23:23" x14ac:dyDescent="0.2">
      <c r="W2868" s="631"/>
    </row>
    <row r="2869" spans="23:23" x14ac:dyDescent="0.2">
      <c r="W2869" s="631"/>
    </row>
    <row r="2870" spans="23:23" x14ac:dyDescent="0.2">
      <c r="W2870" s="631"/>
    </row>
    <row r="2871" spans="23:23" x14ac:dyDescent="0.2">
      <c r="W2871" s="631"/>
    </row>
    <row r="2872" spans="23:23" x14ac:dyDescent="0.2">
      <c r="W2872" s="631"/>
    </row>
    <row r="2873" spans="23:23" x14ac:dyDescent="0.2">
      <c r="W2873" s="631"/>
    </row>
    <row r="2874" spans="23:23" x14ac:dyDescent="0.2">
      <c r="W2874" s="631"/>
    </row>
    <row r="2875" spans="23:23" x14ac:dyDescent="0.2">
      <c r="W2875" s="631"/>
    </row>
    <row r="2876" spans="23:23" x14ac:dyDescent="0.2">
      <c r="W2876" s="631"/>
    </row>
    <row r="2877" spans="23:23" x14ac:dyDescent="0.2">
      <c r="W2877" s="631"/>
    </row>
    <row r="2878" spans="23:23" x14ac:dyDescent="0.2">
      <c r="W2878" s="631"/>
    </row>
    <row r="2879" spans="23:23" x14ac:dyDescent="0.2">
      <c r="W2879" s="631"/>
    </row>
    <row r="2880" spans="23:23" x14ac:dyDescent="0.2">
      <c r="W2880" s="631"/>
    </row>
    <row r="2881" spans="23:23" x14ac:dyDescent="0.2">
      <c r="W2881" s="631"/>
    </row>
    <row r="2882" spans="23:23" x14ac:dyDescent="0.2">
      <c r="W2882" s="631"/>
    </row>
    <row r="2883" spans="23:23" x14ac:dyDescent="0.2">
      <c r="W2883" s="631"/>
    </row>
    <row r="2884" spans="23:23" x14ac:dyDescent="0.2">
      <c r="W2884" s="631"/>
    </row>
    <row r="2885" spans="23:23" x14ac:dyDescent="0.2">
      <c r="W2885" s="631"/>
    </row>
    <row r="2886" spans="23:23" x14ac:dyDescent="0.2">
      <c r="W2886" s="631"/>
    </row>
    <row r="2887" spans="23:23" x14ac:dyDescent="0.2">
      <c r="W2887" s="631"/>
    </row>
    <row r="2888" spans="23:23" x14ac:dyDescent="0.2">
      <c r="W2888" s="631"/>
    </row>
    <row r="2889" spans="23:23" x14ac:dyDescent="0.2">
      <c r="W2889" s="631"/>
    </row>
    <row r="2890" spans="23:23" x14ac:dyDescent="0.2">
      <c r="W2890" s="631"/>
    </row>
    <row r="2891" spans="23:23" x14ac:dyDescent="0.2">
      <c r="W2891" s="631"/>
    </row>
    <row r="2892" spans="23:23" x14ac:dyDescent="0.2">
      <c r="W2892" s="631"/>
    </row>
    <row r="2893" spans="23:23" x14ac:dyDescent="0.2">
      <c r="W2893" s="631"/>
    </row>
    <row r="2894" spans="23:23" x14ac:dyDescent="0.2">
      <c r="W2894" s="631"/>
    </row>
    <row r="2895" spans="23:23" x14ac:dyDescent="0.2">
      <c r="W2895" s="631"/>
    </row>
    <row r="2896" spans="23:23" x14ac:dyDescent="0.2">
      <c r="W2896" s="631"/>
    </row>
    <row r="2897" spans="23:23" x14ac:dyDescent="0.2">
      <c r="W2897" s="631"/>
    </row>
    <row r="2898" spans="23:23" x14ac:dyDescent="0.2">
      <c r="W2898" s="631"/>
    </row>
    <row r="2899" spans="23:23" x14ac:dyDescent="0.2">
      <c r="W2899" s="631"/>
    </row>
    <row r="2900" spans="23:23" x14ac:dyDescent="0.2">
      <c r="W2900" s="631"/>
    </row>
    <row r="2901" spans="23:23" x14ac:dyDescent="0.2">
      <c r="W2901" s="631"/>
    </row>
    <row r="2902" spans="23:23" x14ac:dyDescent="0.2">
      <c r="W2902" s="631"/>
    </row>
    <row r="2903" spans="23:23" x14ac:dyDescent="0.2">
      <c r="W2903" s="631"/>
    </row>
    <row r="2904" spans="23:23" x14ac:dyDescent="0.2">
      <c r="W2904" s="631"/>
    </row>
    <row r="2905" spans="23:23" x14ac:dyDescent="0.2">
      <c r="W2905" s="631"/>
    </row>
    <row r="2906" spans="23:23" x14ac:dyDescent="0.2">
      <c r="W2906" s="631"/>
    </row>
    <row r="2907" spans="23:23" x14ac:dyDescent="0.2">
      <c r="W2907" s="631"/>
    </row>
    <row r="2908" spans="23:23" x14ac:dyDescent="0.2">
      <c r="W2908" s="631"/>
    </row>
    <row r="2909" spans="23:23" x14ac:dyDescent="0.2">
      <c r="W2909" s="631"/>
    </row>
    <row r="2910" spans="23:23" x14ac:dyDescent="0.2">
      <c r="W2910" s="631"/>
    </row>
    <row r="2911" spans="23:23" x14ac:dyDescent="0.2">
      <c r="W2911" s="631"/>
    </row>
    <row r="2912" spans="23:23" x14ac:dyDescent="0.2">
      <c r="W2912" s="631"/>
    </row>
    <row r="2913" spans="23:23" x14ac:dyDescent="0.2">
      <c r="W2913" s="631"/>
    </row>
    <row r="2914" spans="23:23" x14ac:dyDescent="0.2">
      <c r="W2914" s="631"/>
    </row>
    <row r="2915" spans="23:23" x14ac:dyDescent="0.2">
      <c r="W2915" s="631"/>
    </row>
    <row r="2916" spans="23:23" x14ac:dyDescent="0.2">
      <c r="W2916" s="631"/>
    </row>
    <row r="2917" spans="23:23" x14ac:dyDescent="0.2">
      <c r="W2917" s="631"/>
    </row>
    <row r="2918" spans="23:23" x14ac:dyDescent="0.2">
      <c r="W2918" s="631"/>
    </row>
    <row r="2919" spans="23:23" x14ac:dyDescent="0.2">
      <c r="W2919" s="631"/>
    </row>
    <row r="2920" spans="23:23" x14ac:dyDescent="0.2">
      <c r="W2920" s="631"/>
    </row>
    <row r="2921" spans="23:23" x14ac:dyDescent="0.2">
      <c r="W2921" s="631"/>
    </row>
    <row r="2922" spans="23:23" x14ac:dyDescent="0.2">
      <c r="W2922" s="631"/>
    </row>
    <row r="2923" spans="23:23" x14ac:dyDescent="0.2">
      <c r="W2923" s="631"/>
    </row>
    <row r="2924" spans="23:23" x14ac:dyDescent="0.2">
      <c r="W2924" s="631"/>
    </row>
    <row r="2925" spans="23:23" x14ac:dyDescent="0.2">
      <c r="W2925" s="631"/>
    </row>
    <row r="2926" spans="23:23" x14ac:dyDescent="0.2">
      <c r="W2926" s="631"/>
    </row>
    <row r="2927" spans="23:23" x14ac:dyDescent="0.2">
      <c r="W2927" s="631"/>
    </row>
    <row r="2928" spans="23:23" x14ac:dyDescent="0.2">
      <c r="W2928" s="631"/>
    </row>
    <row r="2929" spans="23:23" x14ac:dyDescent="0.2">
      <c r="W2929" s="631"/>
    </row>
    <row r="2930" spans="23:23" x14ac:dyDescent="0.2">
      <c r="W2930" s="631"/>
    </row>
    <row r="2931" spans="23:23" x14ac:dyDescent="0.2">
      <c r="W2931" s="631"/>
    </row>
    <row r="2932" spans="23:23" x14ac:dyDescent="0.2">
      <c r="W2932" s="631"/>
    </row>
    <row r="2933" spans="23:23" x14ac:dyDescent="0.2">
      <c r="W2933" s="631"/>
    </row>
    <row r="2934" spans="23:23" x14ac:dyDescent="0.2">
      <c r="W2934" s="631"/>
    </row>
    <row r="2935" spans="23:23" x14ac:dyDescent="0.2">
      <c r="W2935" s="631"/>
    </row>
    <row r="2936" spans="23:23" x14ac:dyDescent="0.2">
      <c r="W2936" s="631"/>
    </row>
    <row r="2937" spans="23:23" x14ac:dyDescent="0.2">
      <c r="W2937" s="631"/>
    </row>
    <row r="2938" spans="23:23" x14ac:dyDescent="0.2">
      <c r="W2938" s="631"/>
    </row>
    <row r="2939" spans="23:23" x14ac:dyDescent="0.2">
      <c r="W2939" s="631"/>
    </row>
    <row r="2940" spans="23:23" x14ac:dyDescent="0.2">
      <c r="W2940" s="631"/>
    </row>
    <row r="2941" spans="23:23" x14ac:dyDescent="0.2">
      <c r="W2941" s="631"/>
    </row>
    <row r="2942" spans="23:23" x14ac:dyDescent="0.2">
      <c r="W2942" s="631"/>
    </row>
    <row r="2943" spans="23:23" x14ac:dyDescent="0.2">
      <c r="W2943" s="631"/>
    </row>
    <row r="2944" spans="23:23" x14ac:dyDescent="0.2">
      <c r="W2944" s="631"/>
    </row>
    <row r="2945" spans="23:23" x14ac:dyDescent="0.2">
      <c r="W2945" s="631"/>
    </row>
    <row r="2946" spans="23:23" x14ac:dyDescent="0.2">
      <c r="W2946" s="631"/>
    </row>
    <row r="2947" spans="23:23" x14ac:dyDescent="0.2">
      <c r="W2947" s="631"/>
    </row>
    <row r="2948" spans="23:23" x14ac:dyDescent="0.2">
      <c r="W2948" s="631"/>
    </row>
    <row r="2949" spans="23:23" x14ac:dyDescent="0.2">
      <c r="W2949" s="631"/>
    </row>
    <row r="2950" spans="23:23" x14ac:dyDescent="0.2">
      <c r="W2950" s="631"/>
    </row>
    <row r="2951" spans="23:23" x14ac:dyDescent="0.2">
      <c r="W2951" s="631"/>
    </row>
    <row r="2952" spans="23:23" x14ac:dyDescent="0.2">
      <c r="W2952" s="631"/>
    </row>
    <row r="2953" spans="23:23" x14ac:dyDescent="0.2">
      <c r="W2953" s="631"/>
    </row>
    <row r="2954" spans="23:23" x14ac:dyDescent="0.2">
      <c r="W2954" s="631"/>
    </row>
    <row r="2955" spans="23:23" x14ac:dyDescent="0.2">
      <c r="W2955" s="631"/>
    </row>
    <row r="2956" spans="23:23" x14ac:dyDescent="0.2">
      <c r="W2956" s="631"/>
    </row>
    <row r="2957" spans="23:23" x14ac:dyDescent="0.2">
      <c r="W2957" s="631"/>
    </row>
    <row r="2958" spans="23:23" x14ac:dyDescent="0.2">
      <c r="W2958" s="631"/>
    </row>
    <row r="2959" spans="23:23" x14ac:dyDescent="0.2">
      <c r="W2959" s="631"/>
    </row>
    <row r="2960" spans="23:23" x14ac:dyDescent="0.2">
      <c r="W2960" s="631"/>
    </row>
    <row r="2961" spans="23:23" x14ac:dyDescent="0.2">
      <c r="W2961" s="631"/>
    </row>
    <row r="2962" spans="23:23" x14ac:dyDescent="0.2">
      <c r="W2962" s="631"/>
    </row>
    <row r="2963" spans="23:23" x14ac:dyDescent="0.2">
      <c r="W2963" s="631"/>
    </row>
    <row r="2964" spans="23:23" x14ac:dyDescent="0.2">
      <c r="W2964" s="631"/>
    </row>
    <row r="2965" spans="23:23" x14ac:dyDescent="0.2">
      <c r="W2965" s="631"/>
    </row>
    <row r="2966" spans="23:23" x14ac:dyDescent="0.2">
      <c r="W2966" s="631"/>
    </row>
    <row r="2967" spans="23:23" x14ac:dyDescent="0.2">
      <c r="W2967" s="631"/>
    </row>
    <row r="2968" spans="23:23" x14ac:dyDescent="0.2">
      <c r="W2968" s="631"/>
    </row>
    <row r="2969" spans="23:23" x14ac:dyDescent="0.2">
      <c r="W2969" s="631"/>
    </row>
    <row r="2970" spans="23:23" x14ac:dyDescent="0.2">
      <c r="W2970" s="631"/>
    </row>
    <row r="2971" spans="23:23" x14ac:dyDescent="0.2">
      <c r="W2971" s="631"/>
    </row>
    <row r="2972" spans="23:23" x14ac:dyDescent="0.2">
      <c r="W2972" s="631"/>
    </row>
    <row r="2973" spans="23:23" x14ac:dyDescent="0.2">
      <c r="W2973" s="631"/>
    </row>
    <row r="2974" spans="23:23" x14ac:dyDescent="0.2">
      <c r="W2974" s="631"/>
    </row>
    <row r="2975" spans="23:23" x14ac:dyDescent="0.2">
      <c r="W2975" s="631"/>
    </row>
    <row r="2976" spans="23:23" x14ac:dyDescent="0.2">
      <c r="W2976" s="631"/>
    </row>
    <row r="2977" spans="23:23" x14ac:dyDescent="0.2">
      <c r="W2977" s="631"/>
    </row>
    <row r="2978" spans="23:23" x14ac:dyDescent="0.2">
      <c r="W2978" s="631"/>
    </row>
    <row r="2979" spans="23:23" x14ac:dyDescent="0.2">
      <c r="W2979" s="631"/>
    </row>
    <row r="2980" spans="23:23" x14ac:dyDescent="0.2">
      <c r="W2980" s="631"/>
    </row>
    <row r="2981" spans="23:23" x14ac:dyDescent="0.2">
      <c r="W2981" s="631"/>
    </row>
    <row r="2982" spans="23:23" x14ac:dyDescent="0.2">
      <c r="W2982" s="631"/>
    </row>
    <row r="2983" spans="23:23" x14ac:dyDescent="0.2">
      <c r="W2983" s="631"/>
    </row>
    <row r="2984" spans="23:23" x14ac:dyDescent="0.2">
      <c r="W2984" s="631"/>
    </row>
    <row r="2985" spans="23:23" x14ac:dyDescent="0.2">
      <c r="W2985" s="631"/>
    </row>
    <row r="2986" spans="23:23" x14ac:dyDescent="0.2">
      <c r="W2986" s="631"/>
    </row>
    <row r="2987" spans="23:23" x14ac:dyDescent="0.2">
      <c r="W2987" s="631"/>
    </row>
    <row r="2988" spans="23:23" x14ac:dyDescent="0.2">
      <c r="W2988" s="631"/>
    </row>
    <row r="2989" spans="23:23" x14ac:dyDescent="0.2">
      <c r="W2989" s="631"/>
    </row>
    <row r="2990" spans="23:23" x14ac:dyDescent="0.2">
      <c r="W2990" s="631"/>
    </row>
    <row r="2991" spans="23:23" x14ac:dyDescent="0.2">
      <c r="W2991" s="631"/>
    </row>
    <row r="2992" spans="23:23" x14ac:dyDescent="0.2">
      <c r="W2992" s="631"/>
    </row>
    <row r="2993" spans="23:23" x14ac:dyDescent="0.2">
      <c r="W2993" s="631"/>
    </row>
    <row r="2994" spans="23:23" x14ac:dyDescent="0.2">
      <c r="W2994" s="631"/>
    </row>
    <row r="2995" spans="23:23" x14ac:dyDescent="0.2">
      <c r="W2995" s="631"/>
    </row>
    <row r="2996" spans="23:23" x14ac:dyDescent="0.2">
      <c r="W2996" s="631"/>
    </row>
    <row r="2997" spans="23:23" x14ac:dyDescent="0.2">
      <c r="W2997" s="631"/>
    </row>
    <row r="2998" spans="23:23" x14ac:dyDescent="0.2">
      <c r="W2998" s="631"/>
    </row>
    <row r="2999" spans="23:23" x14ac:dyDescent="0.2">
      <c r="W2999" s="631"/>
    </row>
    <row r="3000" spans="23:23" x14ac:dyDescent="0.2">
      <c r="W3000" s="631"/>
    </row>
    <row r="3001" spans="23:23" x14ac:dyDescent="0.2">
      <c r="W3001" s="631"/>
    </row>
    <row r="3002" spans="23:23" x14ac:dyDescent="0.2">
      <c r="W3002" s="631"/>
    </row>
    <row r="3003" spans="23:23" x14ac:dyDescent="0.2">
      <c r="W3003" s="631"/>
    </row>
    <row r="3004" spans="23:23" x14ac:dyDescent="0.2">
      <c r="W3004" s="631"/>
    </row>
    <row r="3005" spans="23:23" x14ac:dyDescent="0.2">
      <c r="W3005" s="631"/>
    </row>
    <row r="3006" spans="23:23" x14ac:dyDescent="0.2">
      <c r="W3006" s="631"/>
    </row>
    <row r="3007" spans="23:23" x14ac:dyDescent="0.2">
      <c r="W3007" s="631"/>
    </row>
    <row r="3008" spans="23:23" x14ac:dyDescent="0.2">
      <c r="W3008" s="631"/>
    </row>
    <row r="3009" spans="23:23" x14ac:dyDescent="0.2">
      <c r="W3009" s="631"/>
    </row>
    <row r="3010" spans="23:23" x14ac:dyDescent="0.2">
      <c r="W3010" s="631"/>
    </row>
    <row r="3011" spans="23:23" x14ac:dyDescent="0.2">
      <c r="W3011" s="631"/>
    </row>
    <row r="3012" spans="23:23" x14ac:dyDescent="0.2">
      <c r="W3012" s="631"/>
    </row>
    <row r="3013" spans="23:23" x14ac:dyDescent="0.2">
      <c r="W3013" s="631"/>
    </row>
    <row r="3014" spans="23:23" x14ac:dyDescent="0.2">
      <c r="W3014" s="631"/>
    </row>
    <row r="3015" spans="23:23" x14ac:dyDescent="0.2">
      <c r="W3015" s="631"/>
    </row>
    <row r="3016" spans="23:23" x14ac:dyDescent="0.2">
      <c r="W3016" s="631"/>
    </row>
    <row r="3017" spans="23:23" x14ac:dyDescent="0.2">
      <c r="W3017" s="631"/>
    </row>
    <row r="3018" spans="23:23" x14ac:dyDescent="0.2">
      <c r="W3018" s="631"/>
    </row>
    <row r="3019" spans="23:23" x14ac:dyDescent="0.2">
      <c r="W3019" s="631"/>
    </row>
    <row r="3020" spans="23:23" x14ac:dyDescent="0.2">
      <c r="W3020" s="631"/>
    </row>
    <row r="3021" spans="23:23" x14ac:dyDescent="0.2">
      <c r="W3021" s="631"/>
    </row>
    <row r="3022" spans="23:23" x14ac:dyDescent="0.2">
      <c r="W3022" s="631"/>
    </row>
    <row r="3023" spans="23:23" x14ac:dyDescent="0.2">
      <c r="W3023" s="631"/>
    </row>
    <row r="3024" spans="23:23" x14ac:dyDescent="0.2">
      <c r="W3024" s="631"/>
    </row>
    <row r="3025" spans="23:23" x14ac:dyDescent="0.2">
      <c r="W3025" s="631"/>
    </row>
    <row r="3026" spans="23:23" x14ac:dyDescent="0.2">
      <c r="W3026" s="631"/>
    </row>
    <row r="3027" spans="23:23" x14ac:dyDescent="0.2">
      <c r="W3027" s="631"/>
    </row>
    <row r="3028" spans="23:23" x14ac:dyDescent="0.2">
      <c r="W3028" s="631"/>
    </row>
    <row r="3029" spans="23:23" x14ac:dyDescent="0.2">
      <c r="W3029" s="631"/>
    </row>
    <row r="3030" spans="23:23" x14ac:dyDescent="0.2">
      <c r="W3030" s="631"/>
    </row>
    <row r="3031" spans="23:23" x14ac:dyDescent="0.2">
      <c r="W3031" s="631"/>
    </row>
    <row r="3032" spans="23:23" x14ac:dyDescent="0.2">
      <c r="W3032" s="631"/>
    </row>
    <row r="3033" spans="23:23" x14ac:dyDescent="0.2">
      <c r="W3033" s="631"/>
    </row>
    <row r="3034" spans="23:23" x14ac:dyDescent="0.2">
      <c r="W3034" s="631"/>
    </row>
    <row r="3035" spans="23:23" x14ac:dyDescent="0.2">
      <c r="W3035" s="631"/>
    </row>
    <row r="3036" spans="23:23" x14ac:dyDescent="0.2">
      <c r="W3036" s="631"/>
    </row>
    <row r="3037" spans="23:23" x14ac:dyDescent="0.2">
      <c r="W3037" s="631"/>
    </row>
    <row r="3038" spans="23:23" x14ac:dyDescent="0.2">
      <c r="W3038" s="631"/>
    </row>
    <row r="3039" spans="23:23" x14ac:dyDescent="0.2">
      <c r="W3039" s="631"/>
    </row>
    <row r="3040" spans="23:23" x14ac:dyDescent="0.2">
      <c r="W3040" s="631"/>
    </row>
    <row r="3041" spans="23:23" x14ac:dyDescent="0.2">
      <c r="W3041" s="631"/>
    </row>
    <row r="3042" spans="23:23" x14ac:dyDescent="0.2">
      <c r="W3042" s="631"/>
    </row>
    <row r="3043" spans="23:23" x14ac:dyDescent="0.2">
      <c r="W3043" s="631"/>
    </row>
    <row r="3044" spans="23:23" x14ac:dyDescent="0.2">
      <c r="W3044" s="631"/>
    </row>
    <row r="3045" spans="23:23" x14ac:dyDescent="0.2">
      <c r="W3045" s="631"/>
    </row>
    <row r="3046" spans="23:23" x14ac:dyDescent="0.2">
      <c r="W3046" s="631"/>
    </row>
    <row r="3047" spans="23:23" x14ac:dyDescent="0.2">
      <c r="W3047" s="631"/>
    </row>
    <row r="3048" spans="23:23" x14ac:dyDescent="0.2">
      <c r="W3048" s="631"/>
    </row>
    <row r="3049" spans="23:23" x14ac:dyDescent="0.2">
      <c r="W3049" s="631"/>
    </row>
    <row r="3050" spans="23:23" x14ac:dyDescent="0.2">
      <c r="W3050" s="631"/>
    </row>
    <row r="3051" spans="23:23" x14ac:dyDescent="0.2">
      <c r="W3051" s="631"/>
    </row>
    <row r="3052" spans="23:23" x14ac:dyDescent="0.2">
      <c r="W3052" s="631"/>
    </row>
    <row r="3053" spans="23:23" x14ac:dyDescent="0.2">
      <c r="W3053" s="631"/>
    </row>
    <row r="3054" spans="23:23" x14ac:dyDescent="0.2">
      <c r="W3054" s="631"/>
    </row>
    <row r="3055" spans="23:23" x14ac:dyDescent="0.2">
      <c r="W3055" s="631"/>
    </row>
    <row r="3056" spans="23:23" x14ac:dyDescent="0.2">
      <c r="W3056" s="631"/>
    </row>
    <row r="3057" spans="23:23" x14ac:dyDescent="0.2">
      <c r="W3057" s="631"/>
    </row>
    <row r="3058" spans="23:23" x14ac:dyDescent="0.2">
      <c r="W3058" s="631"/>
    </row>
    <row r="3059" spans="23:23" x14ac:dyDescent="0.2">
      <c r="W3059" s="631"/>
    </row>
    <row r="3060" spans="23:23" x14ac:dyDescent="0.2">
      <c r="W3060" s="631"/>
    </row>
    <row r="3061" spans="23:23" x14ac:dyDescent="0.2">
      <c r="W3061" s="631"/>
    </row>
    <row r="3062" spans="23:23" x14ac:dyDescent="0.2">
      <c r="W3062" s="631"/>
    </row>
    <row r="3063" spans="23:23" x14ac:dyDescent="0.2">
      <c r="W3063" s="631"/>
    </row>
    <row r="3064" spans="23:23" x14ac:dyDescent="0.2">
      <c r="W3064" s="631"/>
    </row>
    <row r="3065" spans="23:23" x14ac:dyDescent="0.2">
      <c r="W3065" s="631"/>
    </row>
    <row r="3066" spans="23:23" x14ac:dyDescent="0.2">
      <c r="W3066" s="631"/>
    </row>
    <row r="3067" spans="23:23" x14ac:dyDescent="0.2">
      <c r="W3067" s="631"/>
    </row>
    <row r="3068" spans="23:23" x14ac:dyDescent="0.2">
      <c r="W3068" s="631"/>
    </row>
    <row r="3069" spans="23:23" x14ac:dyDescent="0.2">
      <c r="W3069" s="631"/>
    </row>
    <row r="3070" spans="23:23" x14ac:dyDescent="0.2">
      <c r="W3070" s="631"/>
    </row>
    <row r="3071" spans="23:23" x14ac:dyDescent="0.2">
      <c r="W3071" s="631"/>
    </row>
    <row r="3072" spans="23:23" x14ac:dyDescent="0.2">
      <c r="W3072" s="631"/>
    </row>
    <row r="3073" spans="23:23" x14ac:dyDescent="0.2">
      <c r="W3073" s="631"/>
    </row>
    <row r="3074" spans="23:23" x14ac:dyDescent="0.2">
      <c r="W3074" s="631"/>
    </row>
    <row r="3075" spans="23:23" x14ac:dyDescent="0.2">
      <c r="W3075" s="631"/>
    </row>
    <row r="3076" spans="23:23" x14ac:dyDescent="0.2">
      <c r="W3076" s="631"/>
    </row>
    <row r="3077" spans="23:23" x14ac:dyDescent="0.2">
      <c r="W3077" s="631"/>
    </row>
    <row r="3078" spans="23:23" x14ac:dyDescent="0.2">
      <c r="W3078" s="631"/>
    </row>
    <row r="3079" spans="23:23" x14ac:dyDescent="0.2">
      <c r="W3079" s="631"/>
    </row>
    <row r="3080" spans="23:23" x14ac:dyDescent="0.2">
      <c r="W3080" s="631"/>
    </row>
    <row r="3081" spans="23:23" x14ac:dyDescent="0.2">
      <c r="W3081" s="631"/>
    </row>
    <row r="3082" spans="23:23" x14ac:dyDescent="0.2">
      <c r="W3082" s="631"/>
    </row>
    <row r="3083" spans="23:23" x14ac:dyDescent="0.2">
      <c r="W3083" s="631"/>
    </row>
    <row r="3084" spans="23:23" x14ac:dyDescent="0.2">
      <c r="W3084" s="631"/>
    </row>
    <row r="3085" spans="23:23" x14ac:dyDescent="0.2">
      <c r="W3085" s="631"/>
    </row>
    <row r="3086" spans="23:23" x14ac:dyDescent="0.2">
      <c r="W3086" s="631"/>
    </row>
    <row r="3087" spans="23:23" x14ac:dyDescent="0.2">
      <c r="W3087" s="631"/>
    </row>
    <row r="3088" spans="23:23" x14ac:dyDescent="0.2">
      <c r="W3088" s="631"/>
    </row>
    <row r="3089" spans="23:23" x14ac:dyDescent="0.2">
      <c r="W3089" s="631"/>
    </row>
    <row r="3090" spans="23:23" x14ac:dyDescent="0.2">
      <c r="W3090" s="631"/>
    </row>
    <row r="3091" spans="23:23" x14ac:dyDescent="0.2">
      <c r="W3091" s="631"/>
    </row>
    <row r="3092" spans="23:23" x14ac:dyDescent="0.2">
      <c r="W3092" s="631"/>
    </row>
    <row r="3093" spans="23:23" x14ac:dyDescent="0.2">
      <c r="W3093" s="631"/>
    </row>
    <row r="3094" spans="23:23" x14ac:dyDescent="0.2">
      <c r="W3094" s="631"/>
    </row>
    <row r="3095" spans="23:23" x14ac:dyDescent="0.2">
      <c r="W3095" s="631"/>
    </row>
    <row r="3096" spans="23:23" x14ac:dyDescent="0.2">
      <c r="W3096" s="631"/>
    </row>
    <row r="3097" spans="23:23" x14ac:dyDescent="0.2">
      <c r="W3097" s="631"/>
    </row>
    <row r="3098" spans="23:23" x14ac:dyDescent="0.2">
      <c r="W3098" s="631"/>
    </row>
    <row r="3099" spans="23:23" x14ac:dyDescent="0.2">
      <c r="W3099" s="631"/>
    </row>
    <row r="3100" spans="23:23" x14ac:dyDescent="0.2">
      <c r="W3100" s="631"/>
    </row>
    <row r="3101" spans="23:23" x14ac:dyDescent="0.2">
      <c r="W3101" s="631"/>
    </row>
    <row r="3102" spans="23:23" x14ac:dyDescent="0.2">
      <c r="W3102" s="631"/>
    </row>
    <row r="3103" spans="23:23" x14ac:dyDescent="0.2">
      <c r="W3103" s="631"/>
    </row>
    <row r="3104" spans="23:23" x14ac:dyDescent="0.2">
      <c r="W3104" s="631"/>
    </row>
    <row r="3105" spans="23:23" x14ac:dyDescent="0.2">
      <c r="W3105" s="631"/>
    </row>
    <row r="3106" spans="23:23" x14ac:dyDescent="0.2">
      <c r="W3106" s="631"/>
    </row>
    <row r="3107" spans="23:23" x14ac:dyDescent="0.2">
      <c r="W3107" s="631"/>
    </row>
    <row r="3108" spans="23:23" x14ac:dyDescent="0.2">
      <c r="W3108" s="631"/>
    </row>
    <row r="3109" spans="23:23" x14ac:dyDescent="0.2">
      <c r="W3109" s="631"/>
    </row>
    <row r="3110" spans="23:23" x14ac:dyDescent="0.2">
      <c r="W3110" s="631"/>
    </row>
    <row r="3111" spans="23:23" x14ac:dyDescent="0.2">
      <c r="W3111" s="631"/>
    </row>
    <row r="3112" spans="23:23" x14ac:dyDescent="0.2">
      <c r="W3112" s="631"/>
    </row>
    <row r="3113" spans="23:23" x14ac:dyDescent="0.2">
      <c r="W3113" s="631"/>
    </row>
    <row r="3114" spans="23:23" x14ac:dyDescent="0.2">
      <c r="W3114" s="631"/>
    </row>
    <row r="3115" spans="23:23" x14ac:dyDescent="0.2">
      <c r="W3115" s="631"/>
    </row>
    <row r="3116" spans="23:23" x14ac:dyDescent="0.2">
      <c r="W3116" s="631"/>
    </row>
    <row r="3117" spans="23:23" x14ac:dyDescent="0.2">
      <c r="W3117" s="631"/>
    </row>
    <row r="3118" spans="23:23" x14ac:dyDescent="0.2">
      <c r="W3118" s="631"/>
    </row>
    <row r="3119" spans="23:23" x14ac:dyDescent="0.2">
      <c r="W3119" s="631"/>
    </row>
    <row r="3120" spans="23:23" x14ac:dyDescent="0.2">
      <c r="W3120" s="631"/>
    </row>
    <row r="3121" spans="23:23" x14ac:dyDescent="0.2">
      <c r="W3121" s="631"/>
    </row>
    <row r="3122" spans="23:23" x14ac:dyDescent="0.2">
      <c r="W3122" s="631"/>
    </row>
    <row r="3123" spans="23:23" x14ac:dyDescent="0.2">
      <c r="W3123" s="631"/>
    </row>
    <row r="3124" spans="23:23" x14ac:dyDescent="0.2">
      <c r="W3124" s="631"/>
    </row>
    <row r="3125" spans="23:23" x14ac:dyDescent="0.2">
      <c r="W3125" s="631"/>
    </row>
    <row r="3126" spans="23:23" x14ac:dyDescent="0.2">
      <c r="W3126" s="631"/>
    </row>
    <row r="3127" spans="23:23" x14ac:dyDescent="0.2">
      <c r="W3127" s="631"/>
    </row>
    <row r="3128" spans="23:23" x14ac:dyDescent="0.2">
      <c r="W3128" s="631"/>
    </row>
    <row r="3129" spans="23:23" x14ac:dyDescent="0.2">
      <c r="W3129" s="631"/>
    </row>
    <row r="3130" spans="23:23" x14ac:dyDescent="0.2">
      <c r="W3130" s="631"/>
    </row>
    <row r="3131" spans="23:23" x14ac:dyDescent="0.2">
      <c r="W3131" s="631"/>
    </row>
    <row r="3132" spans="23:23" x14ac:dyDescent="0.2">
      <c r="W3132" s="631"/>
    </row>
    <row r="3133" spans="23:23" x14ac:dyDescent="0.2">
      <c r="W3133" s="631"/>
    </row>
    <row r="3134" spans="23:23" x14ac:dyDescent="0.2">
      <c r="W3134" s="631"/>
    </row>
    <row r="3135" spans="23:23" x14ac:dyDescent="0.2">
      <c r="W3135" s="631"/>
    </row>
    <row r="3136" spans="23:23" x14ac:dyDescent="0.2">
      <c r="W3136" s="631"/>
    </row>
    <row r="3137" spans="23:23" x14ac:dyDescent="0.2">
      <c r="W3137" s="631"/>
    </row>
    <row r="3138" spans="23:23" x14ac:dyDescent="0.2">
      <c r="W3138" s="631"/>
    </row>
    <row r="3139" spans="23:23" x14ac:dyDescent="0.2">
      <c r="W3139" s="631"/>
    </row>
    <row r="3140" spans="23:23" x14ac:dyDescent="0.2">
      <c r="W3140" s="631"/>
    </row>
    <row r="3141" spans="23:23" x14ac:dyDescent="0.2">
      <c r="W3141" s="631"/>
    </row>
    <row r="3142" spans="23:23" x14ac:dyDescent="0.2">
      <c r="W3142" s="631"/>
    </row>
    <row r="3143" spans="23:23" x14ac:dyDescent="0.2">
      <c r="W3143" s="631"/>
    </row>
    <row r="3144" spans="23:23" x14ac:dyDescent="0.2">
      <c r="W3144" s="631"/>
    </row>
    <row r="3145" spans="23:23" x14ac:dyDescent="0.2">
      <c r="W3145" s="631"/>
    </row>
    <row r="3146" spans="23:23" x14ac:dyDescent="0.2">
      <c r="W3146" s="631"/>
    </row>
    <row r="3147" spans="23:23" x14ac:dyDescent="0.2">
      <c r="W3147" s="631"/>
    </row>
    <row r="3148" spans="23:23" x14ac:dyDescent="0.2">
      <c r="W3148" s="631"/>
    </row>
    <row r="3149" spans="23:23" x14ac:dyDescent="0.2">
      <c r="W3149" s="631"/>
    </row>
    <row r="3150" spans="23:23" x14ac:dyDescent="0.2">
      <c r="W3150" s="631"/>
    </row>
    <row r="3151" spans="23:23" x14ac:dyDescent="0.2">
      <c r="W3151" s="631"/>
    </row>
    <row r="3152" spans="23:23" x14ac:dyDescent="0.2">
      <c r="W3152" s="631"/>
    </row>
    <row r="3153" spans="23:23" x14ac:dyDescent="0.2">
      <c r="W3153" s="631"/>
    </row>
    <row r="3154" spans="23:23" x14ac:dyDescent="0.2">
      <c r="W3154" s="631"/>
    </row>
    <row r="3155" spans="23:23" x14ac:dyDescent="0.2">
      <c r="W3155" s="631"/>
    </row>
    <row r="3156" spans="23:23" x14ac:dyDescent="0.2">
      <c r="W3156" s="631"/>
    </row>
    <row r="3157" spans="23:23" x14ac:dyDescent="0.2">
      <c r="W3157" s="631"/>
    </row>
    <row r="3158" spans="23:23" x14ac:dyDescent="0.2">
      <c r="W3158" s="631"/>
    </row>
    <row r="3159" spans="23:23" x14ac:dyDescent="0.2">
      <c r="W3159" s="631"/>
    </row>
    <row r="3160" spans="23:23" x14ac:dyDescent="0.2">
      <c r="W3160" s="631"/>
    </row>
    <row r="3161" spans="23:23" x14ac:dyDescent="0.2">
      <c r="W3161" s="631"/>
    </row>
    <row r="3162" spans="23:23" x14ac:dyDescent="0.2">
      <c r="W3162" s="631"/>
    </row>
    <row r="3163" spans="23:23" x14ac:dyDescent="0.2">
      <c r="W3163" s="631"/>
    </row>
    <row r="3164" spans="23:23" x14ac:dyDescent="0.2">
      <c r="W3164" s="631"/>
    </row>
    <row r="3165" spans="23:23" x14ac:dyDescent="0.2">
      <c r="W3165" s="631"/>
    </row>
    <row r="3166" spans="23:23" x14ac:dyDescent="0.2">
      <c r="W3166" s="631"/>
    </row>
    <row r="3167" spans="23:23" x14ac:dyDescent="0.2">
      <c r="W3167" s="631"/>
    </row>
    <row r="3168" spans="23:23" x14ac:dyDescent="0.2">
      <c r="W3168" s="631"/>
    </row>
    <row r="3169" spans="23:23" x14ac:dyDescent="0.2">
      <c r="W3169" s="631"/>
    </row>
    <row r="3170" spans="23:23" x14ac:dyDescent="0.2">
      <c r="W3170" s="631"/>
    </row>
    <row r="3171" spans="23:23" x14ac:dyDescent="0.2">
      <c r="W3171" s="631"/>
    </row>
    <row r="3172" spans="23:23" x14ac:dyDescent="0.2">
      <c r="W3172" s="631"/>
    </row>
    <row r="3173" spans="23:23" x14ac:dyDescent="0.2">
      <c r="W3173" s="631"/>
    </row>
    <row r="3174" spans="23:23" x14ac:dyDescent="0.2">
      <c r="W3174" s="631"/>
    </row>
    <row r="3175" spans="23:23" x14ac:dyDescent="0.2">
      <c r="W3175" s="631"/>
    </row>
    <row r="3176" spans="23:23" x14ac:dyDescent="0.2">
      <c r="W3176" s="631"/>
    </row>
    <row r="3177" spans="23:23" x14ac:dyDescent="0.2">
      <c r="W3177" s="631"/>
    </row>
    <row r="3178" spans="23:23" x14ac:dyDescent="0.2">
      <c r="W3178" s="631"/>
    </row>
    <row r="3179" spans="23:23" x14ac:dyDescent="0.2">
      <c r="W3179" s="631"/>
    </row>
    <row r="3180" spans="23:23" x14ac:dyDescent="0.2">
      <c r="W3180" s="631"/>
    </row>
    <row r="3181" spans="23:23" x14ac:dyDescent="0.2">
      <c r="W3181" s="631"/>
    </row>
    <row r="3182" spans="23:23" x14ac:dyDescent="0.2">
      <c r="W3182" s="631"/>
    </row>
    <row r="3183" spans="23:23" x14ac:dyDescent="0.2">
      <c r="W3183" s="631"/>
    </row>
    <row r="3184" spans="23:23" x14ac:dyDescent="0.2">
      <c r="W3184" s="631"/>
    </row>
    <row r="3185" spans="23:23" x14ac:dyDescent="0.2">
      <c r="W3185" s="631"/>
    </row>
    <row r="3186" spans="23:23" x14ac:dyDescent="0.2">
      <c r="W3186" s="631"/>
    </row>
    <row r="3187" spans="23:23" x14ac:dyDescent="0.2">
      <c r="W3187" s="631"/>
    </row>
    <row r="3188" spans="23:23" x14ac:dyDescent="0.2">
      <c r="W3188" s="631"/>
    </row>
    <row r="3189" spans="23:23" x14ac:dyDescent="0.2">
      <c r="W3189" s="631"/>
    </row>
    <row r="3190" spans="23:23" x14ac:dyDescent="0.2">
      <c r="W3190" s="631"/>
    </row>
    <row r="3191" spans="23:23" x14ac:dyDescent="0.2">
      <c r="W3191" s="631"/>
    </row>
    <row r="3192" spans="23:23" x14ac:dyDescent="0.2">
      <c r="W3192" s="631"/>
    </row>
    <row r="3193" spans="23:23" x14ac:dyDescent="0.2">
      <c r="W3193" s="631"/>
    </row>
    <row r="3194" spans="23:23" x14ac:dyDescent="0.2">
      <c r="W3194" s="631"/>
    </row>
    <row r="3195" spans="23:23" x14ac:dyDescent="0.2">
      <c r="W3195" s="631"/>
    </row>
    <row r="3196" spans="23:23" x14ac:dyDescent="0.2">
      <c r="W3196" s="631"/>
    </row>
    <row r="3197" spans="23:23" x14ac:dyDescent="0.2">
      <c r="W3197" s="631"/>
    </row>
    <row r="3198" spans="23:23" x14ac:dyDescent="0.2">
      <c r="W3198" s="631"/>
    </row>
    <row r="3199" spans="23:23" x14ac:dyDescent="0.2">
      <c r="W3199" s="631"/>
    </row>
    <row r="3200" spans="23:23" x14ac:dyDescent="0.2">
      <c r="W3200" s="631"/>
    </row>
    <row r="3201" spans="23:23" x14ac:dyDescent="0.2">
      <c r="W3201" s="631"/>
    </row>
    <row r="3202" spans="23:23" x14ac:dyDescent="0.2">
      <c r="W3202" s="631"/>
    </row>
    <row r="3203" spans="23:23" x14ac:dyDescent="0.2">
      <c r="W3203" s="631"/>
    </row>
    <row r="3204" spans="23:23" x14ac:dyDescent="0.2">
      <c r="W3204" s="631"/>
    </row>
    <row r="3205" spans="23:23" x14ac:dyDescent="0.2">
      <c r="W3205" s="631"/>
    </row>
    <row r="3206" spans="23:23" x14ac:dyDescent="0.2">
      <c r="W3206" s="631"/>
    </row>
    <row r="3207" spans="23:23" x14ac:dyDescent="0.2">
      <c r="W3207" s="631"/>
    </row>
    <row r="3208" spans="23:23" x14ac:dyDescent="0.2">
      <c r="W3208" s="631"/>
    </row>
    <row r="3209" spans="23:23" x14ac:dyDescent="0.2">
      <c r="W3209" s="631"/>
    </row>
    <row r="3210" spans="23:23" x14ac:dyDescent="0.2">
      <c r="W3210" s="631"/>
    </row>
    <row r="3211" spans="23:23" x14ac:dyDescent="0.2">
      <c r="W3211" s="631"/>
    </row>
    <row r="3212" spans="23:23" x14ac:dyDescent="0.2">
      <c r="W3212" s="631"/>
    </row>
    <row r="3213" spans="23:23" x14ac:dyDescent="0.2">
      <c r="W3213" s="631"/>
    </row>
    <row r="3214" spans="23:23" x14ac:dyDescent="0.2">
      <c r="W3214" s="631"/>
    </row>
    <row r="3215" spans="23:23" x14ac:dyDescent="0.2">
      <c r="W3215" s="631"/>
    </row>
    <row r="3216" spans="23:23" x14ac:dyDescent="0.2">
      <c r="W3216" s="631"/>
    </row>
    <row r="3217" spans="23:23" x14ac:dyDescent="0.2">
      <c r="W3217" s="631"/>
    </row>
    <row r="3218" spans="23:23" x14ac:dyDescent="0.2">
      <c r="W3218" s="631"/>
    </row>
    <row r="3219" spans="23:23" x14ac:dyDescent="0.2">
      <c r="W3219" s="631"/>
    </row>
    <row r="3220" spans="23:23" x14ac:dyDescent="0.2">
      <c r="W3220" s="631"/>
    </row>
    <row r="3221" spans="23:23" x14ac:dyDescent="0.2">
      <c r="W3221" s="631"/>
    </row>
    <row r="3222" spans="23:23" x14ac:dyDescent="0.2">
      <c r="W3222" s="631"/>
    </row>
    <row r="3223" spans="23:23" x14ac:dyDescent="0.2">
      <c r="W3223" s="631"/>
    </row>
    <row r="3224" spans="23:23" x14ac:dyDescent="0.2">
      <c r="W3224" s="631"/>
    </row>
    <row r="3225" spans="23:23" x14ac:dyDescent="0.2">
      <c r="W3225" s="631"/>
    </row>
    <row r="3226" spans="23:23" x14ac:dyDescent="0.2">
      <c r="W3226" s="631"/>
    </row>
    <row r="3227" spans="23:23" x14ac:dyDescent="0.2">
      <c r="W3227" s="631"/>
    </row>
    <row r="3228" spans="23:23" x14ac:dyDescent="0.2">
      <c r="W3228" s="631"/>
    </row>
    <row r="3229" spans="23:23" x14ac:dyDescent="0.2">
      <c r="W3229" s="631"/>
    </row>
    <row r="3230" spans="23:23" x14ac:dyDescent="0.2">
      <c r="W3230" s="631"/>
    </row>
    <row r="3231" spans="23:23" x14ac:dyDescent="0.2">
      <c r="W3231" s="631"/>
    </row>
    <row r="3232" spans="23:23" x14ac:dyDescent="0.2">
      <c r="W3232" s="631"/>
    </row>
    <row r="3233" spans="23:23" x14ac:dyDescent="0.2">
      <c r="W3233" s="631"/>
    </row>
    <row r="3234" spans="23:23" x14ac:dyDescent="0.2">
      <c r="W3234" s="631"/>
    </row>
    <row r="3235" spans="23:23" x14ac:dyDescent="0.2">
      <c r="W3235" s="631"/>
    </row>
    <row r="3236" spans="23:23" x14ac:dyDescent="0.2">
      <c r="W3236" s="631"/>
    </row>
    <row r="3237" spans="23:23" x14ac:dyDescent="0.2">
      <c r="W3237" s="631"/>
    </row>
    <row r="3238" spans="23:23" x14ac:dyDescent="0.2">
      <c r="W3238" s="631"/>
    </row>
    <row r="3239" spans="23:23" x14ac:dyDescent="0.2">
      <c r="W3239" s="631"/>
    </row>
    <row r="3240" spans="23:23" x14ac:dyDescent="0.2">
      <c r="W3240" s="631"/>
    </row>
    <row r="3241" spans="23:23" x14ac:dyDescent="0.2">
      <c r="W3241" s="631"/>
    </row>
    <row r="3242" spans="23:23" x14ac:dyDescent="0.2">
      <c r="W3242" s="631"/>
    </row>
    <row r="3243" spans="23:23" x14ac:dyDescent="0.2">
      <c r="W3243" s="631"/>
    </row>
    <row r="3244" spans="23:23" x14ac:dyDescent="0.2">
      <c r="W3244" s="631"/>
    </row>
    <row r="3245" spans="23:23" x14ac:dyDescent="0.2">
      <c r="W3245" s="631"/>
    </row>
    <row r="3246" spans="23:23" x14ac:dyDescent="0.2">
      <c r="W3246" s="631"/>
    </row>
    <row r="3247" spans="23:23" x14ac:dyDescent="0.2">
      <c r="W3247" s="631"/>
    </row>
    <row r="3248" spans="23:23" x14ac:dyDescent="0.2">
      <c r="W3248" s="631"/>
    </row>
    <row r="3249" spans="23:23" x14ac:dyDescent="0.2">
      <c r="W3249" s="631"/>
    </row>
    <row r="3250" spans="23:23" x14ac:dyDescent="0.2">
      <c r="W3250" s="631"/>
    </row>
    <row r="3251" spans="23:23" x14ac:dyDescent="0.2">
      <c r="W3251" s="631"/>
    </row>
    <row r="3252" spans="23:23" x14ac:dyDescent="0.2">
      <c r="W3252" s="631"/>
    </row>
    <row r="3253" spans="23:23" x14ac:dyDescent="0.2">
      <c r="W3253" s="631"/>
    </row>
    <row r="3254" spans="23:23" x14ac:dyDescent="0.2">
      <c r="W3254" s="631"/>
    </row>
    <row r="3255" spans="23:23" x14ac:dyDescent="0.2">
      <c r="W3255" s="631"/>
    </row>
    <row r="3256" spans="23:23" x14ac:dyDescent="0.2">
      <c r="W3256" s="631"/>
    </row>
    <row r="3257" spans="23:23" x14ac:dyDescent="0.2">
      <c r="W3257" s="631"/>
    </row>
    <row r="3258" spans="23:23" x14ac:dyDescent="0.2">
      <c r="W3258" s="631"/>
    </row>
    <row r="3259" spans="23:23" x14ac:dyDescent="0.2">
      <c r="W3259" s="631"/>
    </row>
    <row r="3260" spans="23:23" x14ac:dyDescent="0.2">
      <c r="W3260" s="631"/>
    </row>
    <row r="3261" spans="23:23" x14ac:dyDescent="0.2">
      <c r="W3261" s="631"/>
    </row>
    <row r="3262" spans="23:23" x14ac:dyDescent="0.2">
      <c r="W3262" s="631"/>
    </row>
    <row r="3263" spans="23:23" x14ac:dyDescent="0.2">
      <c r="W3263" s="631"/>
    </row>
    <row r="3264" spans="23:23" x14ac:dyDescent="0.2">
      <c r="W3264" s="631"/>
    </row>
    <row r="3265" spans="23:23" x14ac:dyDescent="0.2">
      <c r="W3265" s="631"/>
    </row>
    <row r="3266" spans="23:23" x14ac:dyDescent="0.2">
      <c r="W3266" s="631"/>
    </row>
    <row r="3267" spans="23:23" x14ac:dyDescent="0.2">
      <c r="W3267" s="631"/>
    </row>
    <row r="3268" spans="23:23" x14ac:dyDescent="0.2">
      <c r="W3268" s="631"/>
    </row>
    <row r="3269" spans="23:23" x14ac:dyDescent="0.2">
      <c r="W3269" s="631"/>
    </row>
    <row r="3270" spans="23:23" x14ac:dyDescent="0.2">
      <c r="W3270" s="631"/>
    </row>
    <row r="3271" spans="23:23" x14ac:dyDescent="0.2">
      <c r="W3271" s="631"/>
    </row>
    <row r="3272" spans="23:23" x14ac:dyDescent="0.2">
      <c r="W3272" s="631"/>
    </row>
    <row r="3273" spans="23:23" x14ac:dyDescent="0.2">
      <c r="W3273" s="631"/>
    </row>
    <row r="3274" spans="23:23" x14ac:dyDescent="0.2">
      <c r="W3274" s="631"/>
    </row>
    <row r="3275" spans="23:23" x14ac:dyDescent="0.2">
      <c r="W3275" s="631"/>
    </row>
    <row r="3276" spans="23:23" x14ac:dyDescent="0.2">
      <c r="W3276" s="631"/>
    </row>
    <row r="3277" spans="23:23" x14ac:dyDescent="0.2">
      <c r="W3277" s="631"/>
    </row>
    <row r="3278" spans="23:23" x14ac:dyDescent="0.2">
      <c r="W3278" s="631"/>
    </row>
    <row r="3279" spans="23:23" x14ac:dyDescent="0.2">
      <c r="W3279" s="631"/>
    </row>
    <row r="3280" spans="23:23" x14ac:dyDescent="0.2">
      <c r="W3280" s="631"/>
    </row>
    <row r="3281" spans="23:23" x14ac:dyDescent="0.2">
      <c r="W3281" s="631"/>
    </row>
    <row r="3282" spans="23:23" x14ac:dyDescent="0.2">
      <c r="W3282" s="631"/>
    </row>
    <row r="3283" spans="23:23" x14ac:dyDescent="0.2">
      <c r="W3283" s="631"/>
    </row>
    <row r="3284" spans="23:23" x14ac:dyDescent="0.2">
      <c r="W3284" s="631"/>
    </row>
    <row r="3285" spans="23:23" x14ac:dyDescent="0.2">
      <c r="W3285" s="631"/>
    </row>
    <row r="3286" spans="23:23" x14ac:dyDescent="0.2">
      <c r="W3286" s="631"/>
    </row>
    <row r="3287" spans="23:23" x14ac:dyDescent="0.2">
      <c r="W3287" s="631"/>
    </row>
    <row r="3288" spans="23:23" x14ac:dyDescent="0.2">
      <c r="W3288" s="631"/>
    </row>
    <row r="3289" spans="23:23" x14ac:dyDescent="0.2">
      <c r="W3289" s="631"/>
    </row>
    <row r="3290" spans="23:23" x14ac:dyDescent="0.2">
      <c r="W3290" s="631"/>
    </row>
    <row r="3291" spans="23:23" x14ac:dyDescent="0.2">
      <c r="W3291" s="631"/>
    </row>
    <row r="3292" spans="23:23" x14ac:dyDescent="0.2">
      <c r="W3292" s="631"/>
    </row>
    <row r="3293" spans="23:23" x14ac:dyDescent="0.2">
      <c r="W3293" s="631"/>
    </row>
    <row r="3294" spans="23:23" x14ac:dyDescent="0.2">
      <c r="W3294" s="631"/>
    </row>
    <row r="3295" spans="23:23" x14ac:dyDescent="0.2">
      <c r="W3295" s="631"/>
    </row>
    <row r="3296" spans="23:23" x14ac:dyDescent="0.2">
      <c r="W3296" s="631"/>
    </row>
    <row r="3297" spans="23:23" x14ac:dyDescent="0.2">
      <c r="W3297" s="631"/>
    </row>
    <row r="3298" spans="23:23" x14ac:dyDescent="0.2">
      <c r="W3298" s="631"/>
    </row>
    <row r="3299" spans="23:23" x14ac:dyDescent="0.2">
      <c r="W3299" s="631"/>
    </row>
    <row r="3300" spans="23:23" x14ac:dyDescent="0.2">
      <c r="W3300" s="631"/>
    </row>
    <row r="3301" spans="23:23" x14ac:dyDescent="0.2">
      <c r="W3301" s="631"/>
    </row>
    <row r="3302" spans="23:23" x14ac:dyDescent="0.2">
      <c r="W3302" s="631"/>
    </row>
    <row r="3303" spans="23:23" x14ac:dyDescent="0.2">
      <c r="W3303" s="631"/>
    </row>
    <row r="3304" spans="23:23" x14ac:dyDescent="0.2">
      <c r="W3304" s="631"/>
    </row>
    <row r="3305" spans="23:23" x14ac:dyDescent="0.2">
      <c r="W3305" s="631"/>
    </row>
    <row r="3306" spans="23:23" x14ac:dyDescent="0.2">
      <c r="W3306" s="631"/>
    </row>
    <row r="3307" spans="23:23" x14ac:dyDescent="0.2">
      <c r="W3307" s="631"/>
    </row>
    <row r="3308" spans="23:23" x14ac:dyDescent="0.2">
      <c r="W3308" s="631"/>
    </row>
    <row r="3309" spans="23:23" x14ac:dyDescent="0.2">
      <c r="W3309" s="631"/>
    </row>
    <row r="3310" spans="23:23" x14ac:dyDescent="0.2">
      <c r="W3310" s="631"/>
    </row>
    <row r="3311" spans="23:23" x14ac:dyDescent="0.2">
      <c r="W3311" s="631"/>
    </row>
    <row r="3312" spans="23:23" x14ac:dyDescent="0.2">
      <c r="W3312" s="631"/>
    </row>
    <row r="3313" spans="23:23" x14ac:dyDescent="0.2">
      <c r="W3313" s="631"/>
    </row>
    <row r="3314" spans="23:23" x14ac:dyDescent="0.2">
      <c r="W3314" s="631"/>
    </row>
    <row r="3315" spans="23:23" x14ac:dyDescent="0.2">
      <c r="W3315" s="631"/>
    </row>
    <row r="3316" spans="23:23" x14ac:dyDescent="0.2">
      <c r="W3316" s="631"/>
    </row>
    <row r="3317" spans="23:23" x14ac:dyDescent="0.2">
      <c r="W3317" s="631"/>
    </row>
    <row r="3318" spans="23:23" x14ac:dyDescent="0.2">
      <c r="W3318" s="631"/>
    </row>
    <row r="3319" spans="23:23" x14ac:dyDescent="0.2">
      <c r="W3319" s="631"/>
    </row>
    <row r="3320" spans="23:23" x14ac:dyDescent="0.2">
      <c r="W3320" s="631"/>
    </row>
    <row r="3321" spans="23:23" x14ac:dyDescent="0.2">
      <c r="W3321" s="631"/>
    </row>
    <row r="3322" spans="23:23" x14ac:dyDescent="0.2">
      <c r="W3322" s="631"/>
    </row>
    <row r="3323" spans="23:23" x14ac:dyDescent="0.2">
      <c r="W3323" s="631"/>
    </row>
    <row r="3324" spans="23:23" x14ac:dyDescent="0.2">
      <c r="W3324" s="631"/>
    </row>
    <row r="3325" spans="23:23" x14ac:dyDescent="0.2">
      <c r="W3325" s="631"/>
    </row>
    <row r="3326" spans="23:23" x14ac:dyDescent="0.2">
      <c r="W3326" s="631"/>
    </row>
    <row r="3327" spans="23:23" x14ac:dyDescent="0.2">
      <c r="W3327" s="631"/>
    </row>
    <row r="3328" spans="23:23" x14ac:dyDescent="0.2">
      <c r="W3328" s="631"/>
    </row>
    <row r="3329" spans="23:23" x14ac:dyDescent="0.2">
      <c r="W3329" s="631"/>
    </row>
    <row r="3330" spans="23:23" x14ac:dyDescent="0.2">
      <c r="W3330" s="631"/>
    </row>
    <row r="3331" spans="23:23" x14ac:dyDescent="0.2">
      <c r="W3331" s="631"/>
    </row>
    <row r="3332" spans="23:23" x14ac:dyDescent="0.2">
      <c r="W3332" s="631"/>
    </row>
    <row r="3333" spans="23:23" x14ac:dyDescent="0.2">
      <c r="W3333" s="631"/>
    </row>
    <row r="3334" spans="23:23" x14ac:dyDescent="0.2">
      <c r="W3334" s="631"/>
    </row>
    <row r="3335" spans="23:23" x14ac:dyDescent="0.2">
      <c r="W3335" s="631"/>
    </row>
    <row r="3336" spans="23:23" x14ac:dyDescent="0.2">
      <c r="W3336" s="631"/>
    </row>
    <row r="3337" spans="23:23" x14ac:dyDescent="0.2">
      <c r="W3337" s="631"/>
    </row>
    <row r="3338" spans="23:23" x14ac:dyDescent="0.2">
      <c r="W3338" s="631"/>
    </row>
    <row r="3339" spans="23:23" x14ac:dyDescent="0.2">
      <c r="W3339" s="631"/>
    </row>
    <row r="3340" spans="23:23" x14ac:dyDescent="0.2">
      <c r="W3340" s="631"/>
    </row>
    <row r="3341" spans="23:23" x14ac:dyDescent="0.2">
      <c r="W3341" s="631"/>
    </row>
    <row r="3342" spans="23:23" x14ac:dyDescent="0.2">
      <c r="W3342" s="631"/>
    </row>
    <row r="3343" spans="23:23" x14ac:dyDescent="0.2">
      <c r="W3343" s="631"/>
    </row>
    <row r="3344" spans="23:23" x14ac:dyDescent="0.2">
      <c r="W3344" s="631"/>
    </row>
    <row r="3345" spans="23:23" x14ac:dyDescent="0.2">
      <c r="W3345" s="631"/>
    </row>
    <row r="3346" spans="23:23" x14ac:dyDescent="0.2">
      <c r="W3346" s="631"/>
    </row>
    <row r="3347" spans="23:23" x14ac:dyDescent="0.2">
      <c r="W3347" s="631"/>
    </row>
    <row r="3348" spans="23:23" x14ac:dyDescent="0.2">
      <c r="W3348" s="631"/>
    </row>
    <row r="3349" spans="23:23" x14ac:dyDescent="0.2">
      <c r="W3349" s="631"/>
    </row>
    <row r="3350" spans="23:23" x14ac:dyDescent="0.2">
      <c r="W3350" s="631"/>
    </row>
    <row r="3351" spans="23:23" x14ac:dyDescent="0.2">
      <c r="W3351" s="631"/>
    </row>
    <row r="3352" spans="23:23" x14ac:dyDescent="0.2">
      <c r="W3352" s="631"/>
    </row>
    <row r="3353" spans="23:23" x14ac:dyDescent="0.2">
      <c r="W3353" s="631"/>
    </row>
    <row r="3354" spans="23:23" x14ac:dyDescent="0.2">
      <c r="W3354" s="631"/>
    </row>
    <row r="3355" spans="23:23" x14ac:dyDescent="0.2">
      <c r="W3355" s="631"/>
    </row>
    <row r="3356" spans="23:23" x14ac:dyDescent="0.2">
      <c r="W3356" s="631"/>
    </row>
    <row r="3357" spans="23:23" x14ac:dyDescent="0.2">
      <c r="W3357" s="631"/>
    </row>
    <row r="3358" spans="23:23" x14ac:dyDescent="0.2">
      <c r="W3358" s="631"/>
    </row>
    <row r="3359" spans="23:23" x14ac:dyDescent="0.2">
      <c r="W3359" s="631"/>
    </row>
    <row r="3360" spans="23:23" x14ac:dyDescent="0.2">
      <c r="W3360" s="631"/>
    </row>
    <row r="3361" spans="23:23" x14ac:dyDescent="0.2">
      <c r="W3361" s="631"/>
    </row>
    <row r="3362" spans="23:23" x14ac:dyDescent="0.2">
      <c r="W3362" s="631"/>
    </row>
    <row r="3363" spans="23:23" x14ac:dyDescent="0.2">
      <c r="W3363" s="631"/>
    </row>
    <row r="3364" spans="23:23" x14ac:dyDescent="0.2">
      <c r="W3364" s="631"/>
    </row>
    <row r="3365" spans="23:23" x14ac:dyDescent="0.2">
      <c r="W3365" s="631"/>
    </row>
    <row r="3366" spans="23:23" x14ac:dyDescent="0.2">
      <c r="W3366" s="631"/>
    </row>
    <row r="3367" spans="23:23" x14ac:dyDescent="0.2">
      <c r="W3367" s="631"/>
    </row>
    <row r="3368" spans="23:23" x14ac:dyDescent="0.2">
      <c r="W3368" s="631"/>
    </row>
    <row r="3369" spans="23:23" x14ac:dyDescent="0.2">
      <c r="W3369" s="631"/>
    </row>
    <row r="3370" spans="23:23" x14ac:dyDescent="0.2">
      <c r="W3370" s="631"/>
    </row>
    <row r="3371" spans="23:23" x14ac:dyDescent="0.2">
      <c r="W3371" s="631"/>
    </row>
    <row r="3372" spans="23:23" x14ac:dyDescent="0.2">
      <c r="W3372" s="631"/>
    </row>
    <row r="3373" spans="23:23" x14ac:dyDescent="0.2">
      <c r="W3373" s="631"/>
    </row>
    <row r="3374" spans="23:23" x14ac:dyDescent="0.2">
      <c r="W3374" s="631"/>
    </row>
    <row r="3375" spans="23:23" x14ac:dyDescent="0.2">
      <c r="W3375" s="631"/>
    </row>
    <row r="3376" spans="23:23" x14ac:dyDescent="0.2">
      <c r="W3376" s="631"/>
    </row>
    <row r="3377" spans="23:23" x14ac:dyDescent="0.2">
      <c r="W3377" s="631"/>
    </row>
    <row r="3378" spans="23:23" x14ac:dyDescent="0.2">
      <c r="W3378" s="631"/>
    </row>
    <row r="3379" spans="23:23" x14ac:dyDescent="0.2">
      <c r="W3379" s="631"/>
    </row>
    <row r="3380" spans="23:23" x14ac:dyDescent="0.2">
      <c r="W3380" s="631"/>
    </row>
    <row r="3381" spans="23:23" x14ac:dyDescent="0.2">
      <c r="W3381" s="631"/>
    </row>
    <row r="3382" spans="23:23" x14ac:dyDescent="0.2">
      <c r="W3382" s="631"/>
    </row>
    <row r="3383" spans="23:23" x14ac:dyDescent="0.2">
      <c r="W3383" s="631"/>
    </row>
    <row r="3384" spans="23:23" x14ac:dyDescent="0.2">
      <c r="W3384" s="631"/>
    </row>
    <row r="3385" spans="23:23" x14ac:dyDescent="0.2">
      <c r="W3385" s="631"/>
    </row>
    <row r="3386" spans="23:23" x14ac:dyDescent="0.2">
      <c r="W3386" s="631"/>
    </row>
    <row r="3387" spans="23:23" x14ac:dyDescent="0.2">
      <c r="W3387" s="631"/>
    </row>
    <row r="3388" spans="23:23" x14ac:dyDescent="0.2">
      <c r="W3388" s="631"/>
    </row>
    <row r="3389" spans="23:23" x14ac:dyDescent="0.2">
      <c r="W3389" s="631"/>
    </row>
    <row r="3390" spans="23:23" x14ac:dyDescent="0.2">
      <c r="W3390" s="631"/>
    </row>
    <row r="3391" spans="23:23" x14ac:dyDescent="0.2">
      <c r="W3391" s="631"/>
    </row>
    <row r="3392" spans="23:23" x14ac:dyDescent="0.2">
      <c r="W3392" s="631"/>
    </row>
    <row r="3393" spans="23:23" x14ac:dyDescent="0.2">
      <c r="W3393" s="631"/>
    </row>
    <row r="3394" spans="23:23" x14ac:dyDescent="0.2">
      <c r="W3394" s="631"/>
    </row>
    <row r="3395" spans="23:23" x14ac:dyDescent="0.2">
      <c r="W3395" s="631"/>
    </row>
    <row r="3396" spans="23:23" x14ac:dyDescent="0.2">
      <c r="W3396" s="631"/>
    </row>
    <row r="3397" spans="23:23" x14ac:dyDescent="0.2">
      <c r="W3397" s="631"/>
    </row>
    <row r="3398" spans="23:23" x14ac:dyDescent="0.2">
      <c r="W3398" s="631"/>
    </row>
    <row r="3399" spans="23:23" x14ac:dyDescent="0.2">
      <c r="W3399" s="631"/>
    </row>
    <row r="3400" spans="23:23" x14ac:dyDescent="0.2">
      <c r="W3400" s="631"/>
    </row>
    <row r="3401" spans="23:23" x14ac:dyDescent="0.2">
      <c r="W3401" s="631"/>
    </row>
    <row r="3402" spans="23:23" x14ac:dyDescent="0.2">
      <c r="W3402" s="631"/>
    </row>
    <row r="3403" spans="23:23" x14ac:dyDescent="0.2">
      <c r="W3403" s="631"/>
    </row>
    <row r="3404" spans="23:23" x14ac:dyDescent="0.2">
      <c r="W3404" s="631"/>
    </row>
    <row r="3405" spans="23:23" x14ac:dyDescent="0.2">
      <c r="W3405" s="631"/>
    </row>
    <row r="3406" spans="23:23" x14ac:dyDescent="0.2">
      <c r="W3406" s="631"/>
    </row>
    <row r="3407" spans="23:23" x14ac:dyDescent="0.2">
      <c r="W3407" s="631"/>
    </row>
    <row r="3408" spans="23:23" x14ac:dyDescent="0.2">
      <c r="W3408" s="631"/>
    </row>
    <row r="3409" spans="23:23" x14ac:dyDescent="0.2">
      <c r="W3409" s="631"/>
    </row>
    <row r="3410" spans="23:23" x14ac:dyDescent="0.2">
      <c r="W3410" s="631"/>
    </row>
    <row r="3411" spans="23:23" x14ac:dyDescent="0.2">
      <c r="W3411" s="631"/>
    </row>
    <row r="3412" spans="23:23" x14ac:dyDescent="0.2">
      <c r="W3412" s="631"/>
    </row>
    <row r="3413" spans="23:23" x14ac:dyDescent="0.2">
      <c r="W3413" s="631"/>
    </row>
    <row r="3414" spans="23:23" x14ac:dyDescent="0.2">
      <c r="W3414" s="631"/>
    </row>
    <row r="3415" spans="23:23" x14ac:dyDescent="0.2">
      <c r="W3415" s="631"/>
    </row>
    <row r="3416" spans="23:23" x14ac:dyDescent="0.2">
      <c r="W3416" s="631"/>
    </row>
    <row r="3417" spans="23:23" x14ac:dyDescent="0.2">
      <c r="W3417" s="631"/>
    </row>
    <row r="3418" spans="23:23" x14ac:dyDescent="0.2">
      <c r="W3418" s="631"/>
    </row>
    <row r="3419" spans="23:23" x14ac:dyDescent="0.2">
      <c r="W3419" s="631"/>
    </row>
    <row r="3420" spans="23:23" x14ac:dyDescent="0.2">
      <c r="W3420" s="631"/>
    </row>
    <row r="3421" spans="23:23" x14ac:dyDescent="0.2">
      <c r="W3421" s="631"/>
    </row>
    <row r="3422" spans="23:23" x14ac:dyDescent="0.2">
      <c r="W3422" s="631"/>
    </row>
    <row r="3423" spans="23:23" x14ac:dyDescent="0.2">
      <c r="W3423" s="631"/>
    </row>
    <row r="3424" spans="23:23" x14ac:dyDescent="0.2">
      <c r="W3424" s="631"/>
    </row>
    <row r="3425" spans="23:23" x14ac:dyDescent="0.2">
      <c r="W3425" s="631"/>
    </row>
    <row r="3426" spans="23:23" x14ac:dyDescent="0.2">
      <c r="W3426" s="631"/>
    </row>
    <row r="3427" spans="23:23" x14ac:dyDescent="0.2">
      <c r="W3427" s="631"/>
    </row>
    <row r="3428" spans="23:23" x14ac:dyDescent="0.2">
      <c r="W3428" s="631"/>
    </row>
    <row r="3429" spans="23:23" x14ac:dyDescent="0.2">
      <c r="W3429" s="631"/>
    </row>
    <row r="3430" spans="23:23" x14ac:dyDescent="0.2">
      <c r="W3430" s="631"/>
    </row>
    <row r="3431" spans="23:23" x14ac:dyDescent="0.2">
      <c r="W3431" s="631"/>
    </row>
    <row r="3432" spans="23:23" x14ac:dyDescent="0.2">
      <c r="W3432" s="631"/>
    </row>
    <row r="3433" spans="23:23" x14ac:dyDescent="0.2">
      <c r="W3433" s="631"/>
    </row>
    <row r="3434" spans="23:23" x14ac:dyDescent="0.2">
      <c r="W3434" s="631"/>
    </row>
    <row r="3435" spans="23:23" x14ac:dyDescent="0.2">
      <c r="W3435" s="631"/>
    </row>
    <row r="3436" spans="23:23" x14ac:dyDescent="0.2">
      <c r="W3436" s="631"/>
    </row>
    <row r="3437" spans="23:23" x14ac:dyDescent="0.2">
      <c r="W3437" s="631"/>
    </row>
    <row r="3438" spans="23:23" x14ac:dyDescent="0.2">
      <c r="W3438" s="631"/>
    </row>
    <row r="3439" spans="23:23" x14ac:dyDescent="0.2">
      <c r="W3439" s="631"/>
    </row>
    <row r="3440" spans="23:23" x14ac:dyDescent="0.2">
      <c r="W3440" s="631"/>
    </row>
    <row r="3441" spans="23:23" x14ac:dyDescent="0.2">
      <c r="W3441" s="631"/>
    </row>
    <row r="3442" spans="23:23" x14ac:dyDescent="0.2">
      <c r="W3442" s="631"/>
    </row>
    <row r="3443" spans="23:23" x14ac:dyDescent="0.2">
      <c r="W3443" s="631"/>
    </row>
    <row r="3444" spans="23:23" x14ac:dyDescent="0.2">
      <c r="W3444" s="631"/>
    </row>
    <row r="3445" spans="23:23" x14ac:dyDescent="0.2">
      <c r="W3445" s="631"/>
    </row>
    <row r="3446" spans="23:23" x14ac:dyDescent="0.2">
      <c r="W3446" s="631"/>
    </row>
    <row r="3447" spans="23:23" x14ac:dyDescent="0.2">
      <c r="W3447" s="631"/>
    </row>
    <row r="3448" spans="23:23" x14ac:dyDescent="0.2">
      <c r="W3448" s="631"/>
    </row>
    <row r="3449" spans="23:23" x14ac:dyDescent="0.2">
      <c r="W3449" s="631"/>
    </row>
    <row r="3450" spans="23:23" x14ac:dyDescent="0.2">
      <c r="W3450" s="631"/>
    </row>
    <row r="3451" spans="23:23" x14ac:dyDescent="0.2">
      <c r="W3451" s="631"/>
    </row>
    <row r="3452" spans="23:23" x14ac:dyDescent="0.2">
      <c r="W3452" s="631"/>
    </row>
    <row r="3453" spans="23:23" x14ac:dyDescent="0.2">
      <c r="W3453" s="631"/>
    </row>
    <row r="3454" spans="23:23" x14ac:dyDescent="0.2">
      <c r="W3454" s="631"/>
    </row>
    <row r="3455" spans="23:23" x14ac:dyDescent="0.2">
      <c r="W3455" s="631"/>
    </row>
    <row r="3456" spans="23:23" x14ac:dyDescent="0.2">
      <c r="W3456" s="631"/>
    </row>
    <row r="3457" spans="23:23" x14ac:dyDescent="0.2">
      <c r="W3457" s="631"/>
    </row>
    <row r="3458" spans="23:23" x14ac:dyDescent="0.2">
      <c r="W3458" s="631"/>
    </row>
    <row r="3459" spans="23:23" x14ac:dyDescent="0.2">
      <c r="W3459" s="631"/>
    </row>
    <row r="3460" spans="23:23" x14ac:dyDescent="0.2">
      <c r="W3460" s="631"/>
    </row>
    <row r="3461" spans="23:23" x14ac:dyDescent="0.2">
      <c r="W3461" s="631"/>
    </row>
    <row r="3462" spans="23:23" x14ac:dyDescent="0.2">
      <c r="W3462" s="631"/>
    </row>
    <row r="3463" spans="23:23" x14ac:dyDescent="0.2">
      <c r="W3463" s="631"/>
    </row>
    <row r="3464" spans="23:23" x14ac:dyDescent="0.2">
      <c r="W3464" s="631"/>
    </row>
    <row r="3465" spans="23:23" x14ac:dyDescent="0.2">
      <c r="W3465" s="631"/>
    </row>
    <row r="3466" spans="23:23" x14ac:dyDescent="0.2">
      <c r="W3466" s="631"/>
    </row>
    <row r="3467" spans="23:23" x14ac:dyDescent="0.2">
      <c r="W3467" s="631"/>
    </row>
    <row r="3468" spans="23:23" x14ac:dyDescent="0.2">
      <c r="W3468" s="631"/>
    </row>
    <row r="3469" spans="23:23" x14ac:dyDescent="0.2">
      <c r="W3469" s="631"/>
    </row>
    <row r="3470" spans="23:23" x14ac:dyDescent="0.2">
      <c r="W3470" s="631"/>
    </row>
    <row r="3471" spans="23:23" x14ac:dyDescent="0.2">
      <c r="W3471" s="631"/>
    </row>
    <row r="3472" spans="23:23" x14ac:dyDescent="0.2">
      <c r="W3472" s="631"/>
    </row>
    <row r="3473" spans="23:23" x14ac:dyDescent="0.2">
      <c r="W3473" s="631"/>
    </row>
    <row r="3474" spans="23:23" x14ac:dyDescent="0.2">
      <c r="W3474" s="631"/>
    </row>
    <row r="3475" spans="23:23" x14ac:dyDescent="0.2">
      <c r="W3475" s="631"/>
    </row>
    <row r="3476" spans="23:23" x14ac:dyDescent="0.2">
      <c r="W3476" s="631"/>
    </row>
    <row r="3477" spans="23:23" x14ac:dyDescent="0.2">
      <c r="W3477" s="631"/>
    </row>
    <row r="3478" spans="23:23" x14ac:dyDescent="0.2">
      <c r="W3478" s="631"/>
    </row>
    <row r="3479" spans="23:23" x14ac:dyDescent="0.2">
      <c r="W3479" s="631"/>
    </row>
    <row r="3480" spans="23:23" x14ac:dyDescent="0.2">
      <c r="W3480" s="631"/>
    </row>
    <row r="3481" spans="23:23" x14ac:dyDescent="0.2">
      <c r="W3481" s="631"/>
    </row>
    <row r="3482" spans="23:23" x14ac:dyDescent="0.2">
      <c r="W3482" s="631"/>
    </row>
    <row r="3483" spans="23:23" x14ac:dyDescent="0.2">
      <c r="W3483" s="631"/>
    </row>
    <row r="3484" spans="23:23" x14ac:dyDescent="0.2">
      <c r="W3484" s="631"/>
    </row>
    <row r="3485" spans="23:23" x14ac:dyDescent="0.2">
      <c r="W3485" s="631"/>
    </row>
    <row r="3486" spans="23:23" x14ac:dyDescent="0.2">
      <c r="W3486" s="631"/>
    </row>
    <row r="3487" spans="23:23" x14ac:dyDescent="0.2">
      <c r="W3487" s="631"/>
    </row>
    <row r="3488" spans="23:23" x14ac:dyDescent="0.2">
      <c r="W3488" s="631"/>
    </row>
    <row r="3489" spans="23:23" x14ac:dyDescent="0.2">
      <c r="W3489" s="631"/>
    </row>
    <row r="3490" spans="23:23" x14ac:dyDescent="0.2">
      <c r="W3490" s="631"/>
    </row>
    <row r="3491" spans="23:23" x14ac:dyDescent="0.2">
      <c r="W3491" s="631"/>
    </row>
    <row r="3492" spans="23:23" x14ac:dyDescent="0.2">
      <c r="W3492" s="631"/>
    </row>
    <row r="3493" spans="23:23" x14ac:dyDescent="0.2">
      <c r="W3493" s="631"/>
    </row>
    <row r="3494" spans="23:23" x14ac:dyDescent="0.2">
      <c r="W3494" s="631"/>
    </row>
    <row r="3495" spans="23:23" x14ac:dyDescent="0.2">
      <c r="W3495" s="631"/>
    </row>
    <row r="3496" spans="23:23" x14ac:dyDescent="0.2">
      <c r="W3496" s="631"/>
    </row>
    <row r="3497" spans="23:23" x14ac:dyDescent="0.2">
      <c r="W3497" s="631"/>
    </row>
    <row r="3498" spans="23:23" x14ac:dyDescent="0.2">
      <c r="W3498" s="631"/>
    </row>
    <row r="3499" spans="23:23" x14ac:dyDescent="0.2">
      <c r="W3499" s="631"/>
    </row>
    <row r="3500" spans="23:23" x14ac:dyDescent="0.2">
      <c r="W3500" s="631"/>
    </row>
    <row r="3501" spans="23:23" x14ac:dyDescent="0.2">
      <c r="W3501" s="631"/>
    </row>
    <row r="3502" spans="23:23" x14ac:dyDescent="0.2">
      <c r="W3502" s="631"/>
    </row>
    <row r="3503" spans="23:23" x14ac:dyDescent="0.2">
      <c r="W3503" s="631"/>
    </row>
    <row r="3504" spans="23:23" x14ac:dyDescent="0.2">
      <c r="W3504" s="631"/>
    </row>
    <row r="3505" spans="23:23" x14ac:dyDescent="0.2">
      <c r="W3505" s="631"/>
    </row>
    <row r="3506" spans="23:23" x14ac:dyDescent="0.2">
      <c r="W3506" s="631"/>
    </row>
    <row r="3507" spans="23:23" x14ac:dyDescent="0.2">
      <c r="W3507" s="631"/>
    </row>
    <row r="3508" spans="23:23" x14ac:dyDescent="0.2">
      <c r="W3508" s="631"/>
    </row>
    <row r="3509" spans="23:23" x14ac:dyDescent="0.2">
      <c r="W3509" s="631"/>
    </row>
    <row r="3510" spans="23:23" x14ac:dyDescent="0.2">
      <c r="W3510" s="631"/>
    </row>
    <row r="3511" spans="23:23" x14ac:dyDescent="0.2">
      <c r="W3511" s="631"/>
    </row>
    <row r="3512" spans="23:23" x14ac:dyDescent="0.2">
      <c r="W3512" s="631"/>
    </row>
    <row r="3513" spans="23:23" x14ac:dyDescent="0.2">
      <c r="W3513" s="631"/>
    </row>
    <row r="3514" spans="23:23" x14ac:dyDescent="0.2">
      <c r="W3514" s="631"/>
    </row>
    <row r="3515" spans="23:23" x14ac:dyDescent="0.2">
      <c r="W3515" s="631"/>
    </row>
    <row r="3516" spans="23:23" x14ac:dyDescent="0.2">
      <c r="W3516" s="631"/>
    </row>
    <row r="3517" spans="23:23" x14ac:dyDescent="0.2">
      <c r="W3517" s="631"/>
    </row>
    <row r="3518" spans="23:23" x14ac:dyDescent="0.2">
      <c r="W3518" s="631"/>
    </row>
    <row r="3519" spans="23:23" x14ac:dyDescent="0.2">
      <c r="W3519" s="631"/>
    </row>
    <row r="3520" spans="23:23" x14ac:dyDescent="0.2">
      <c r="W3520" s="631"/>
    </row>
    <row r="3521" spans="23:23" x14ac:dyDescent="0.2">
      <c r="W3521" s="631"/>
    </row>
    <row r="3522" spans="23:23" x14ac:dyDescent="0.2">
      <c r="W3522" s="631"/>
    </row>
    <row r="3523" spans="23:23" x14ac:dyDescent="0.2">
      <c r="W3523" s="631"/>
    </row>
    <row r="3524" spans="23:23" x14ac:dyDescent="0.2">
      <c r="W3524" s="631"/>
    </row>
    <row r="3525" spans="23:23" x14ac:dyDescent="0.2">
      <c r="W3525" s="631"/>
    </row>
    <row r="3526" spans="23:23" x14ac:dyDescent="0.2">
      <c r="W3526" s="631"/>
    </row>
    <row r="3527" spans="23:23" x14ac:dyDescent="0.2">
      <c r="W3527" s="631"/>
    </row>
    <row r="3528" spans="23:23" x14ac:dyDescent="0.2">
      <c r="W3528" s="631"/>
    </row>
    <row r="3529" spans="23:23" x14ac:dyDescent="0.2">
      <c r="W3529" s="631"/>
    </row>
    <row r="3530" spans="23:23" x14ac:dyDescent="0.2">
      <c r="W3530" s="631"/>
    </row>
    <row r="3531" spans="23:23" x14ac:dyDescent="0.2">
      <c r="W3531" s="631"/>
    </row>
    <row r="3532" spans="23:23" x14ac:dyDescent="0.2">
      <c r="W3532" s="631"/>
    </row>
    <row r="3533" spans="23:23" x14ac:dyDescent="0.2">
      <c r="W3533" s="631"/>
    </row>
    <row r="3534" spans="23:23" x14ac:dyDescent="0.2">
      <c r="W3534" s="631"/>
    </row>
    <row r="3535" spans="23:23" x14ac:dyDescent="0.2">
      <c r="W3535" s="631"/>
    </row>
    <row r="3536" spans="23:23" x14ac:dyDescent="0.2">
      <c r="W3536" s="631"/>
    </row>
    <row r="3537" spans="23:23" x14ac:dyDescent="0.2">
      <c r="W3537" s="631"/>
    </row>
    <row r="3538" spans="23:23" x14ac:dyDescent="0.2">
      <c r="W3538" s="631"/>
    </row>
    <row r="3539" spans="23:23" x14ac:dyDescent="0.2">
      <c r="W3539" s="631"/>
    </row>
    <row r="3540" spans="23:23" x14ac:dyDescent="0.2">
      <c r="W3540" s="631"/>
    </row>
    <row r="3541" spans="23:23" x14ac:dyDescent="0.2">
      <c r="W3541" s="631"/>
    </row>
    <row r="3542" spans="23:23" x14ac:dyDescent="0.2">
      <c r="W3542" s="631"/>
    </row>
    <row r="3543" spans="23:23" x14ac:dyDescent="0.2">
      <c r="W3543" s="631"/>
    </row>
    <row r="3544" spans="23:23" x14ac:dyDescent="0.2">
      <c r="W3544" s="631"/>
    </row>
    <row r="3545" spans="23:23" x14ac:dyDescent="0.2">
      <c r="W3545" s="631"/>
    </row>
    <row r="3546" spans="23:23" x14ac:dyDescent="0.2">
      <c r="W3546" s="631"/>
    </row>
    <row r="3547" spans="23:23" x14ac:dyDescent="0.2">
      <c r="W3547" s="631"/>
    </row>
    <row r="3548" spans="23:23" x14ac:dyDescent="0.2">
      <c r="W3548" s="631"/>
    </row>
    <row r="3549" spans="23:23" x14ac:dyDescent="0.2">
      <c r="W3549" s="631"/>
    </row>
    <row r="3550" spans="23:23" x14ac:dyDescent="0.2">
      <c r="W3550" s="631"/>
    </row>
    <row r="3551" spans="23:23" x14ac:dyDescent="0.2">
      <c r="W3551" s="631"/>
    </row>
    <row r="3552" spans="23:23" x14ac:dyDescent="0.2">
      <c r="W3552" s="631"/>
    </row>
    <row r="3553" spans="23:23" x14ac:dyDescent="0.2">
      <c r="W3553" s="631"/>
    </row>
    <row r="3554" spans="23:23" x14ac:dyDescent="0.2">
      <c r="W3554" s="631"/>
    </row>
    <row r="3555" spans="23:23" x14ac:dyDescent="0.2">
      <c r="W3555" s="631"/>
    </row>
    <row r="3556" spans="23:23" x14ac:dyDescent="0.2">
      <c r="W3556" s="631"/>
    </row>
    <row r="3557" spans="23:23" x14ac:dyDescent="0.2">
      <c r="W3557" s="631"/>
    </row>
    <row r="3558" spans="23:23" x14ac:dyDescent="0.2">
      <c r="W3558" s="631"/>
    </row>
    <row r="3559" spans="23:23" x14ac:dyDescent="0.2">
      <c r="W3559" s="631"/>
    </row>
    <row r="3560" spans="23:23" x14ac:dyDescent="0.2">
      <c r="W3560" s="631"/>
    </row>
    <row r="3561" spans="23:23" x14ac:dyDescent="0.2">
      <c r="W3561" s="631"/>
    </row>
    <row r="3562" spans="23:23" x14ac:dyDescent="0.2">
      <c r="W3562" s="631"/>
    </row>
    <row r="3563" spans="23:23" x14ac:dyDescent="0.2">
      <c r="W3563" s="631"/>
    </row>
    <row r="3564" spans="23:23" x14ac:dyDescent="0.2">
      <c r="W3564" s="631"/>
    </row>
    <row r="3565" spans="23:23" x14ac:dyDescent="0.2">
      <c r="W3565" s="631"/>
    </row>
    <row r="3566" spans="23:23" x14ac:dyDescent="0.2">
      <c r="W3566" s="631"/>
    </row>
    <row r="3567" spans="23:23" x14ac:dyDescent="0.2">
      <c r="W3567" s="631"/>
    </row>
    <row r="3568" spans="23:23" x14ac:dyDescent="0.2">
      <c r="W3568" s="631"/>
    </row>
    <row r="3569" spans="23:23" x14ac:dyDescent="0.2">
      <c r="W3569" s="631"/>
    </row>
    <row r="3570" spans="23:23" x14ac:dyDescent="0.2">
      <c r="W3570" s="631"/>
    </row>
    <row r="3571" spans="23:23" x14ac:dyDescent="0.2">
      <c r="W3571" s="631"/>
    </row>
    <row r="3572" spans="23:23" x14ac:dyDescent="0.2">
      <c r="W3572" s="631"/>
    </row>
    <row r="3573" spans="23:23" x14ac:dyDescent="0.2">
      <c r="W3573" s="631"/>
    </row>
    <row r="3574" spans="23:23" x14ac:dyDescent="0.2">
      <c r="W3574" s="631"/>
    </row>
    <row r="3575" spans="23:23" x14ac:dyDescent="0.2">
      <c r="W3575" s="631"/>
    </row>
    <row r="3576" spans="23:23" x14ac:dyDescent="0.2">
      <c r="W3576" s="631"/>
    </row>
    <row r="3577" spans="23:23" x14ac:dyDescent="0.2">
      <c r="W3577" s="631"/>
    </row>
    <row r="3578" spans="23:23" x14ac:dyDescent="0.2">
      <c r="W3578" s="631"/>
    </row>
    <row r="3579" spans="23:23" x14ac:dyDescent="0.2">
      <c r="W3579" s="631"/>
    </row>
    <row r="3580" spans="23:23" x14ac:dyDescent="0.2">
      <c r="W3580" s="631"/>
    </row>
    <row r="3581" spans="23:23" x14ac:dyDescent="0.2">
      <c r="W3581" s="631"/>
    </row>
    <row r="3582" spans="23:23" x14ac:dyDescent="0.2">
      <c r="W3582" s="631"/>
    </row>
    <row r="3583" spans="23:23" x14ac:dyDescent="0.2">
      <c r="W3583" s="631"/>
    </row>
    <row r="3584" spans="23:23" x14ac:dyDescent="0.2">
      <c r="W3584" s="631"/>
    </row>
    <row r="3585" spans="23:23" x14ac:dyDescent="0.2">
      <c r="W3585" s="631"/>
    </row>
    <row r="3586" spans="23:23" x14ac:dyDescent="0.2">
      <c r="W3586" s="631"/>
    </row>
    <row r="3587" spans="23:23" x14ac:dyDescent="0.2">
      <c r="W3587" s="631"/>
    </row>
    <row r="3588" spans="23:23" x14ac:dyDescent="0.2">
      <c r="W3588" s="631"/>
    </row>
    <row r="3589" spans="23:23" x14ac:dyDescent="0.2">
      <c r="W3589" s="631"/>
    </row>
    <row r="3590" spans="23:23" x14ac:dyDescent="0.2">
      <c r="W3590" s="631"/>
    </row>
    <row r="3591" spans="23:23" x14ac:dyDescent="0.2">
      <c r="W3591" s="631"/>
    </row>
    <row r="3592" spans="23:23" x14ac:dyDescent="0.2">
      <c r="W3592" s="631"/>
    </row>
    <row r="3593" spans="23:23" x14ac:dyDescent="0.2">
      <c r="W3593" s="631"/>
    </row>
    <row r="3594" spans="23:23" x14ac:dyDescent="0.2">
      <c r="W3594" s="631"/>
    </row>
    <row r="3595" spans="23:23" x14ac:dyDescent="0.2">
      <c r="W3595" s="631"/>
    </row>
    <row r="3596" spans="23:23" x14ac:dyDescent="0.2">
      <c r="W3596" s="631"/>
    </row>
    <row r="3597" spans="23:23" x14ac:dyDescent="0.2">
      <c r="W3597" s="631"/>
    </row>
    <row r="3598" spans="23:23" x14ac:dyDescent="0.2">
      <c r="W3598" s="631"/>
    </row>
    <row r="3599" spans="23:23" x14ac:dyDescent="0.2">
      <c r="W3599" s="631"/>
    </row>
    <row r="3600" spans="23:23" x14ac:dyDescent="0.2">
      <c r="W3600" s="631"/>
    </row>
    <row r="3601" spans="23:23" x14ac:dyDescent="0.2">
      <c r="W3601" s="631"/>
    </row>
    <row r="3602" spans="23:23" x14ac:dyDescent="0.2">
      <c r="W3602" s="631"/>
    </row>
    <row r="3603" spans="23:23" x14ac:dyDescent="0.2">
      <c r="W3603" s="631"/>
    </row>
    <row r="3604" spans="23:23" x14ac:dyDescent="0.2">
      <c r="W3604" s="631"/>
    </row>
    <row r="3605" spans="23:23" x14ac:dyDescent="0.2">
      <c r="W3605" s="631"/>
    </row>
    <row r="3606" spans="23:23" x14ac:dyDescent="0.2">
      <c r="W3606" s="631"/>
    </row>
    <row r="3607" spans="23:23" x14ac:dyDescent="0.2">
      <c r="W3607" s="631"/>
    </row>
    <row r="3608" spans="23:23" x14ac:dyDescent="0.2">
      <c r="W3608" s="631"/>
    </row>
    <row r="3609" spans="23:23" x14ac:dyDescent="0.2">
      <c r="W3609" s="631"/>
    </row>
    <row r="3610" spans="23:23" x14ac:dyDescent="0.2">
      <c r="W3610" s="631"/>
    </row>
    <row r="3611" spans="23:23" x14ac:dyDescent="0.2">
      <c r="W3611" s="631"/>
    </row>
    <row r="3612" spans="23:23" x14ac:dyDescent="0.2">
      <c r="W3612" s="631"/>
    </row>
    <row r="3613" spans="23:23" x14ac:dyDescent="0.2">
      <c r="W3613" s="631"/>
    </row>
    <row r="3614" spans="23:23" x14ac:dyDescent="0.2">
      <c r="W3614" s="631"/>
    </row>
    <row r="3615" spans="23:23" x14ac:dyDescent="0.2">
      <c r="W3615" s="631"/>
    </row>
    <row r="3616" spans="23:23" x14ac:dyDescent="0.2">
      <c r="W3616" s="631"/>
    </row>
    <row r="3617" spans="23:23" x14ac:dyDescent="0.2">
      <c r="W3617" s="631"/>
    </row>
    <row r="3618" spans="23:23" x14ac:dyDescent="0.2">
      <c r="W3618" s="631"/>
    </row>
    <row r="3619" spans="23:23" x14ac:dyDescent="0.2">
      <c r="W3619" s="631"/>
    </row>
    <row r="3620" spans="23:23" x14ac:dyDescent="0.2">
      <c r="W3620" s="631"/>
    </row>
    <row r="3621" spans="23:23" x14ac:dyDescent="0.2">
      <c r="W3621" s="631"/>
    </row>
    <row r="3622" spans="23:23" x14ac:dyDescent="0.2">
      <c r="W3622" s="631"/>
    </row>
    <row r="3623" spans="23:23" x14ac:dyDescent="0.2">
      <c r="W3623" s="631"/>
    </row>
    <row r="3624" spans="23:23" x14ac:dyDescent="0.2">
      <c r="W3624" s="631"/>
    </row>
    <row r="3625" spans="23:23" x14ac:dyDescent="0.2">
      <c r="W3625" s="631"/>
    </row>
    <row r="3626" spans="23:23" x14ac:dyDescent="0.2">
      <c r="W3626" s="631"/>
    </row>
    <row r="3627" spans="23:23" x14ac:dyDescent="0.2">
      <c r="W3627" s="631"/>
    </row>
    <row r="3628" spans="23:23" x14ac:dyDescent="0.2">
      <c r="W3628" s="631"/>
    </row>
    <row r="3629" spans="23:23" x14ac:dyDescent="0.2">
      <c r="W3629" s="631"/>
    </row>
    <row r="3630" spans="23:23" x14ac:dyDescent="0.2">
      <c r="W3630" s="631"/>
    </row>
    <row r="3631" spans="23:23" x14ac:dyDescent="0.2">
      <c r="W3631" s="631"/>
    </row>
    <row r="3632" spans="23:23" x14ac:dyDescent="0.2">
      <c r="W3632" s="631"/>
    </row>
    <row r="3633" spans="23:23" x14ac:dyDescent="0.2">
      <c r="W3633" s="631"/>
    </row>
    <row r="3634" spans="23:23" x14ac:dyDescent="0.2">
      <c r="W3634" s="631"/>
    </row>
    <row r="3635" spans="23:23" x14ac:dyDescent="0.2">
      <c r="W3635" s="631"/>
    </row>
    <row r="3636" spans="23:23" x14ac:dyDescent="0.2">
      <c r="W3636" s="631"/>
    </row>
    <row r="3637" spans="23:23" x14ac:dyDescent="0.2">
      <c r="W3637" s="631"/>
    </row>
    <row r="3638" spans="23:23" x14ac:dyDescent="0.2">
      <c r="W3638" s="631"/>
    </row>
    <row r="3639" spans="23:23" x14ac:dyDescent="0.2">
      <c r="W3639" s="631"/>
    </row>
    <row r="3640" spans="23:23" x14ac:dyDescent="0.2">
      <c r="W3640" s="631"/>
    </row>
    <row r="3641" spans="23:23" x14ac:dyDescent="0.2">
      <c r="W3641" s="631"/>
    </row>
    <row r="3642" spans="23:23" x14ac:dyDescent="0.2">
      <c r="W3642" s="631"/>
    </row>
    <row r="3643" spans="23:23" x14ac:dyDescent="0.2">
      <c r="W3643" s="631"/>
    </row>
    <row r="3644" spans="23:23" x14ac:dyDescent="0.2">
      <c r="W3644" s="631"/>
    </row>
    <row r="3645" spans="23:23" x14ac:dyDescent="0.2">
      <c r="W3645" s="631"/>
    </row>
    <row r="3646" spans="23:23" x14ac:dyDescent="0.2">
      <c r="W3646" s="631"/>
    </row>
    <row r="3647" spans="23:23" x14ac:dyDescent="0.2">
      <c r="W3647" s="631"/>
    </row>
    <row r="3648" spans="23:23" x14ac:dyDescent="0.2">
      <c r="W3648" s="631"/>
    </row>
    <row r="3649" spans="23:23" x14ac:dyDescent="0.2">
      <c r="W3649" s="631"/>
    </row>
    <row r="3650" spans="23:23" x14ac:dyDescent="0.2">
      <c r="W3650" s="631"/>
    </row>
    <row r="3651" spans="23:23" x14ac:dyDescent="0.2">
      <c r="W3651" s="631"/>
    </row>
    <row r="3652" spans="23:23" x14ac:dyDescent="0.2">
      <c r="W3652" s="631"/>
    </row>
    <row r="3653" spans="23:23" x14ac:dyDescent="0.2">
      <c r="W3653" s="631"/>
    </row>
    <row r="3654" spans="23:23" x14ac:dyDescent="0.2">
      <c r="W3654" s="631"/>
    </row>
    <row r="3655" spans="23:23" x14ac:dyDescent="0.2">
      <c r="W3655" s="631"/>
    </row>
    <row r="3656" spans="23:23" x14ac:dyDescent="0.2">
      <c r="W3656" s="631"/>
    </row>
    <row r="3657" spans="23:23" x14ac:dyDescent="0.2">
      <c r="W3657" s="631"/>
    </row>
    <row r="3658" spans="23:23" x14ac:dyDescent="0.2">
      <c r="W3658" s="631"/>
    </row>
    <row r="3659" spans="23:23" x14ac:dyDescent="0.2">
      <c r="W3659" s="631"/>
    </row>
    <row r="3660" spans="23:23" x14ac:dyDescent="0.2">
      <c r="W3660" s="631"/>
    </row>
    <row r="3661" spans="23:23" x14ac:dyDescent="0.2">
      <c r="W3661" s="631"/>
    </row>
    <row r="3662" spans="23:23" x14ac:dyDescent="0.2">
      <c r="W3662" s="631"/>
    </row>
    <row r="3663" spans="23:23" x14ac:dyDescent="0.2">
      <c r="W3663" s="631"/>
    </row>
    <row r="3664" spans="23:23" x14ac:dyDescent="0.2">
      <c r="W3664" s="631"/>
    </row>
    <row r="3665" spans="23:23" x14ac:dyDescent="0.2">
      <c r="W3665" s="631"/>
    </row>
    <row r="3666" spans="23:23" x14ac:dyDescent="0.2">
      <c r="W3666" s="631"/>
    </row>
    <row r="3667" spans="23:23" x14ac:dyDescent="0.2">
      <c r="W3667" s="631"/>
    </row>
    <row r="3668" spans="23:23" x14ac:dyDescent="0.2">
      <c r="W3668" s="631"/>
    </row>
    <row r="3669" spans="23:23" x14ac:dyDescent="0.2">
      <c r="W3669" s="631"/>
    </row>
    <row r="3670" spans="23:23" x14ac:dyDescent="0.2">
      <c r="W3670" s="631"/>
    </row>
    <row r="3671" spans="23:23" x14ac:dyDescent="0.2">
      <c r="W3671" s="631"/>
    </row>
    <row r="3672" spans="23:23" x14ac:dyDescent="0.2">
      <c r="W3672" s="631"/>
    </row>
    <row r="3673" spans="23:23" x14ac:dyDescent="0.2">
      <c r="W3673" s="631"/>
    </row>
    <row r="3674" spans="23:23" x14ac:dyDescent="0.2">
      <c r="W3674" s="631"/>
    </row>
    <row r="3675" spans="23:23" x14ac:dyDescent="0.2">
      <c r="W3675" s="631"/>
    </row>
    <row r="3676" spans="23:23" x14ac:dyDescent="0.2">
      <c r="W3676" s="631"/>
    </row>
    <row r="3677" spans="23:23" x14ac:dyDescent="0.2">
      <c r="W3677" s="631"/>
    </row>
    <row r="3678" spans="23:23" x14ac:dyDescent="0.2">
      <c r="W3678" s="631"/>
    </row>
    <row r="3679" spans="23:23" x14ac:dyDescent="0.2">
      <c r="W3679" s="631"/>
    </row>
    <row r="3680" spans="23:23" x14ac:dyDescent="0.2">
      <c r="W3680" s="631"/>
    </row>
    <row r="3681" spans="23:23" x14ac:dyDescent="0.2">
      <c r="W3681" s="631"/>
    </row>
    <row r="3682" spans="23:23" x14ac:dyDescent="0.2">
      <c r="W3682" s="631"/>
    </row>
    <row r="3683" spans="23:23" x14ac:dyDescent="0.2">
      <c r="W3683" s="631"/>
    </row>
    <row r="3684" spans="23:23" x14ac:dyDescent="0.2">
      <c r="W3684" s="631"/>
    </row>
    <row r="3685" spans="23:23" x14ac:dyDescent="0.2">
      <c r="W3685" s="631"/>
    </row>
    <row r="3686" spans="23:23" x14ac:dyDescent="0.2">
      <c r="W3686" s="631"/>
    </row>
    <row r="3687" spans="23:23" x14ac:dyDescent="0.2">
      <c r="W3687" s="631"/>
    </row>
    <row r="3688" spans="23:23" x14ac:dyDescent="0.2">
      <c r="W3688" s="631"/>
    </row>
    <row r="3689" spans="23:23" x14ac:dyDescent="0.2">
      <c r="W3689" s="631"/>
    </row>
    <row r="3690" spans="23:23" x14ac:dyDescent="0.2">
      <c r="W3690" s="631"/>
    </row>
    <row r="3691" spans="23:23" x14ac:dyDescent="0.2">
      <c r="W3691" s="631"/>
    </row>
    <row r="3692" spans="23:23" x14ac:dyDescent="0.2">
      <c r="W3692" s="631"/>
    </row>
    <row r="3693" spans="23:23" x14ac:dyDescent="0.2">
      <c r="W3693" s="631"/>
    </row>
    <row r="3694" spans="23:23" x14ac:dyDescent="0.2">
      <c r="W3694" s="631"/>
    </row>
    <row r="3695" spans="23:23" x14ac:dyDescent="0.2">
      <c r="W3695" s="631"/>
    </row>
    <row r="3696" spans="23:23" x14ac:dyDescent="0.2">
      <c r="W3696" s="631"/>
    </row>
    <row r="3697" spans="23:23" x14ac:dyDescent="0.2">
      <c r="W3697" s="631"/>
    </row>
    <row r="3698" spans="23:23" x14ac:dyDescent="0.2">
      <c r="W3698" s="631"/>
    </row>
    <row r="3699" spans="23:23" x14ac:dyDescent="0.2">
      <c r="W3699" s="631"/>
    </row>
    <row r="3700" spans="23:23" x14ac:dyDescent="0.2">
      <c r="W3700" s="631"/>
    </row>
    <row r="3701" spans="23:23" x14ac:dyDescent="0.2">
      <c r="W3701" s="631"/>
    </row>
    <row r="3702" spans="23:23" x14ac:dyDescent="0.2">
      <c r="W3702" s="631"/>
    </row>
    <row r="3703" spans="23:23" x14ac:dyDescent="0.2">
      <c r="W3703" s="631"/>
    </row>
    <row r="3704" spans="23:23" x14ac:dyDescent="0.2">
      <c r="W3704" s="631"/>
    </row>
    <row r="3705" spans="23:23" x14ac:dyDescent="0.2">
      <c r="W3705" s="631"/>
    </row>
    <row r="3706" spans="23:23" x14ac:dyDescent="0.2">
      <c r="W3706" s="631"/>
    </row>
    <row r="3707" spans="23:23" x14ac:dyDescent="0.2">
      <c r="W3707" s="631"/>
    </row>
    <row r="3708" spans="23:23" x14ac:dyDescent="0.2">
      <c r="W3708" s="631"/>
    </row>
    <row r="3709" spans="23:23" x14ac:dyDescent="0.2">
      <c r="W3709" s="631"/>
    </row>
    <row r="3710" spans="23:23" x14ac:dyDescent="0.2">
      <c r="W3710" s="631"/>
    </row>
    <row r="3711" spans="23:23" x14ac:dyDescent="0.2">
      <c r="W3711" s="631"/>
    </row>
    <row r="3712" spans="23:23" x14ac:dyDescent="0.2">
      <c r="W3712" s="631"/>
    </row>
    <row r="3713" spans="23:23" x14ac:dyDescent="0.2">
      <c r="W3713" s="631"/>
    </row>
    <row r="3714" spans="23:23" x14ac:dyDescent="0.2">
      <c r="W3714" s="631"/>
    </row>
    <row r="3715" spans="23:23" x14ac:dyDescent="0.2">
      <c r="W3715" s="631"/>
    </row>
    <row r="3716" spans="23:23" x14ac:dyDescent="0.2">
      <c r="W3716" s="631"/>
    </row>
    <row r="3717" spans="23:23" x14ac:dyDescent="0.2">
      <c r="W3717" s="631"/>
    </row>
    <row r="3718" spans="23:23" x14ac:dyDescent="0.2">
      <c r="W3718" s="631"/>
    </row>
    <row r="3719" spans="23:23" x14ac:dyDescent="0.2">
      <c r="W3719" s="631"/>
    </row>
    <row r="3720" spans="23:23" x14ac:dyDescent="0.2">
      <c r="W3720" s="631"/>
    </row>
    <row r="3721" spans="23:23" x14ac:dyDescent="0.2">
      <c r="W3721" s="631"/>
    </row>
    <row r="3722" spans="23:23" x14ac:dyDescent="0.2">
      <c r="W3722" s="631"/>
    </row>
    <row r="3723" spans="23:23" x14ac:dyDescent="0.2">
      <c r="W3723" s="631"/>
    </row>
    <row r="3724" spans="23:23" x14ac:dyDescent="0.2">
      <c r="W3724" s="631"/>
    </row>
    <row r="3725" spans="23:23" x14ac:dyDescent="0.2">
      <c r="W3725" s="631"/>
    </row>
    <row r="3726" spans="23:23" x14ac:dyDescent="0.2">
      <c r="W3726" s="631"/>
    </row>
    <row r="3727" spans="23:23" x14ac:dyDescent="0.2">
      <c r="W3727" s="631"/>
    </row>
    <row r="3728" spans="23:23" x14ac:dyDescent="0.2">
      <c r="W3728" s="631"/>
    </row>
    <row r="3729" spans="23:23" x14ac:dyDescent="0.2">
      <c r="W3729" s="631"/>
    </row>
    <row r="3730" spans="23:23" x14ac:dyDescent="0.2">
      <c r="W3730" s="631"/>
    </row>
    <row r="3731" spans="23:23" x14ac:dyDescent="0.2">
      <c r="W3731" s="631"/>
    </row>
    <row r="3732" spans="23:23" x14ac:dyDescent="0.2">
      <c r="W3732" s="631"/>
    </row>
    <row r="3733" spans="23:23" x14ac:dyDescent="0.2">
      <c r="W3733" s="631"/>
    </row>
    <row r="3734" spans="23:23" x14ac:dyDescent="0.2">
      <c r="W3734" s="631"/>
    </row>
    <row r="3735" spans="23:23" x14ac:dyDescent="0.2">
      <c r="W3735" s="631"/>
    </row>
    <row r="3736" spans="23:23" x14ac:dyDescent="0.2">
      <c r="W3736" s="631"/>
    </row>
    <row r="3737" spans="23:23" x14ac:dyDescent="0.2">
      <c r="W3737" s="631"/>
    </row>
    <row r="3738" spans="23:23" x14ac:dyDescent="0.2">
      <c r="W3738" s="631"/>
    </row>
    <row r="3739" spans="23:23" x14ac:dyDescent="0.2">
      <c r="W3739" s="631"/>
    </row>
    <row r="3740" spans="23:23" x14ac:dyDescent="0.2">
      <c r="W3740" s="631"/>
    </row>
    <row r="3741" spans="23:23" x14ac:dyDescent="0.2">
      <c r="W3741" s="631"/>
    </row>
    <row r="3742" spans="23:23" x14ac:dyDescent="0.2">
      <c r="W3742" s="631"/>
    </row>
    <row r="3743" spans="23:23" x14ac:dyDescent="0.2">
      <c r="W3743" s="631"/>
    </row>
    <row r="3744" spans="23:23" x14ac:dyDescent="0.2">
      <c r="W3744" s="631"/>
    </row>
    <row r="3745" spans="23:23" x14ac:dyDescent="0.2">
      <c r="W3745" s="631"/>
    </row>
    <row r="3746" spans="23:23" x14ac:dyDescent="0.2">
      <c r="W3746" s="631"/>
    </row>
    <row r="3747" spans="23:23" x14ac:dyDescent="0.2">
      <c r="W3747" s="631"/>
    </row>
    <row r="3748" spans="23:23" x14ac:dyDescent="0.2">
      <c r="W3748" s="631"/>
    </row>
    <row r="3749" spans="23:23" x14ac:dyDescent="0.2">
      <c r="W3749" s="631"/>
    </row>
    <row r="3750" spans="23:23" x14ac:dyDescent="0.2">
      <c r="W3750" s="631"/>
    </row>
    <row r="3751" spans="23:23" x14ac:dyDescent="0.2">
      <c r="W3751" s="631"/>
    </row>
    <row r="3752" spans="23:23" x14ac:dyDescent="0.2">
      <c r="W3752" s="631"/>
    </row>
    <row r="3753" spans="23:23" x14ac:dyDescent="0.2">
      <c r="W3753" s="631"/>
    </row>
    <row r="3754" spans="23:23" x14ac:dyDescent="0.2">
      <c r="W3754" s="631"/>
    </row>
    <row r="3755" spans="23:23" x14ac:dyDescent="0.2">
      <c r="W3755" s="631"/>
    </row>
    <row r="3756" spans="23:23" x14ac:dyDescent="0.2">
      <c r="W3756" s="631"/>
    </row>
    <row r="3757" spans="23:23" x14ac:dyDescent="0.2">
      <c r="W3757" s="631"/>
    </row>
    <row r="3758" spans="23:23" x14ac:dyDescent="0.2">
      <c r="W3758" s="631"/>
    </row>
    <row r="3759" spans="23:23" x14ac:dyDescent="0.2">
      <c r="W3759" s="631"/>
    </row>
    <row r="3760" spans="23:23" x14ac:dyDescent="0.2">
      <c r="W3760" s="631"/>
    </row>
    <row r="3761" spans="23:23" x14ac:dyDescent="0.2">
      <c r="W3761" s="631"/>
    </row>
    <row r="3762" spans="23:23" x14ac:dyDescent="0.2">
      <c r="W3762" s="631"/>
    </row>
    <row r="3763" spans="23:23" x14ac:dyDescent="0.2">
      <c r="W3763" s="631"/>
    </row>
    <row r="3764" spans="23:23" x14ac:dyDescent="0.2">
      <c r="W3764" s="631"/>
    </row>
    <row r="3765" spans="23:23" x14ac:dyDescent="0.2">
      <c r="W3765" s="631"/>
    </row>
    <row r="3766" spans="23:23" x14ac:dyDescent="0.2">
      <c r="W3766" s="631"/>
    </row>
    <row r="3767" spans="23:23" x14ac:dyDescent="0.2">
      <c r="W3767" s="631"/>
    </row>
    <row r="3768" spans="23:23" x14ac:dyDescent="0.2">
      <c r="W3768" s="631"/>
    </row>
    <row r="3769" spans="23:23" x14ac:dyDescent="0.2">
      <c r="W3769" s="631"/>
    </row>
    <row r="3770" spans="23:23" x14ac:dyDescent="0.2">
      <c r="W3770" s="631"/>
    </row>
    <row r="3771" spans="23:23" x14ac:dyDescent="0.2">
      <c r="W3771" s="631"/>
    </row>
    <row r="3772" spans="23:23" x14ac:dyDescent="0.2">
      <c r="W3772" s="631"/>
    </row>
    <row r="3773" spans="23:23" x14ac:dyDescent="0.2">
      <c r="W3773" s="631"/>
    </row>
    <row r="3774" spans="23:23" x14ac:dyDescent="0.2">
      <c r="W3774" s="631"/>
    </row>
    <row r="3775" spans="23:23" x14ac:dyDescent="0.2">
      <c r="W3775" s="631"/>
    </row>
    <row r="3776" spans="23:23" x14ac:dyDescent="0.2">
      <c r="W3776" s="631"/>
    </row>
    <row r="3777" spans="23:23" x14ac:dyDescent="0.2">
      <c r="W3777" s="631"/>
    </row>
    <row r="3778" spans="23:23" x14ac:dyDescent="0.2">
      <c r="W3778" s="631"/>
    </row>
    <row r="3779" spans="23:23" x14ac:dyDescent="0.2">
      <c r="W3779" s="631"/>
    </row>
    <row r="3780" spans="23:23" x14ac:dyDescent="0.2">
      <c r="W3780" s="631"/>
    </row>
    <row r="3781" spans="23:23" x14ac:dyDescent="0.2">
      <c r="W3781" s="631"/>
    </row>
    <row r="3782" spans="23:23" x14ac:dyDescent="0.2">
      <c r="W3782" s="631"/>
    </row>
    <row r="3783" spans="23:23" x14ac:dyDescent="0.2">
      <c r="W3783" s="631"/>
    </row>
    <row r="3784" spans="23:23" x14ac:dyDescent="0.2">
      <c r="W3784" s="631"/>
    </row>
    <row r="3785" spans="23:23" x14ac:dyDescent="0.2">
      <c r="W3785" s="631"/>
    </row>
    <row r="3786" spans="23:23" x14ac:dyDescent="0.2">
      <c r="W3786" s="631"/>
    </row>
    <row r="3787" spans="23:23" x14ac:dyDescent="0.2">
      <c r="W3787" s="631"/>
    </row>
    <row r="3788" spans="23:23" x14ac:dyDescent="0.2">
      <c r="W3788" s="631"/>
    </row>
    <row r="3789" spans="23:23" x14ac:dyDescent="0.2">
      <c r="W3789" s="631"/>
    </row>
    <row r="3790" spans="23:23" x14ac:dyDescent="0.2">
      <c r="W3790" s="631"/>
    </row>
    <row r="3791" spans="23:23" x14ac:dyDescent="0.2">
      <c r="W3791" s="631"/>
    </row>
    <row r="3792" spans="23:23" x14ac:dyDescent="0.2">
      <c r="W3792" s="631"/>
    </row>
    <row r="3793" spans="23:23" x14ac:dyDescent="0.2">
      <c r="W3793" s="631"/>
    </row>
    <row r="3794" spans="23:23" x14ac:dyDescent="0.2">
      <c r="W3794" s="631"/>
    </row>
    <row r="3795" spans="23:23" x14ac:dyDescent="0.2">
      <c r="W3795" s="631"/>
    </row>
    <row r="3796" spans="23:23" x14ac:dyDescent="0.2">
      <c r="W3796" s="631"/>
    </row>
    <row r="3797" spans="23:23" x14ac:dyDescent="0.2">
      <c r="W3797" s="631"/>
    </row>
    <row r="3798" spans="23:23" x14ac:dyDescent="0.2">
      <c r="W3798" s="631"/>
    </row>
    <row r="3799" spans="23:23" x14ac:dyDescent="0.2">
      <c r="W3799" s="631"/>
    </row>
    <row r="3800" spans="23:23" x14ac:dyDescent="0.2">
      <c r="W3800" s="631"/>
    </row>
    <row r="3801" spans="23:23" x14ac:dyDescent="0.2">
      <c r="W3801" s="631"/>
    </row>
    <row r="3802" spans="23:23" x14ac:dyDescent="0.2">
      <c r="W3802" s="631"/>
    </row>
    <row r="3803" spans="23:23" x14ac:dyDescent="0.2">
      <c r="W3803" s="631"/>
    </row>
    <row r="3804" spans="23:23" x14ac:dyDescent="0.2">
      <c r="W3804" s="631"/>
    </row>
    <row r="3805" spans="23:23" x14ac:dyDescent="0.2">
      <c r="W3805" s="631"/>
    </row>
    <row r="3806" spans="23:23" x14ac:dyDescent="0.2">
      <c r="W3806" s="631"/>
    </row>
    <row r="3807" spans="23:23" x14ac:dyDescent="0.2">
      <c r="W3807" s="631"/>
    </row>
    <row r="3808" spans="23:23" x14ac:dyDescent="0.2">
      <c r="W3808" s="631"/>
    </row>
    <row r="3809" spans="23:23" x14ac:dyDescent="0.2">
      <c r="W3809" s="631"/>
    </row>
    <row r="3810" spans="23:23" x14ac:dyDescent="0.2">
      <c r="W3810" s="631"/>
    </row>
    <row r="3811" spans="23:23" x14ac:dyDescent="0.2">
      <c r="W3811" s="631"/>
    </row>
    <row r="3812" spans="23:23" x14ac:dyDescent="0.2">
      <c r="W3812" s="631"/>
    </row>
    <row r="3813" spans="23:23" x14ac:dyDescent="0.2">
      <c r="W3813" s="631"/>
    </row>
    <row r="3814" spans="23:23" x14ac:dyDescent="0.2">
      <c r="W3814" s="631"/>
    </row>
    <row r="3815" spans="23:23" x14ac:dyDescent="0.2">
      <c r="W3815" s="631"/>
    </row>
    <row r="3816" spans="23:23" x14ac:dyDescent="0.2">
      <c r="W3816" s="631"/>
    </row>
    <row r="3817" spans="23:23" x14ac:dyDescent="0.2">
      <c r="W3817" s="631"/>
    </row>
    <row r="3818" spans="23:23" x14ac:dyDescent="0.2">
      <c r="W3818" s="631"/>
    </row>
    <row r="3819" spans="23:23" x14ac:dyDescent="0.2">
      <c r="W3819" s="631"/>
    </row>
    <row r="3820" spans="23:23" x14ac:dyDescent="0.2">
      <c r="W3820" s="631"/>
    </row>
    <row r="3821" spans="23:23" x14ac:dyDescent="0.2">
      <c r="W3821" s="631"/>
    </row>
    <row r="3822" spans="23:23" x14ac:dyDescent="0.2">
      <c r="W3822" s="631"/>
    </row>
    <row r="3823" spans="23:23" x14ac:dyDescent="0.2">
      <c r="W3823" s="631"/>
    </row>
    <row r="3824" spans="23:23" x14ac:dyDescent="0.2">
      <c r="W3824" s="631"/>
    </row>
    <row r="3825" spans="23:23" x14ac:dyDescent="0.2">
      <c r="W3825" s="631"/>
    </row>
    <row r="3826" spans="23:23" x14ac:dyDescent="0.2">
      <c r="W3826" s="631"/>
    </row>
    <row r="3827" spans="23:23" x14ac:dyDescent="0.2">
      <c r="W3827" s="631"/>
    </row>
    <row r="3828" spans="23:23" x14ac:dyDescent="0.2">
      <c r="W3828" s="631"/>
    </row>
    <row r="3829" spans="23:23" x14ac:dyDescent="0.2">
      <c r="W3829" s="631"/>
    </row>
    <row r="3830" spans="23:23" x14ac:dyDescent="0.2">
      <c r="W3830" s="631"/>
    </row>
    <row r="3831" spans="23:23" x14ac:dyDescent="0.2">
      <c r="W3831" s="631"/>
    </row>
    <row r="3832" spans="23:23" x14ac:dyDescent="0.2">
      <c r="W3832" s="631"/>
    </row>
    <row r="3833" spans="23:23" x14ac:dyDescent="0.2">
      <c r="W3833" s="631"/>
    </row>
    <row r="3834" spans="23:23" x14ac:dyDescent="0.2">
      <c r="W3834" s="631"/>
    </row>
    <row r="3835" spans="23:23" x14ac:dyDescent="0.2">
      <c r="W3835" s="631"/>
    </row>
    <row r="3836" spans="23:23" x14ac:dyDescent="0.2">
      <c r="W3836" s="631"/>
    </row>
    <row r="3837" spans="23:23" x14ac:dyDescent="0.2">
      <c r="W3837" s="631"/>
    </row>
    <row r="3838" spans="23:23" x14ac:dyDescent="0.2">
      <c r="W3838" s="631"/>
    </row>
    <row r="3839" spans="23:23" x14ac:dyDescent="0.2">
      <c r="W3839" s="631"/>
    </row>
    <row r="3840" spans="23:23" x14ac:dyDescent="0.2">
      <c r="W3840" s="631"/>
    </row>
    <row r="3841" spans="23:23" x14ac:dyDescent="0.2">
      <c r="W3841" s="631"/>
    </row>
    <row r="3842" spans="23:23" x14ac:dyDescent="0.2">
      <c r="W3842" s="631"/>
    </row>
    <row r="3843" spans="23:23" x14ac:dyDescent="0.2">
      <c r="W3843" s="631"/>
    </row>
    <row r="3844" spans="23:23" x14ac:dyDescent="0.2">
      <c r="W3844" s="631"/>
    </row>
    <row r="3845" spans="23:23" x14ac:dyDescent="0.2">
      <c r="W3845" s="631"/>
    </row>
    <row r="3846" spans="23:23" x14ac:dyDescent="0.2">
      <c r="W3846" s="631"/>
    </row>
    <row r="3847" spans="23:23" x14ac:dyDescent="0.2">
      <c r="W3847" s="631"/>
    </row>
    <row r="3848" spans="23:23" x14ac:dyDescent="0.2">
      <c r="W3848" s="631"/>
    </row>
    <row r="3849" spans="23:23" x14ac:dyDescent="0.2">
      <c r="W3849" s="631"/>
    </row>
    <row r="3850" spans="23:23" x14ac:dyDescent="0.2">
      <c r="W3850" s="631"/>
    </row>
    <row r="3851" spans="23:23" x14ac:dyDescent="0.2">
      <c r="W3851" s="631"/>
    </row>
    <row r="3852" spans="23:23" x14ac:dyDescent="0.2">
      <c r="W3852" s="631"/>
    </row>
    <row r="3853" spans="23:23" x14ac:dyDescent="0.2">
      <c r="W3853" s="631"/>
    </row>
    <row r="3854" spans="23:23" x14ac:dyDescent="0.2">
      <c r="W3854" s="631"/>
    </row>
    <row r="3855" spans="23:23" x14ac:dyDescent="0.2">
      <c r="W3855" s="631"/>
    </row>
    <row r="3856" spans="23:23" x14ac:dyDescent="0.2">
      <c r="W3856" s="631"/>
    </row>
    <row r="3857" spans="23:23" x14ac:dyDescent="0.2">
      <c r="W3857" s="631"/>
    </row>
    <row r="3858" spans="23:23" x14ac:dyDescent="0.2">
      <c r="W3858" s="631"/>
    </row>
    <row r="3859" spans="23:23" x14ac:dyDescent="0.2">
      <c r="W3859" s="631"/>
    </row>
    <row r="3860" spans="23:23" x14ac:dyDescent="0.2">
      <c r="W3860" s="631"/>
    </row>
    <row r="3861" spans="23:23" x14ac:dyDescent="0.2">
      <c r="W3861" s="631"/>
    </row>
    <row r="3862" spans="23:23" x14ac:dyDescent="0.2">
      <c r="W3862" s="631"/>
    </row>
    <row r="3863" spans="23:23" x14ac:dyDescent="0.2">
      <c r="W3863" s="631"/>
    </row>
    <row r="3864" spans="23:23" x14ac:dyDescent="0.2">
      <c r="W3864" s="631"/>
    </row>
    <row r="3865" spans="23:23" x14ac:dyDescent="0.2">
      <c r="W3865" s="631"/>
    </row>
    <row r="3866" spans="23:23" x14ac:dyDescent="0.2">
      <c r="W3866" s="631"/>
    </row>
    <row r="3867" spans="23:23" x14ac:dyDescent="0.2">
      <c r="W3867" s="631"/>
    </row>
    <row r="3868" spans="23:23" x14ac:dyDescent="0.2">
      <c r="W3868" s="631"/>
    </row>
    <row r="3869" spans="23:23" x14ac:dyDescent="0.2">
      <c r="W3869" s="631"/>
    </row>
    <row r="3870" spans="23:23" x14ac:dyDescent="0.2">
      <c r="W3870" s="631"/>
    </row>
    <row r="3871" spans="23:23" x14ac:dyDescent="0.2">
      <c r="W3871" s="631"/>
    </row>
    <row r="3872" spans="23:23" x14ac:dyDescent="0.2">
      <c r="W3872" s="631"/>
    </row>
    <row r="3873" spans="23:23" x14ac:dyDescent="0.2">
      <c r="W3873" s="631"/>
    </row>
    <row r="3874" spans="23:23" x14ac:dyDescent="0.2">
      <c r="W3874" s="631"/>
    </row>
    <row r="3875" spans="23:23" x14ac:dyDescent="0.2">
      <c r="W3875" s="631"/>
    </row>
    <row r="3876" spans="23:23" x14ac:dyDescent="0.2">
      <c r="W3876" s="631"/>
    </row>
    <row r="3877" spans="23:23" x14ac:dyDescent="0.2">
      <c r="W3877" s="631"/>
    </row>
    <row r="3878" spans="23:23" x14ac:dyDescent="0.2">
      <c r="W3878" s="631"/>
    </row>
    <row r="3879" spans="23:23" x14ac:dyDescent="0.2">
      <c r="W3879" s="631"/>
    </row>
    <row r="3880" spans="23:23" x14ac:dyDescent="0.2">
      <c r="W3880" s="631"/>
    </row>
    <row r="3881" spans="23:23" x14ac:dyDescent="0.2">
      <c r="W3881" s="631"/>
    </row>
    <row r="3882" spans="23:23" x14ac:dyDescent="0.2">
      <c r="W3882" s="631"/>
    </row>
    <row r="3883" spans="23:23" x14ac:dyDescent="0.2">
      <c r="W3883" s="631"/>
    </row>
    <row r="3884" spans="23:23" x14ac:dyDescent="0.2">
      <c r="W3884" s="631"/>
    </row>
    <row r="3885" spans="23:23" x14ac:dyDescent="0.2">
      <c r="W3885" s="631"/>
    </row>
    <row r="3886" spans="23:23" x14ac:dyDescent="0.2">
      <c r="W3886" s="631"/>
    </row>
    <row r="3887" spans="23:23" x14ac:dyDescent="0.2">
      <c r="W3887" s="631"/>
    </row>
    <row r="3888" spans="23:23" x14ac:dyDescent="0.2">
      <c r="W3888" s="631"/>
    </row>
    <row r="3889" spans="23:23" x14ac:dyDescent="0.2">
      <c r="W3889" s="631"/>
    </row>
    <row r="3890" spans="23:23" x14ac:dyDescent="0.2">
      <c r="W3890" s="631"/>
    </row>
    <row r="3891" spans="23:23" x14ac:dyDescent="0.2">
      <c r="W3891" s="631"/>
    </row>
    <row r="3892" spans="23:23" x14ac:dyDescent="0.2">
      <c r="W3892" s="631"/>
    </row>
    <row r="3893" spans="23:23" x14ac:dyDescent="0.2">
      <c r="W3893" s="631"/>
    </row>
    <row r="3894" spans="23:23" x14ac:dyDescent="0.2">
      <c r="W3894" s="631"/>
    </row>
    <row r="3895" spans="23:23" x14ac:dyDescent="0.2">
      <c r="W3895" s="631"/>
    </row>
    <row r="3896" spans="23:23" x14ac:dyDescent="0.2">
      <c r="W3896" s="631"/>
    </row>
    <row r="3897" spans="23:23" x14ac:dyDescent="0.2">
      <c r="W3897" s="631"/>
    </row>
    <row r="3898" spans="23:23" x14ac:dyDescent="0.2">
      <c r="W3898" s="631"/>
    </row>
    <row r="3899" spans="23:23" x14ac:dyDescent="0.2">
      <c r="W3899" s="631"/>
    </row>
    <row r="3900" spans="23:23" x14ac:dyDescent="0.2">
      <c r="W3900" s="631"/>
    </row>
    <row r="3901" spans="23:23" x14ac:dyDescent="0.2">
      <c r="W3901" s="631"/>
    </row>
    <row r="3902" spans="23:23" x14ac:dyDescent="0.2">
      <c r="W3902" s="631"/>
    </row>
    <row r="3903" spans="23:23" x14ac:dyDescent="0.2">
      <c r="W3903" s="631"/>
    </row>
    <row r="3904" spans="23:23" x14ac:dyDescent="0.2">
      <c r="W3904" s="631"/>
    </row>
    <row r="3905" spans="23:23" x14ac:dyDescent="0.2">
      <c r="W3905" s="631"/>
    </row>
    <row r="3906" spans="23:23" x14ac:dyDescent="0.2">
      <c r="W3906" s="631"/>
    </row>
    <row r="3907" spans="23:23" x14ac:dyDescent="0.2">
      <c r="W3907" s="631"/>
    </row>
    <row r="3908" spans="23:23" x14ac:dyDescent="0.2">
      <c r="W3908" s="631"/>
    </row>
    <row r="3909" spans="23:23" x14ac:dyDescent="0.2">
      <c r="W3909" s="631"/>
    </row>
    <row r="3910" spans="23:23" x14ac:dyDescent="0.2">
      <c r="W3910" s="631"/>
    </row>
    <row r="3911" spans="23:23" x14ac:dyDescent="0.2">
      <c r="W3911" s="631"/>
    </row>
    <row r="3912" spans="23:23" x14ac:dyDescent="0.2">
      <c r="W3912" s="631"/>
    </row>
    <row r="3913" spans="23:23" x14ac:dyDescent="0.2">
      <c r="W3913" s="631"/>
    </row>
    <row r="3914" spans="23:23" x14ac:dyDescent="0.2">
      <c r="W3914" s="631"/>
    </row>
    <row r="3915" spans="23:23" x14ac:dyDescent="0.2">
      <c r="W3915" s="631"/>
    </row>
    <row r="3916" spans="23:23" x14ac:dyDescent="0.2">
      <c r="W3916" s="631"/>
    </row>
    <row r="3917" spans="23:23" x14ac:dyDescent="0.2">
      <c r="W3917" s="631"/>
    </row>
    <row r="3918" spans="23:23" x14ac:dyDescent="0.2">
      <c r="W3918" s="631"/>
    </row>
    <row r="3919" spans="23:23" x14ac:dyDescent="0.2">
      <c r="W3919" s="631"/>
    </row>
    <row r="3920" spans="23:23" x14ac:dyDescent="0.2">
      <c r="W3920" s="631"/>
    </row>
    <row r="3921" spans="23:23" x14ac:dyDescent="0.2">
      <c r="W3921" s="631"/>
    </row>
    <row r="3922" spans="23:23" x14ac:dyDescent="0.2">
      <c r="W3922" s="631"/>
    </row>
    <row r="3923" spans="23:23" x14ac:dyDescent="0.2">
      <c r="W3923" s="631"/>
    </row>
    <row r="3924" spans="23:23" x14ac:dyDescent="0.2">
      <c r="W3924" s="631"/>
    </row>
    <row r="3925" spans="23:23" x14ac:dyDescent="0.2">
      <c r="W3925" s="631"/>
    </row>
    <row r="3926" spans="23:23" x14ac:dyDescent="0.2">
      <c r="W3926" s="631"/>
    </row>
    <row r="3927" spans="23:23" x14ac:dyDescent="0.2">
      <c r="W3927" s="631"/>
    </row>
    <row r="3928" spans="23:23" x14ac:dyDescent="0.2">
      <c r="W3928" s="631"/>
    </row>
    <row r="3929" spans="23:23" x14ac:dyDescent="0.2">
      <c r="W3929" s="631"/>
    </row>
    <row r="3930" spans="23:23" x14ac:dyDescent="0.2">
      <c r="W3930" s="631"/>
    </row>
    <row r="3931" spans="23:23" x14ac:dyDescent="0.2">
      <c r="W3931" s="631"/>
    </row>
    <row r="3932" spans="23:23" x14ac:dyDescent="0.2">
      <c r="W3932" s="631"/>
    </row>
    <row r="3933" spans="23:23" x14ac:dyDescent="0.2">
      <c r="W3933" s="631"/>
    </row>
    <row r="3934" spans="23:23" x14ac:dyDescent="0.2">
      <c r="W3934" s="631"/>
    </row>
    <row r="3935" spans="23:23" x14ac:dyDescent="0.2">
      <c r="W3935" s="631"/>
    </row>
    <row r="3936" spans="23:23" x14ac:dyDescent="0.2">
      <c r="W3936" s="631"/>
    </row>
    <row r="3937" spans="23:23" x14ac:dyDescent="0.2">
      <c r="W3937" s="631"/>
    </row>
    <row r="3938" spans="23:23" x14ac:dyDescent="0.2">
      <c r="W3938" s="631"/>
    </row>
    <row r="3939" spans="23:23" x14ac:dyDescent="0.2">
      <c r="W3939" s="631"/>
    </row>
    <row r="3940" spans="23:23" x14ac:dyDescent="0.2">
      <c r="W3940" s="631"/>
    </row>
    <row r="3941" spans="23:23" x14ac:dyDescent="0.2">
      <c r="W3941" s="631"/>
    </row>
    <row r="3942" spans="23:23" x14ac:dyDescent="0.2">
      <c r="W3942" s="631"/>
    </row>
    <row r="3943" spans="23:23" x14ac:dyDescent="0.2">
      <c r="W3943" s="631"/>
    </row>
    <row r="3944" spans="23:23" x14ac:dyDescent="0.2">
      <c r="W3944" s="631"/>
    </row>
    <row r="3945" spans="23:23" x14ac:dyDescent="0.2">
      <c r="W3945" s="631"/>
    </row>
    <row r="3946" spans="23:23" x14ac:dyDescent="0.2">
      <c r="W3946" s="631"/>
    </row>
    <row r="3947" spans="23:23" x14ac:dyDescent="0.2">
      <c r="W3947" s="631"/>
    </row>
    <row r="3948" spans="23:23" x14ac:dyDescent="0.2">
      <c r="W3948" s="631"/>
    </row>
    <row r="3949" spans="23:23" x14ac:dyDescent="0.2">
      <c r="W3949" s="631"/>
    </row>
    <row r="3950" spans="23:23" x14ac:dyDescent="0.2">
      <c r="W3950" s="631"/>
    </row>
    <row r="3951" spans="23:23" x14ac:dyDescent="0.2">
      <c r="W3951" s="631"/>
    </row>
    <row r="3952" spans="23:23" x14ac:dyDescent="0.2">
      <c r="W3952" s="631"/>
    </row>
    <row r="3953" spans="23:23" x14ac:dyDescent="0.2">
      <c r="W3953" s="631"/>
    </row>
    <row r="3954" spans="23:23" x14ac:dyDescent="0.2">
      <c r="W3954" s="631"/>
    </row>
    <row r="3955" spans="23:23" x14ac:dyDescent="0.2">
      <c r="W3955" s="631"/>
    </row>
    <row r="3956" spans="23:23" x14ac:dyDescent="0.2">
      <c r="W3956" s="631"/>
    </row>
    <row r="3957" spans="23:23" x14ac:dyDescent="0.2">
      <c r="W3957" s="631"/>
    </row>
    <row r="3958" spans="23:23" x14ac:dyDescent="0.2">
      <c r="W3958" s="631"/>
    </row>
    <row r="3959" spans="23:23" x14ac:dyDescent="0.2">
      <c r="W3959" s="631"/>
    </row>
    <row r="3960" spans="23:23" x14ac:dyDescent="0.2">
      <c r="W3960" s="631"/>
    </row>
    <row r="3961" spans="23:23" x14ac:dyDescent="0.2">
      <c r="W3961" s="631"/>
    </row>
    <row r="3962" spans="23:23" x14ac:dyDescent="0.2">
      <c r="W3962" s="631"/>
    </row>
    <row r="3963" spans="23:23" x14ac:dyDescent="0.2">
      <c r="W3963" s="631"/>
    </row>
    <row r="3964" spans="23:23" x14ac:dyDescent="0.2">
      <c r="W3964" s="631"/>
    </row>
    <row r="3965" spans="23:23" x14ac:dyDescent="0.2">
      <c r="W3965" s="631"/>
    </row>
    <row r="3966" spans="23:23" x14ac:dyDescent="0.2">
      <c r="W3966" s="631"/>
    </row>
    <row r="3967" spans="23:23" x14ac:dyDescent="0.2">
      <c r="W3967" s="631"/>
    </row>
    <row r="3968" spans="23:23" x14ac:dyDescent="0.2">
      <c r="W3968" s="631"/>
    </row>
    <row r="3969" spans="23:23" x14ac:dyDescent="0.2">
      <c r="W3969" s="631"/>
    </row>
    <row r="3970" spans="23:23" x14ac:dyDescent="0.2">
      <c r="W3970" s="631"/>
    </row>
    <row r="3971" spans="23:23" x14ac:dyDescent="0.2">
      <c r="W3971" s="631"/>
    </row>
    <row r="3972" spans="23:23" x14ac:dyDescent="0.2">
      <c r="W3972" s="631"/>
    </row>
    <row r="3973" spans="23:23" x14ac:dyDescent="0.2">
      <c r="W3973" s="631"/>
    </row>
    <row r="3974" spans="23:23" x14ac:dyDescent="0.2">
      <c r="W3974" s="631"/>
    </row>
    <row r="3975" spans="23:23" x14ac:dyDescent="0.2">
      <c r="W3975" s="631"/>
    </row>
    <row r="3976" spans="23:23" x14ac:dyDescent="0.2">
      <c r="W3976" s="631"/>
    </row>
    <row r="3977" spans="23:23" x14ac:dyDescent="0.2">
      <c r="W3977" s="631"/>
    </row>
    <row r="3978" spans="23:23" x14ac:dyDescent="0.2">
      <c r="W3978" s="631"/>
    </row>
    <row r="3979" spans="23:23" x14ac:dyDescent="0.2">
      <c r="W3979" s="631"/>
    </row>
    <row r="3980" spans="23:23" x14ac:dyDescent="0.2">
      <c r="W3980" s="631"/>
    </row>
    <row r="3981" spans="23:23" x14ac:dyDescent="0.2">
      <c r="W3981" s="631"/>
    </row>
    <row r="3982" spans="23:23" x14ac:dyDescent="0.2">
      <c r="W3982" s="631"/>
    </row>
    <row r="3983" spans="23:23" x14ac:dyDescent="0.2">
      <c r="W3983" s="631"/>
    </row>
    <row r="3984" spans="23:23" x14ac:dyDescent="0.2">
      <c r="W3984" s="631"/>
    </row>
    <row r="3985" spans="23:23" x14ac:dyDescent="0.2">
      <c r="W3985" s="631"/>
    </row>
    <row r="3986" spans="23:23" x14ac:dyDescent="0.2">
      <c r="W3986" s="631"/>
    </row>
    <row r="3987" spans="23:23" x14ac:dyDescent="0.2">
      <c r="W3987" s="631"/>
    </row>
    <row r="3988" spans="23:23" x14ac:dyDescent="0.2">
      <c r="W3988" s="631"/>
    </row>
    <row r="3989" spans="23:23" x14ac:dyDescent="0.2">
      <c r="W3989" s="631"/>
    </row>
    <row r="3990" spans="23:23" x14ac:dyDescent="0.2">
      <c r="W3990" s="631"/>
    </row>
    <row r="3991" spans="23:23" x14ac:dyDescent="0.2">
      <c r="W3991" s="631"/>
    </row>
    <row r="3992" spans="23:23" x14ac:dyDescent="0.2">
      <c r="W3992" s="631"/>
    </row>
    <row r="3993" spans="23:23" x14ac:dyDescent="0.2">
      <c r="W3993" s="631"/>
    </row>
    <row r="3994" spans="23:23" x14ac:dyDescent="0.2">
      <c r="W3994" s="631"/>
    </row>
    <row r="3995" spans="23:23" x14ac:dyDescent="0.2">
      <c r="W3995" s="631"/>
    </row>
    <row r="3996" spans="23:23" x14ac:dyDescent="0.2">
      <c r="W3996" s="631"/>
    </row>
    <row r="3997" spans="23:23" x14ac:dyDescent="0.2">
      <c r="W3997" s="631"/>
    </row>
    <row r="3998" spans="23:23" x14ac:dyDescent="0.2">
      <c r="W3998" s="631"/>
    </row>
    <row r="3999" spans="23:23" x14ac:dyDescent="0.2">
      <c r="W3999" s="631"/>
    </row>
    <row r="4000" spans="23:23" x14ac:dyDescent="0.2">
      <c r="W4000" s="631"/>
    </row>
    <row r="4001" spans="23:23" x14ac:dyDescent="0.2">
      <c r="W4001" s="631"/>
    </row>
    <row r="4002" spans="23:23" x14ac:dyDescent="0.2">
      <c r="W4002" s="631"/>
    </row>
    <row r="4003" spans="23:23" x14ac:dyDescent="0.2">
      <c r="W4003" s="631"/>
    </row>
    <row r="4004" spans="23:23" x14ac:dyDescent="0.2">
      <c r="W4004" s="631"/>
    </row>
    <row r="4005" spans="23:23" x14ac:dyDescent="0.2">
      <c r="W4005" s="631"/>
    </row>
    <row r="4006" spans="23:23" x14ac:dyDescent="0.2">
      <c r="W4006" s="631"/>
    </row>
    <row r="4007" spans="23:23" x14ac:dyDescent="0.2">
      <c r="W4007" s="631"/>
    </row>
    <row r="4008" spans="23:23" x14ac:dyDescent="0.2">
      <c r="W4008" s="631"/>
    </row>
    <row r="4009" spans="23:23" x14ac:dyDescent="0.2">
      <c r="W4009" s="631"/>
    </row>
    <row r="4010" spans="23:23" x14ac:dyDescent="0.2">
      <c r="W4010" s="631"/>
    </row>
    <row r="4011" spans="23:23" x14ac:dyDescent="0.2">
      <c r="W4011" s="631"/>
    </row>
    <row r="4012" spans="23:23" x14ac:dyDescent="0.2">
      <c r="W4012" s="631"/>
    </row>
    <row r="4013" spans="23:23" x14ac:dyDescent="0.2">
      <c r="W4013" s="631"/>
    </row>
    <row r="4014" spans="23:23" x14ac:dyDescent="0.2">
      <c r="W4014" s="631"/>
    </row>
    <row r="4015" spans="23:23" x14ac:dyDescent="0.2">
      <c r="W4015" s="631"/>
    </row>
    <row r="4016" spans="23:23" x14ac:dyDescent="0.2">
      <c r="W4016" s="631"/>
    </row>
    <row r="4017" spans="23:23" x14ac:dyDescent="0.2">
      <c r="W4017" s="631"/>
    </row>
    <row r="4018" spans="23:23" x14ac:dyDescent="0.2">
      <c r="W4018" s="631"/>
    </row>
    <row r="4019" spans="23:23" x14ac:dyDescent="0.2">
      <c r="W4019" s="631"/>
    </row>
    <row r="4020" spans="23:23" x14ac:dyDescent="0.2">
      <c r="W4020" s="631"/>
    </row>
    <row r="4021" spans="23:23" x14ac:dyDescent="0.2">
      <c r="W4021" s="631"/>
    </row>
    <row r="4022" spans="23:23" x14ac:dyDescent="0.2">
      <c r="W4022" s="631"/>
    </row>
    <row r="4023" spans="23:23" x14ac:dyDescent="0.2">
      <c r="W4023" s="631"/>
    </row>
    <row r="4024" spans="23:23" x14ac:dyDescent="0.2">
      <c r="W4024" s="631"/>
    </row>
    <row r="4025" spans="23:23" x14ac:dyDescent="0.2">
      <c r="W4025" s="631"/>
    </row>
    <row r="4026" spans="23:23" x14ac:dyDescent="0.2">
      <c r="W4026" s="631"/>
    </row>
    <row r="4027" spans="23:23" x14ac:dyDescent="0.2">
      <c r="W4027" s="631"/>
    </row>
    <row r="4028" spans="23:23" x14ac:dyDescent="0.2">
      <c r="W4028" s="631"/>
    </row>
    <row r="4029" spans="23:23" x14ac:dyDescent="0.2">
      <c r="W4029" s="631"/>
    </row>
    <row r="4030" spans="23:23" x14ac:dyDescent="0.2">
      <c r="W4030" s="631"/>
    </row>
    <row r="4031" spans="23:23" x14ac:dyDescent="0.2">
      <c r="W4031" s="631"/>
    </row>
    <row r="4032" spans="23:23" x14ac:dyDescent="0.2">
      <c r="W4032" s="631"/>
    </row>
    <row r="4033" spans="23:23" x14ac:dyDescent="0.2">
      <c r="W4033" s="631"/>
    </row>
    <row r="4034" spans="23:23" x14ac:dyDescent="0.2">
      <c r="W4034" s="631"/>
    </row>
    <row r="4035" spans="23:23" x14ac:dyDescent="0.2">
      <c r="W4035" s="631"/>
    </row>
    <row r="4036" spans="23:23" x14ac:dyDescent="0.2">
      <c r="W4036" s="631"/>
    </row>
    <row r="4037" spans="23:23" x14ac:dyDescent="0.2">
      <c r="W4037" s="631"/>
    </row>
    <row r="4038" spans="23:23" x14ac:dyDescent="0.2">
      <c r="W4038" s="631"/>
    </row>
    <row r="4039" spans="23:23" x14ac:dyDescent="0.2">
      <c r="W4039" s="631"/>
    </row>
    <row r="4040" spans="23:23" x14ac:dyDescent="0.2">
      <c r="W4040" s="631"/>
    </row>
    <row r="4041" spans="23:23" x14ac:dyDescent="0.2">
      <c r="W4041" s="631"/>
    </row>
    <row r="4042" spans="23:23" x14ac:dyDescent="0.2">
      <c r="W4042" s="631"/>
    </row>
    <row r="4043" spans="23:23" x14ac:dyDescent="0.2">
      <c r="W4043" s="631"/>
    </row>
    <row r="4044" spans="23:23" x14ac:dyDescent="0.2">
      <c r="W4044" s="631"/>
    </row>
    <row r="4045" spans="23:23" x14ac:dyDescent="0.2">
      <c r="W4045" s="631"/>
    </row>
    <row r="4046" spans="23:23" x14ac:dyDescent="0.2">
      <c r="W4046" s="631"/>
    </row>
    <row r="4047" spans="23:23" x14ac:dyDescent="0.2">
      <c r="W4047" s="631"/>
    </row>
    <row r="4048" spans="23:23" x14ac:dyDescent="0.2">
      <c r="W4048" s="631"/>
    </row>
    <row r="4049" spans="23:23" x14ac:dyDescent="0.2">
      <c r="W4049" s="631"/>
    </row>
    <row r="4050" spans="23:23" x14ac:dyDescent="0.2">
      <c r="W4050" s="631"/>
    </row>
    <row r="4051" spans="23:23" x14ac:dyDescent="0.2">
      <c r="W4051" s="631"/>
    </row>
    <row r="4052" spans="23:23" x14ac:dyDescent="0.2">
      <c r="W4052" s="631"/>
    </row>
    <row r="4053" spans="23:23" x14ac:dyDescent="0.2">
      <c r="W4053" s="631"/>
    </row>
    <row r="4054" spans="23:23" x14ac:dyDescent="0.2">
      <c r="W4054" s="631"/>
    </row>
    <row r="4055" spans="23:23" x14ac:dyDescent="0.2">
      <c r="W4055" s="631"/>
    </row>
    <row r="4056" spans="23:23" x14ac:dyDescent="0.2">
      <c r="W4056" s="631"/>
    </row>
    <row r="4057" spans="23:23" x14ac:dyDescent="0.2">
      <c r="W4057" s="631"/>
    </row>
    <row r="4058" spans="23:23" x14ac:dyDescent="0.2">
      <c r="W4058" s="631"/>
    </row>
    <row r="4059" spans="23:23" x14ac:dyDescent="0.2">
      <c r="W4059" s="631"/>
    </row>
    <row r="4060" spans="23:23" x14ac:dyDescent="0.2">
      <c r="W4060" s="631"/>
    </row>
    <row r="4061" spans="23:23" x14ac:dyDescent="0.2">
      <c r="W4061" s="631"/>
    </row>
    <row r="4062" spans="23:23" x14ac:dyDescent="0.2">
      <c r="W4062" s="631"/>
    </row>
    <row r="4063" spans="23:23" x14ac:dyDescent="0.2">
      <c r="W4063" s="631"/>
    </row>
    <row r="4064" spans="23:23" x14ac:dyDescent="0.2">
      <c r="W4064" s="631"/>
    </row>
    <row r="4065" spans="23:23" x14ac:dyDescent="0.2">
      <c r="W4065" s="631"/>
    </row>
    <row r="4066" spans="23:23" x14ac:dyDescent="0.2">
      <c r="W4066" s="631"/>
    </row>
    <row r="4067" spans="23:23" x14ac:dyDescent="0.2">
      <c r="W4067" s="631"/>
    </row>
    <row r="4068" spans="23:23" x14ac:dyDescent="0.2">
      <c r="W4068" s="631"/>
    </row>
    <row r="4069" spans="23:23" x14ac:dyDescent="0.2">
      <c r="W4069" s="631"/>
    </row>
    <row r="4070" spans="23:23" x14ac:dyDescent="0.2">
      <c r="W4070" s="631"/>
    </row>
    <row r="4071" spans="23:23" x14ac:dyDescent="0.2">
      <c r="W4071" s="631"/>
    </row>
    <row r="4072" spans="23:23" x14ac:dyDescent="0.2">
      <c r="W4072" s="631"/>
    </row>
    <row r="4073" spans="23:23" x14ac:dyDescent="0.2">
      <c r="W4073" s="631"/>
    </row>
    <row r="4074" spans="23:23" x14ac:dyDescent="0.2">
      <c r="W4074" s="631"/>
    </row>
    <row r="4075" spans="23:23" x14ac:dyDescent="0.2">
      <c r="W4075" s="631"/>
    </row>
    <row r="4076" spans="23:23" x14ac:dyDescent="0.2">
      <c r="W4076" s="631"/>
    </row>
    <row r="4077" spans="23:23" x14ac:dyDescent="0.2">
      <c r="W4077" s="631"/>
    </row>
    <row r="4078" spans="23:23" x14ac:dyDescent="0.2">
      <c r="W4078" s="631"/>
    </row>
    <row r="4079" spans="23:23" x14ac:dyDescent="0.2">
      <c r="W4079" s="631"/>
    </row>
    <row r="4080" spans="23:23" x14ac:dyDescent="0.2">
      <c r="W4080" s="631"/>
    </row>
    <row r="4081" spans="23:23" x14ac:dyDescent="0.2">
      <c r="W4081" s="631"/>
    </row>
    <row r="4082" spans="23:23" x14ac:dyDescent="0.2">
      <c r="W4082" s="631"/>
    </row>
    <row r="4083" spans="23:23" x14ac:dyDescent="0.2">
      <c r="W4083" s="631"/>
    </row>
    <row r="4084" spans="23:23" x14ac:dyDescent="0.2">
      <c r="W4084" s="631"/>
    </row>
    <row r="4085" spans="23:23" x14ac:dyDescent="0.2">
      <c r="W4085" s="631"/>
    </row>
    <row r="4086" spans="23:23" x14ac:dyDescent="0.2">
      <c r="W4086" s="631"/>
    </row>
    <row r="4087" spans="23:23" x14ac:dyDescent="0.2">
      <c r="W4087" s="631"/>
    </row>
    <row r="4088" spans="23:23" x14ac:dyDescent="0.2">
      <c r="W4088" s="631"/>
    </row>
    <row r="4089" spans="23:23" x14ac:dyDescent="0.2">
      <c r="W4089" s="631"/>
    </row>
    <row r="4090" spans="23:23" x14ac:dyDescent="0.2">
      <c r="W4090" s="631"/>
    </row>
    <row r="4091" spans="23:23" x14ac:dyDescent="0.2">
      <c r="W4091" s="631"/>
    </row>
    <row r="4092" spans="23:23" x14ac:dyDescent="0.2">
      <c r="W4092" s="631"/>
    </row>
    <row r="4093" spans="23:23" x14ac:dyDescent="0.2">
      <c r="W4093" s="631"/>
    </row>
    <row r="4094" spans="23:23" x14ac:dyDescent="0.2">
      <c r="W4094" s="631"/>
    </row>
    <row r="4095" spans="23:23" x14ac:dyDescent="0.2">
      <c r="W4095" s="631"/>
    </row>
    <row r="4096" spans="23:23" x14ac:dyDescent="0.2">
      <c r="W4096" s="631"/>
    </row>
    <row r="4097" spans="23:23" x14ac:dyDescent="0.2">
      <c r="W4097" s="631"/>
    </row>
    <row r="4098" spans="23:23" x14ac:dyDescent="0.2">
      <c r="W4098" s="631"/>
    </row>
    <row r="4099" spans="23:23" x14ac:dyDescent="0.2">
      <c r="W4099" s="631"/>
    </row>
    <row r="4100" spans="23:23" x14ac:dyDescent="0.2">
      <c r="W4100" s="631"/>
    </row>
    <row r="4101" spans="23:23" x14ac:dyDescent="0.2">
      <c r="W4101" s="631"/>
    </row>
    <row r="4102" spans="23:23" x14ac:dyDescent="0.2">
      <c r="W4102" s="631"/>
    </row>
    <row r="4103" spans="23:23" x14ac:dyDescent="0.2">
      <c r="W4103" s="631"/>
    </row>
    <row r="4104" spans="23:23" x14ac:dyDescent="0.2">
      <c r="W4104" s="631"/>
    </row>
    <row r="4105" spans="23:23" x14ac:dyDescent="0.2">
      <c r="W4105" s="631"/>
    </row>
    <row r="4106" spans="23:23" x14ac:dyDescent="0.2">
      <c r="W4106" s="631"/>
    </row>
    <row r="4107" spans="23:23" x14ac:dyDescent="0.2">
      <c r="W4107" s="631"/>
    </row>
    <row r="4108" spans="23:23" x14ac:dyDescent="0.2">
      <c r="W4108" s="631"/>
    </row>
    <row r="4109" spans="23:23" x14ac:dyDescent="0.2">
      <c r="W4109" s="631"/>
    </row>
    <row r="4110" spans="23:23" x14ac:dyDescent="0.2">
      <c r="W4110" s="631"/>
    </row>
    <row r="4111" spans="23:23" x14ac:dyDescent="0.2">
      <c r="W4111" s="631"/>
    </row>
    <row r="4112" spans="23:23" x14ac:dyDescent="0.2">
      <c r="W4112" s="631"/>
    </row>
    <row r="4113" spans="23:23" x14ac:dyDescent="0.2">
      <c r="W4113" s="631"/>
    </row>
    <row r="4114" spans="23:23" x14ac:dyDescent="0.2">
      <c r="W4114" s="631"/>
    </row>
    <row r="4115" spans="23:23" x14ac:dyDescent="0.2">
      <c r="W4115" s="631"/>
    </row>
    <row r="4116" spans="23:23" x14ac:dyDescent="0.2">
      <c r="W4116" s="631"/>
    </row>
    <row r="4117" spans="23:23" x14ac:dyDescent="0.2">
      <c r="W4117" s="631"/>
    </row>
    <row r="4118" spans="23:23" x14ac:dyDescent="0.2">
      <c r="W4118" s="631"/>
    </row>
    <row r="4119" spans="23:23" x14ac:dyDescent="0.2">
      <c r="W4119" s="631"/>
    </row>
    <row r="4120" spans="23:23" x14ac:dyDescent="0.2">
      <c r="W4120" s="631"/>
    </row>
    <row r="4121" spans="23:23" x14ac:dyDescent="0.2">
      <c r="W4121" s="631"/>
    </row>
    <row r="4122" spans="23:23" x14ac:dyDescent="0.2">
      <c r="W4122" s="631"/>
    </row>
    <row r="4123" spans="23:23" x14ac:dyDescent="0.2">
      <c r="W4123" s="631"/>
    </row>
    <row r="4124" spans="23:23" x14ac:dyDescent="0.2">
      <c r="W4124" s="631"/>
    </row>
    <row r="4125" spans="23:23" x14ac:dyDescent="0.2">
      <c r="W4125" s="631"/>
    </row>
    <row r="4126" spans="23:23" x14ac:dyDescent="0.2">
      <c r="W4126" s="631"/>
    </row>
    <row r="4127" spans="23:23" x14ac:dyDescent="0.2">
      <c r="W4127" s="631"/>
    </row>
    <row r="4128" spans="23:23" x14ac:dyDescent="0.2">
      <c r="W4128" s="631"/>
    </row>
    <row r="4129" spans="23:23" x14ac:dyDescent="0.2">
      <c r="W4129" s="631"/>
    </row>
    <row r="4130" spans="23:23" x14ac:dyDescent="0.2">
      <c r="W4130" s="631"/>
    </row>
    <row r="4131" spans="23:23" x14ac:dyDescent="0.2">
      <c r="W4131" s="631"/>
    </row>
    <row r="4132" spans="23:23" x14ac:dyDescent="0.2">
      <c r="W4132" s="631"/>
    </row>
    <row r="4133" spans="23:23" x14ac:dyDescent="0.2">
      <c r="W4133" s="631"/>
    </row>
    <row r="4134" spans="23:23" x14ac:dyDescent="0.2">
      <c r="W4134" s="631"/>
    </row>
    <row r="4135" spans="23:23" x14ac:dyDescent="0.2">
      <c r="W4135" s="631"/>
    </row>
    <row r="4136" spans="23:23" x14ac:dyDescent="0.2">
      <c r="W4136" s="631"/>
    </row>
    <row r="4137" spans="23:23" x14ac:dyDescent="0.2">
      <c r="W4137" s="631"/>
    </row>
    <row r="4138" spans="23:23" x14ac:dyDescent="0.2">
      <c r="W4138" s="631"/>
    </row>
    <row r="4139" spans="23:23" x14ac:dyDescent="0.2">
      <c r="W4139" s="631"/>
    </row>
    <row r="4140" spans="23:23" x14ac:dyDescent="0.2">
      <c r="W4140" s="631"/>
    </row>
    <row r="4141" spans="23:23" x14ac:dyDescent="0.2">
      <c r="W4141" s="631"/>
    </row>
    <row r="4142" spans="23:23" x14ac:dyDescent="0.2">
      <c r="W4142" s="631"/>
    </row>
    <row r="4143" spans="23:23" x14ac:dyDescent="0.2">
      <c r="W4143" s="631"/>
    </row>
    <row r="4144" spans="23:23" x14ac:dyDescent="0.2">
      <c r="W4144" s="631"/>
    </row>
    <row r="4145" spans="23:23" x14ac:dyDescent="0.2">
      <c r="W4145" s="631"/>
    </row>
    <row r="4146" spans="23:23" x14ac:dyDescent="0.2">
      <c r="W4146" s="631"/>
    </row>
    <row r="4147" spans="23:23" x14ac:dyDescent="0.2">
      <c r="W4147" s="631"/>
    </row>
    <row r="4148" spans="23:23" x14ac:dyDescent="0.2">
      <c r="W4148" s="631"/>
    </row>
    <row r="4149" spans="23:23" x14ac:dyDescent="0.2">
      <c r="W4149" s="631"/>
    </row>
    <row r="4150" spans="23:23" x14ac:dyDescent="0.2">
      <c r="W4150" s="631"/>
    </row>
    <row r="4151" spans="23:23" x14ac:dyDescent="0.2">
      <c r="W4151" s="631"/>
    </row>
    <row r="4152" spans="23:23" x14ac:dyDescent="0.2">
      <c r="W4152" s="631"/>
    </row>
    <row r="4153" spans="23:23" x14ac:dyDescent="0.2">
      <c r="W4153" s="631"/>
    </row>
    <row r="4154" spans="23:23" x14ac:dyDescent="0.2">
      <c r="W4154" s="631"/>
    </row>
    <row r="4155" spans="23:23" x14ac:dyDescent="0.2">
      <c r="W4155" s="631"/>
    </row>
    <row r="4156" spans="23:23" x14ac:dyDescent="0.2">
      <c r="W4156" s="631"/>
    </row>
    <row r="4157" spans="23:23" x14ac:dyDescent="0.2">
      <c r="W4157" s="631"/>
    </row>
    <row r="4158" spans="23:23" x14ac:dyDescent="0.2">
      <c r="W4158" s="631"/>
    </row>
    <row r="4159" spans="23:23" x14ac:dyDescent="0.2">
      <c r="W4159" s="631"/>
    </row>
    <row r="4160" spans="23:23" x14ac:dyDescent="0.2">
      <c r="W4160" s="631"/>
    </row>
    <row r="4161" spans="23:23" x14ac:dyDescent="0.2">
      <c r="W4161" s="631"/>
    </row>
    <row r="4162" spans="23:23" x14ac:dyDescent="0.2">
      <c r="W4162" s="631"/>
    </row>
    <row r="4163" spans="23:23" x14ac:dyDescent="0.2">
      <c r="W4163" s="631"/>
    </row>
    <row r="4164" spans="23:23" x14ac:dyDescent="0.2">
      <c r="W4164" s="631"/>
    </row>
    <row r="4165" spans="23:23" x14ac:dyDescent="0.2">
      <c r="W4165" s="631"/>
    </row>
    <row r="4166" spans="23:23" x14ac:dyDescent="0.2">
      <c r="W4166" s="631"/>
    </row>
    <row r="4167" spans="23:23" x14ac:dyDescent="0.2">
      <c r="W4167" s="631"/>
    </row>
    <row r="4168" spans="23:23" x14ac:dyDescent="0.2">
      <c r="W4168" s="631"/>
    </row>
    <row r="4169" spans="23:23" x14ac:dyDescent="0.2">
      <c r="W4169" s="631"/>
    </row>
    <row r="4170" spans="23:23" x14ac:dyDescent="0.2">
      <c r="W4170" s="631"/>
    </row>
    <row r="4171" spans="23:23" x14ac:dyDescent="0.2">
      <c r="W4171" s="631"/>
    </row>
    <row r="4172" spans="23:23" x14ac:dyDescent="0.2">
      <c r="W4172" s="631"/>
    </row>
    <row r="4173" spans="23:23" x14ac:dyDescent="0.2">
      <c r="W4173" s="631"/>
    </row>
    <row r="4174" spans="23:23" x14ac:dyDescent="0.2">
      <c r="W4174" s="631"/>
    </row>
    <row r="4175" spans="23:23" x14ac:dyDescent="0.2">
      <c r="W4175" s="631"/>
    </row>
    <row r="4176" spans="23:23" x14ac:dyDescent="0.2">
      <c r="W4176" s="631"/>
    </row>
    <row r="4177" spans="23:23" x14ac:dyDescent="0.2">
      <c r="W4177" s="631"/>
    </row>
    <row r="4178" spans="23:23" x14ac:dyDescent="0.2">
      <c r="W4178" s="631"/>
    </row>
    <row r="4179" spans="23:23" x14ac:dyDescent="0.2">
      <c r="W4179" s="631"/>
    </row>
    <row r="4180" spans="23:23" x14ac:dyDescent="0.2">
      <c r="W4180" s="631"/>
    </row>
    <row r="4181" spans="23:23" x14ac:dyDescent="0.2">
      <c r="W4181" s="631"/>
    </row>
    <row r="4182" spans="23:23" x14ac:dyDescent="0.2">
      <c r="W4182" s="631"/>
    </row>
    <row r="4183" spans="23:23" x14ac:dyDescent="0.2">
      <c r="W4183" s="631"/>
    </row>
    <row r="4184" spans="23:23" x14ac:dyDescent="0.2">
      <c r="W4184" s="631"/>
    </row>
    <row r="4185" spans="23:23" x14ac:dyDescent="0.2">
      <c r="W4185" s="631"/>
    </row>
    <row r="4186" spans="23:23" x14ac:dyDescent="0.2">
      <c r="W4186" s="631"/>
    </row>
    <row r="4187" spans="23:23" x14ac:dyDescent="0.2">
      <c r="W4187" s="631"/>
    </row>
    <row r="4188" spans="23:23" x14ac:dyDescent="0.2">
      <c r="W4188" s="631"/>
    </row>
    <row r="4189" spans="23:23" x14ac:dyDescent="0.2">
      <c r="W4189" s="631"/>
    </row>
    <row r="4190" spans="23:23" x14ac:dyDescent="0.2">
      <c r="W4190" s="631"/>
    </row>
    <row r="4191" spans="23:23" x14ac:dyDescent="0.2">
      <c r="W4191" s="631"/>
    </row>
    <row r="4192" spans="23:23" x14ac:dyDescent="0.2">
      <c r="W4192" s="631"/>
    </row>
    <row r="4193" spans="23:23" x14ac:dyDescent="0.2">
      <c r="W4193" s="631"/>
    </row>
    <row r="4194" spans="23:23" x14ac:dyDescent="0.2">
      <c r="W4194" s="631"/>
    </row>
    <row r="4195" spans="23:23" x14ac:dyDescent="0.2">
      <c r="W4195" s="631"/>
    </row>
    <row r="4196" spans="23:23" x14ac:dyDescent="0.2">
      <c r="W4196" s="631"/>
    </row>
    <row r="4197" spans="23:23" x14ac:dyDescent="0.2">
      <c r="W4197" s="631"/>
    </row>
    <row r="4198" spans="23:23" x14ac:dyDescent="0.2">
      <c r="W4198" s="631"/>
    </row>
    <row r="4199" spans="23:23" x14ac:dyDescent="0.2">
      <c r="W4199" s="631"/>
    </row>
    <row r="4200" spans="23:23" x14ac:dyDescent="0.2">
      <c r="W4200" s="631"/>
    </row>
    <row r="4201" spans="23:23" x14ac:dyDescent="0.2">
      <c r="W4201" s="631"/>
    </row>
    <row r="4202" spans="23:23" x14ac:dyDescent="0.2">
      <c r="W4202" s="631"/>
    </row>
    <row r="4203" spans="23:23" x14ac:dyDescent="0.2">
      <c r="W4203" s="631"/>
    </row>
    <row r="4204" spans="23:23" x14ac:dyDescent="0.2">
      <c r="W4204" s="631"/>
    </row>
    <row r="4205" spans="23:23" x14ac:dyDescent="0.2">
      <c r="W4205" s="631"/>
    </row>
    <row r="4206" spans="23:23" x14ac:dyDescent="0.2">
      <c r="W4206" s="631"/>
    </row>
    <row r="4207" spans="23:23" x14ac:dyDescent="0.2">
      <c r="W4207" s="631"/>
    </row>
    <row r="4208" spans="23:23" x14ac:dyDescent="0.2">
      <c r="W4208" s="631"/>
    </row>
    <row r="4209" spans="23:23" x14ac:dyDescent="0.2">
      <c r="W4209" s="631"/>
    </row>
    <row r="4210" spans="23:23" x14ac:dyDescent="0.2">
      <c r="W4210" s="631"/>
    </row>
    <row r="4211" spans="23:23" x14ac:dyDescent="0.2">
      <c r="W4211" s="631"/>
    </row>
    <row r="4212" spans="23:23" x14ac:dyDescent="0.2">
      <c r="W4212" s="631"/>
    </row>
    <row r="4213" spans="23:23" x14ac:dyDescent="0.2">
      <c r="W4213" s="631"/>
    </row>
    <row r="4214" spans="23:23" x14ac:dyDescent="0.2">
      <c r="W4214" s="631"/>
    </row>
    <row r="4215" spans="23:23" x14ac:dyDescent="0.2">
      <c r="W4215" s="631"/>
    </row>
    <row r="4216" spans="23:23" x14ac:dyDescent="0.2">
      <c r="W4216" s="631"/>
    </row>
    <row r="4217" spans="23:23" x14ac:dyDescent="0.2">
      <c r="W4217" s="631"/>
    </row>
    <row r="4218" spans="23:23" x14ac:dyDescent="0.2">
      <c r="W4218" s="631"/>
    </row>
    <row r="4219" spans="23:23" x14ac:dyDescent="0.2">
      <c r="W4219" s="631"/>
    </row>
    <row r="4220" spans="23:23" x14ac:dyDescent="0.2">
      <c r="W4220" s="631"/>
    </row>
    <row r="4221" spans="23:23" x14ac:dyDescent="0.2">
      <c r="W4221" s="631"/>
    </row>
    <row r="4222" spans="23:23" x14ac:dyDescent="0.2">
      <c r="W4222" s="631"/>
    </row>
    <row r="4223" spans="23:23" x14ac:dyDescent="0.2">
      <c r="W4223" s="631"/>
    </row>
    <row r="4224" spans="23:23" x14ac:dyDescent="0.2">
      <c r="W4224" s="631"/>
    </row>
    <row r="4225" spans="23:23" x14ac:dyDescent="0.2">
      <c r="W4225" s="631"/>
    </row>
    <row r="4226" spans="23:23" x14ac:dyDescent="0.2">
      <c r="W4226" s="631"/>
    </row>
    <row r="4227" spans="23:23" x14ac:dyDescent="0.2">
      <c r="W4227" s="631"/>
    </row>
    <row r="4228" spans="23:23" x14ac:dyDescent="0.2">
      <c r="W4228" s="631"/>
    </row>
    <row r="4229" spans="23:23" x14ac:dyDescent="0.2">
      <c r="W4229" s="631"/>
    </row>
    <row r="4230" spans="23:23" x14ac:dyDescent="0.2">
      <c r="W4230" s="631"/>
    </row>
    <row r="4231" spans="23:23" x14ac:dyDescent="0.2">
      <c r="W4231" s="631"/>
    </row>
    <row r="4232" spans="23:23" x14ac:dyDescent="0.2">
      <c r="W4232" s="631"/>
    </row>
    <row r="4233" spans="23:23" x14ac:dyDescent="0.2">
      <c r="W4233" s="631"/>
    </row>
    <row r="4234" spans="23:23" x14ac:dyDescent="0.2">
      <c r="W4234" s="631"/>
    </row>
    <row r="4235" spans="23:23" x14ac:dyDescent="0.2">
      <c r="W4235" s="631"/>
    </row>
    <row r="4236" spans="23:23" x14ac:dyDescent="0.2">
      <c r="W4236" s="631"/>
    </row>
    <row r="4237" spans="23:23" x14ac:dyDescent="0.2">
      <c r="W4237" s="631"/>
    </row>
    <row r="4238" spans="23:23" x14ac:dyDescent="0.2">
      <c r="W4238" s="631"/>
    </row>
    <row r="4239" spans="23:23" x14ac:dyDescent="0.2">
      <c r="W4239" s="631"/>
    </row>
    <row r="4240" spans="23:23" x14ac:dyDescent="0.2">
      <c r="W4240" s="631"/>
    </row>
    <row r="4241" spans="23:23" x14ac:dyDescent="0.2">
      <c r="W4241" s="631"/>
    </row>
    <row r="4242" spans="23:23" x14ac:dyDescent="0.2">
      <c r="W4242" s="631"/>
    </row>
    <row r="4243" spans="23:23" x14ac:dyDescent="0.2">
      <c r="W4243" s="631"/>
    </row>
    <row r="4244" spans="23:23" x14ac:dyDescent="0.2">
      <c r="W4244" s="631"/>
    </row>
    <row r="4245" spans="23:23" x14ac:dyDescent="0.2">
      <c r="W4245" s="631"/>
    </row>
    <row r="4246" spans="23:23" x14ac:dyDescent="0.2">
      <c r="W4246" s="631"/>
    </row>
    <row r="4247" spans="23:23" x14ac:dyDescent="0.2">
      <c r="W4247" s="631"/>
    </row>
    <row r="4248" spans="23:23" x14ac:dyDescent="0.2">
      <c r="W4248" s="631"/>
    </row>
    <row r="4249" spans="23:23" x14ac:dyDescent="0.2">
      <c r="W4249" s="631"/>
    </row>
    <row r="4250" spans="23:23" x14ac:dyDescent="0.2">
      <c r="W4250" s="631"/>
    </row>
    <row r="4251" spans="23:23" x14ac:dyDescent="0.2">
      <c r="W4251" s="631"/>
    </row>
    <row r="4252" spans="23:23" x14ac:dyDescent="0.2">
      <c r="W4252" s="631"/>
    </row>
    <row r="4253" spans="23:23" x14ac:dyDescent="0.2">
      <c r="W4253" s="631"/>
    </row>
    <row r="4254" spans="23:23" x14ac:dyDescent="0.2">
      <c r="W4254" s="631"/>
    </row>
    <row r="4255" spans="23:23" x14ac:dyDescent="0.2">
      <c r="W4255" s="631"/>
    </row>
    <row r="4256" spans="23:23" x14ac:dyDescent="0.2">
      <c r="W4256" s="631"/>
    </row>
    <row r="4257" spans="23:23" x14ac:dyDescent="0.2">
      <c r="W4257" s="631"/>
    </row>
    <row r="4258" spans="23:23" x14ac:dyDescent="0.2">
      <c r="W4258" s="631"/>
    </row>
    <row r="4259" spans="23:23" x14ac:dyDescent="0.2">
      <c r="W4259" s="631"/>
    </row>
    <row r="4260" spans="23:23" x14ac:dyDescent="0.2">
      <c r="W4260" s="631"/>
    </row>
    <row r="4261" spans="23:23" x14ac:dyDescent="0.2">
      <c r="W4261" s="631"/>
    </row>
    <row r="4262" spans="23:23" x14ac:dyDescent="0.2">
      <c r="W4262" s="631"/>
    </row>
    <row r="4263" spans="23:23" x14ac:dyDescent="0.2">
      <c r="W4263" s="631"/>
    </row>
    <row r="4264" spans="23:23" x14ac:dyDescent="0.2">
      <c r="W4264" s="631"/>
    </row>
    <row r="4265" spans="23:23" x14ac:dyDescent="0.2">
      <c r="W4265" s="631"/>
    </row>
    <row r="4266" spans="23:23" x14ac:dyDescent="0.2">
      <c r="W4266" s="631"/>
    </row>
    <row r="4267" spans="23:23" x14ac:dyDescent="0.2">
      <c r="W4267" s="631"/>
    </row>
    <row r="4268" spans="23:23" x14ac:dyDescent="0.2">
      <c r="W4268" s="631"/>
    </row>
    <row r="4269" spans="23:23" x14ac:dyDescent="0.2">
      <c r="W4269" s="631"/>
    </row>
    <row r="4270" spans="23:23" x14ac:dyDescent="0.2">
      <c r="W4270" s="631"/>
    </row>
    <row r="4271" spans="23:23" x14ac:dyDescent="0.2">
      <c r="W4271" s="631"/>
    </row>
    <row r="4272" spans="23:23" x14ac:dyDescent="0.2">
      <c r="W4272" s="631"/>
    </row>
    <row r="4273" spans="23:23" x14ac:dyDescent="0.2">
      <c r="W4273" s="631"/>
    </row>
    <row r="4274" spans="23:23" x14ac:dyDescent="0.2">
      <c r="W4274" s="631"/>
    </row>
    <row r="4275" spans="23:23" x14ac:dyDescent="0.2">
      <c r="W4275" s="631"/>
    </row>
    <row r="4276" spans="23:23" x14ac:dyDescent="0.2">
      <c r="W4276" s="631"/>
    </row>
    <row r="4277" spans="23:23" x14ac:dyDescent="0.2">
      <c r="W4277" s="631"/>
    </row>
    <row r="4278" spans="23:23" x14ac:dyDescent="0.2">
      <c r="W4278" s="631"/>
    </row>
    <row r="4279" spans="23:23" x14ac:dyDescent="0.2">
      <c r="W4279" s="631"/>
    </row>
    <row r="4280" spans="23:23" x14ac:dyDescent="0.2">
      <c r="W4280" s="631"/>
    </row>
    <row r="4281" spans="23:23" x14ac:dyDescent="0.2">
      <c r="W4281" s="631"/>
    </row>
    <row r="4282" spans="23:23" x14ac:dyDescent="0.2">
      <c r="W4282" s="631"/>
    </row>
    <row r="4283" spans="23:23" x14ac:dyDescent="0.2">
      <c r="W4283" s="631"/>
    </row>
    <row r="4284" spans="23:23" x14ac:dyDescent="0.2">
      <c r="W4284" s="631"/>
    </row>
    <row r="4285" spans="23:23" x14ac:dyDescent="0.2">
      <c r="W4285" s="631"/>
    </row>
    <row r="4286" spans="23:23" x14ac:dyDescent="0.2">
      <c r="W4286" s="631"/>
    </row>
    <row r="4287" spans="23:23" x14ac:dyDescent="0.2">
      <c r="W4287" s="631"/>
    </row>
    <row r="4288" spans="23:23" x14ac:dyDescent="0.2">
      <c r="W4288" s="631"/>
    </row>
    <row r="4289" spans="23:23" x14ac:dyDescent="0.2">
      <c r="W4289" s="631"/>
    </row>
    <row r="4290" spans="23:23" x14ac:dyDescent="0.2">
      <c r="W4290" s="631"/>
    </row>
    <row r="4291" spans="23:23" x14ac:dyDescent="0.2">
      <c r="W4291" s="631"/>
    </row>
    <row r="4292" spans="23:23" x14ac:dyDescent="0.2">
      <c r="W4292" s="631"/>
    </row>
    <row r="4293" spans="23:23" x14ac:dyDescent="0.2">
      <c r="W4293" s="631"/>
    </row>
    <row r="4294" spans="23:23" x14ac:dyDescent="0.2">
      <c r="W4294" s="631"/>
    </row>
    <row r="4295" spans="23:23" x14ac:dyDescent="0.2">
      <c r="W4295" s="631"/>
    </row>
    <row r="4296" spans="23:23" x14ac:dyDescent="0.2">
      <c r="W4296" s="631"/>
    </row>
    <row r="4297" spans="23:23" x14ac:dyDescent="0.2">
      <c r="W4297" s="631"/>
    </row>
    <row r="4298" spans="23:23" x14ac:dyDescent="0.2">
      <c r="W4298" s="631"/>
    </row>
    <row r="4299" spans="23:23" x14ac:dyDescent="0.2">
      <c r="W4299" s="631"/>
    </row>
    <row r="4300" spans="23:23" x14ac:dyDescent="0.2">
      <c r="W4300" s="631"/>
    </row>
    <row r="4301" spans="23:23" x14ac:dyDescent="0.2">
      <c r="W4301" s="631"/>
    </row>
    <row r="4302" spans="23:23" x14ac:dyDescent="0.2">
      <c r="W4302" s="631"/>
    </row>
    <row r="4303" spans="23:23" x14ac:dyDescent="0.2">
      <c r="W4303" s="631"/>
    </row>
    <row r="4304" spans="23:23" x14ac:dyDescent="0.2">
      <c r="W4304" s="631"/>
    </row>
    <row r="4305" spans="23:23" x14ac:dyDescent="0.2">
      <c r="W4305" s="631"/>
    </row>
    <row r="4306" spans="23:23" x14ac:dyDescent="0.2">
      <c r="W4306" s="631"/>
    </row>
    <row r="4307" spans="23:23" x14ac:dyDescent="0.2">
      <c r="W4307" s="631"/>
    </row>
    <row r="4308" spans="23:23" x14ac:dyDescent="0.2">
      <c r="W4308" s="631"/>
    </row>
    <row r="4309" spans="23:23" x14ac:dyDescent="0.2">
      <c r="W4309" s="631"/>
    </row>
    <row r="4310" spans="23:23" x14ac:dyDescent="0.2">
      <c r="W4310" s="631"/>
    </row>
    <row r="4311" spans="23:23" x14ac:dyDescent="0.2">
      <c r="W4311" s="631"/>
    </row>
    <row r="4312" spans="23:23" x14ac:dyDescent="0.2">
      <c r="W4312" s="631"/>
    </row>
    <row r="4313" spans="23:23" x14ac:dyDescent="0.2">
      <c r="W4313" s="631"/>
    </row>
    <row r="4314" spans="23:23" x14ac:dyDescent="0.2">
      <c r="W4314" s="631"/>
    </row>
    <row r="4315" spans="23:23" x14ac:dyDescent="0.2">
      <c r="W4315" s="631"/>
    </row>
    <row r="4316" spans="23:23" x14ac:dyDescent="0.2">
      <c r="W4316" s="631"/>
    </row>
    <row r="4317" spans="23:23" x14ac:dyDescent="0.2">
      <c r="W4317" s="631"/>
    </row>
    <row r="4318" spans="23:23" x14ac:dyDescent="0.2">
      <c r="W4318" s="631"/>
    </row>
    <row r="4319" spans="23:23" x14ac:dyDescent="0.2">
      <c r="W4319" s="631"/>
    </row>
    <row r="4320" spans="23:23" x14ac:dyDescent="0.2">
      <c r="W4320" s="631"/>
    </row>
    <row r="4321" spans="23:23" x14ac:dyDescent="0.2">
      <c r="W4321" s="631"/>
    </row>
    <row r="4322" spans="23:23" x14ac:dyDescent="0.2">
      <c r="W4322" s="631"/>
    </row>
    <row r="4323" spans="23:23" x14ac:dyDescent="0.2">
      <c r="W4323" s="631"/>
    </row>
    <row r="4324" spans="23:23" x14ac:dyDescent="0.2">
      <c r="W4324" s="631"/>
    </row>
    <row r="4325" spans="23:23" x14ac:dyDescent="0.2">
      <c r="W4325" s="631"/>
    </row>
    <row r="4326" spans="23:23" x14ac:dyDescent="0.2">
      <c r="W4326" s="631"/>
    </row>
    <row r="4327" spans="23:23" x14ac:dyDescent="0.2">
      <c r="W4327" s="631"/>
    </row>
    <row r="4328" spans="23:23" x14ac:dyDescent="0.2">
      <c r="W4328" s="631"/>
    </row>
    <row r="4329" spans="23:23" x14ac:dyDescent="0.2">
      <c r="W4329" s="631"/>
    </row>
    <row r="4330" spans="23:23" x14ac:dyDescent="0.2">
      <c r="W4330" s="631"/>
    </row>
    <row r="4331" spans="23:23" x14ac:dyDescent="0.2">
      <c r="W4331" s="631"/>
    </row>
    <row r="4332" spans="23:23" x14ac:dyDescent="0.2">
      <c r="W4332" s="631"/>
    </row>
    <row r="4333" spans="23:23" x14ac:dyDescent="0.2">
      <c r="W4333" s="631"/>
    </row>
    <row r="4334" spans="23:23" x14ac:dyDescent="0.2">
      <c r="W4334" s="631"/>
    </row>
    <row r="4335" spans="23:23" x14ac:dyDescent="0.2">
      <c r="W4335" s="631"/>
    </row>
    <row r="4336" spans="23:23" x14ac:dyDescent="0.2">
      <c r="W4336" s="631"/>
    </row>
    <row r="4337" spans="23:23" x14ac:dyDescent="0.2">
      <c r="W4337" s="631"/>
    </row>
    <row r="4338" spans="23:23" x14ac:dyDescent="0.2">
      <c r="W4338" s="631"/>
    </row>
    <row r="4339" spans="23:23" x14ac:dyDescent="0.2">
      <c r="W4339" s="631"/>
    </row>
    <row r="4340" spans="23:23" x14ac:dyDescent="0.2">
      <c r="W4340" s="631"/>
    </row>
    <row r="4341" spans="23:23" x14ac:dyDescent="0.2">
      <c r="W4341" s="631"/>
    </row>
    <row r="4342" spans="23:23" x14ac:dyDescent="0.2">
      <c r="W4342" s="631"/>
    </row>
    <row r="4343" spans="23:23" x14ac:dyDescent="0.2">
      <c r="W4343" s="631"/>
    </row>
    <row r="4344" spans="23:23" x14ac:dyDescent="0.2">
      <c r="W4344" s="631"/>
    </row>
    <row r="4345" spans="23:23" x14ac:dyDescent="0.2">
      <c r="W4345" s="631"/>
    </row>
    <row r="4346" spans="23:23" x14ac:dyDescent="0.2">
      <c r="W4346" s="631"/>
    </row>
    <row r="4347" spans="23:23" x14ac:dyDescent="0.2">
      <c r="W4347" s="631"/>
    </row>
    <row r="4348" spans="23:23" x14ac:dyDescent="0.2">
      <c r="W4348" s="631"/>
    </row>
    <row r="4349" spans="23:23" x14ac:dyDescent="0.2">
      <c r="W4349" s="631"/>
    </row>
    <row r="4350" spans="23:23" x14ac:dyDescent="0.2">
      <c r="W4350" s="631"/>
    </row>
    <row r="4351" spans="23:23" x14ac:dyDescent="0.2">
      <c r="W4351" s="631"/>
    </row>
    <row r="4352" spans="23:23" x14ac:dyDescent="0.2">
      <c r="W4352" s="631"/>
    </row>
    <row r="4353" spans="23:23" x14ac:dyDescent="0.2">
      <c r="W4353" s="631"/>
    </row>
    <row r="4354" spans="23:23" x14ac:dyDescent="0.2">
      <c r="W4354" s="631"/>
    </row>
    <row r="4355" spans="23:23" x14ac:dyDescent="0.2">
      <c r="W4355" s="631"/>
    </row>
    <row r="4356" spans="23:23" x14ac:dyDescent="0.2">
      <c r="W4356" s="631"/>
    </row>
    <row r="4357" spans="23:23" x14ac:dyDescent="0.2">
      <c r="W4357" s="631"/>
    </row>
    <row r="4358" spans="23:23" x14ac:dyDescent="0.2">
      <c r="W4358" s="631"/>
    </row>
    <row r="4359" spans="23:23" x14ac:dyDescent="0.2">
      <c r="W4359" s="631"/>
    </row>
    <row r="4360" spans="23:23" x14ac:dyDescent="0.2">
      <c r="W4360" s="631"/>
    </row>
    <row r="4361" spans="23:23" x14ac:dyDescent="0.2">
      <c r="W4361" s="631"/>
    </row>
    <row r="4362" spans="23:23" x14ac:dyDescent="0.2">
      <c r="W4362" s="631"/>
    </row>
    <row r="4363" spans="23:23" x14ac:dyDescent="0.2">
      <c r="W4363" s="631"/>
    </row>
    <row r="4364" spans="23:23" x14ac:dyDescent="0.2">
      <c r="W4364" s="631"/>
    </row>
    <row r="4365" spans="23:23" x14ac:dyDescent="0.2">
      <c r="W4365" s="631"/>
    </row>
    <row r="4366" spans="23:23" x14ac:dyDescent="0.2">
      <c r="W4366" s="631"/>
    </row>
    <row r="4367" spans="23:23" x14ac:dyDescent="0.2">
      <c r="W4367" s="631"/>
    </row>
    <row r="4368" spans="23:23" x14ac:dyDescent="0.2">
      <c r="W4368" s="631"/>
    </row>
    <row r="4369" spans="23:23" x14ac:dyDescent="0.2">
      <c r="W4369" s="631"/>
    </row>
    <row r="4370" spans="23:23" x14ac:dyDescent="0.2">
      <c r="W4370" s="631"/>
    </row>
    <row r="4371" spans="23:23" x14ac:dyDescent="0.2">
      <c r="W4371" s="631"/>
    </row>
    <row r="4372" spans="23:23" x14ac:dyDescent="0.2">
      <c r="W4372" s="631"/>
    </row>
    <row r="4373" spans="23:23" x14ac:dyDescent="0.2">
      <c r="W4373" s="631"/>
    </row>
    <row r="4374" spans="23:23" x14ac:dyDescent="0.2">
      <c r="W4374" s="631"/>
    </row>
    <row r="4375" spans="23:23" x14ac:dyDescent="0.2">
      <c r="W4375" s="631"/>
    </row>
    <row r="4376" spans="23:23" x14ac:dyDescent="0.2">
      <c r="W4376" s="631"/>
    </row>
    <row r="4377" spans="23:23" x14ac:dyDescent="0.2">
      <c r="W4377" s="631"/>
    </row>
    <row r="4378" spans="23:23" x14ac:dyDescent="0.2">
      <c r="W4378" s="631"/>
    </row>
    <row r="4379" spans="23:23" x14ac:dyDescent="0.2">
      <c r="W4379" s="631"/>
    </row>
    <row r="4380" spans="23:23" x14ac:dyDescent="0.2">
      <c r="W4380" s="631"/>
    </row>
    <row r="4381" spans="23:23" x14ac:dyDescent="0.2">
      <c r="W4381" s="631"/>
    </row>
    <row r="4382" spans="23:23" x14ac:dyDescent="0.2">
      <c r="W4382" s="631"/>
    </row>
    <row r="4383" spans="23:23" x14ac:dyDescent="0.2">
      <c r="W4383" s="631"/>
    </row>
    <row r="4384" spans="23:23" x14ac:dyDescent="0.2">
      <c r="W4384" s="631"/>
    </row>
    <row r="4385" spans="23:23" x14ac:dyDescent="0.2">
      <c r="W4385" s="631"/>
    </row>
    <row r="4386" spans="23:23" x14ac:dyDescent="0.2">
      <c r="W4386" s="631"/>
    </row>
    <row r="4387" spans="23:23" x14ac:dyDescent="0.2">
      <c r="W4387" s="631"/>
    </row>
    <row r="4388" spans="23:23" x14ac:dyDescent="0.2">
      <c r="W4388" s="631"/>
    </row>
    <row r="4389" spans="23:23" x14ac:dyDescent="0.2">
      <c r="W4389" s="631"/>
    </row>
    <row r="4390" spans="23:23" x14ac:dyDescent="0.2">
      <c r="W4390" s="631"/>
    </row>
    <row r="4391" spans="23:23" x14ac:dyDescent="0.2">
      <c r="W4391" s="631"/>
    </row>
    <row r="4392" spans="23:23" x14ac:dyDescent="0.2">
      <c r="W4392" s="631"/>
    </row>
    <row r="4393" spans="23:23" x14ac:dyDescent="0.2">
      <c r="W4393" s="631"/>
    </row>
    <row r="4394" spans="23:23" x14ac:dyDescent="0.2">
      <c r="W4394" s="631"/>
    </row>
    <row r="4395" spans="23:23" x14ac:dyDescent="0.2">
      <c r="W4395" s="631"/>
    </row>
    <row r="4396" spans="23:23" x14ac:dyDescent="0.2">
      <c r="W4396" s="631"/>
    </row>
    <row r="4397" spans="23:23" x14ac:dyDescent="0.2">
      <c r="W4397" s="631"/>
    </row>
    <row r="4398" spans="23:23" x14ac:dyDescent="0.2">
      <c r="W4398" s="631"/>
    </row>
    <row r="4399" spans="23:23" x14ac:dyDescent="0.2">
      <c r="W4399" s="631"/>
    </row>
    <row r="4400" spans="23:23" x14ac:dyDescent="0.2">
      <c r="W4400" s="631"/>
    </row>
    <row r="4401" spans="23:23" x14ac:dyDescent="0.2">
      <c r="W4401" s="631"/>
    </row>
    <row r="4402" spans="23:23" x14ac:dyDescent="0.2">
      <c r="W4402" s="631"/>
    </row>
    <row r="4403" spans="23:23" x14ac:dyDescent="0.2">
      <c r="W4403" s="631"/>
    </row>
    <row r="4404" spans="23:23" x14ac:dyDescent="0.2">
      <c r="W4404" s="631"/>
    </row>
    <row r="4405" spans="23:23" x14ac:dyDescent="0.2">
      <c r="W4405" s="631"/>
    </row>
    <row r="4406" spans="23:23" x14ac:dyDescent="0.2">
      <c r="W4406" s="631"/>
    </row>
    <row r="4407" spans="23:23" x14ac:dyDescent="0.2">
      <c r="W4407" s="631"/>
    </row>
    <row r="4408" spans="23:23" x14ac:dyDescent="0.2">
      <c r="W4408" s="631"/>
    </row>
    <row r="4409" spans="23:23" x14ac:dyDescent="0.2">
      <c r="W4409" s="631"/>
    </row>
    <row r="4410" spans="23:23" x14ac:dyDescent="0.2">
      <c r="W4410" s="631"/>
    </row>
    <row r="4411" spans="23:23" x14ac:dyDescent="0.2">
      <c r="W4411" s="631"/>
    </row>
    <row r="4412" spans="23:23" x14ac:dyDescent="0.2">
      <c r="W4412" s="631"/>
    </row>
    <row r="4413" spans="23:23" x14ac:dyDescent="0.2">
      <c r="W4413" s="631"/>
    </row>
    <row r="4414" spans="23:23" x14ac:dyDescent="0.2">
      <c r="W4414" s="631"/>
    </row>
    <row r="4415" spans="23:23" x14ac:dyDescent="0.2">
      <c r="W4415" s="631"/>
    </row>
    <row r="4416" spans="23:23" x14ac:dyDescent="0.2">
      <c r="W4416" s="631"/>
    </row>
    <row r="4417" spans="23:23" x14ac:dyDescent="0.2">
      <c r="W4417" s="631"/>
    </row>
    <row r="4418" spans="23:23" x14ac:dyDescent="0.2">
      <c r="W4418" s="631"/>
    </row>
    <row r="4419" spans="23:23" x14ac:dyDescent="0.2">
      <c r="W4419" s="631"/>
    </row>
    <row r="4420" spans="23:23" x14ac:dyDescent="0.2">
      <c r="W4420" s="631"/>
    </row>
    <row r="4421" spans="23:23" x14ac:dyDescent="0.2">
      <c r="W4421" s="631"/>
    </row>
    <row r="4422" spans="23:23" x14ac:dyDescent="0.2">
      <c r="W4422" s="631"/>
    </row>
    <row r="4423" spans="23:23" x14ac:dyDescent="0.2">
      <c r="W4423" s="631"/>
    </row>
    <row r="4424" spans="23:23" x14ac:dyDescent="0.2">
      <c r="W4424" s="631"/>
    </row>
    <row r="4425" spans="23:23" x14ac:dyDescent="0.2">
      <c r="W4425" s="631"/>
    </row>
    <row r="4426" spans="23:23" x14ac:dyDescent="0.2">
      <c r="W4426" s="631"/>
    </row>
    <row r="4427" spans="23:23" x14ac:dyDescent="0.2">
      <c r="W4427" s="631"/>
    </row>
    <row r="4428" spans="23:23" x14ac:dyDescent="0.2">
      <c r="W4428" s="631"/>
    </row>
    <row r="4429" spans="23:23" x14ac:dyDescent="0.2">
      <c r="W4429" s="631"/>
    </row>
    <row r="4430" spans="23:23" x14ac:dyDescent="0.2">
      <c r="W4430" s="631"/>
    </row>
    <row r="4431" spans="23:23" x14ac:dyDescent="0.2">
      <c r="W4431" s="631"/>
    </row>
    <row r="4432" spans="23:23" x14ac:dyDescent="0.2">
      <c r="W4432" s="631"/>
    </row>
    <row r="4433" spans="23:23" x14ac:dyDescent="0.2">
      <c r="W4433" s="631"/>
    </row>
    <row r="4434" spans="23:23" x14ac:dyDescent="0.2">
      <c r="W4434" s="631"/>
    </row>
    <row r="4435" spans="23:23" x14ac:dyDescent="0.2">
      <c r="W4435" s="631"/>
    </row>
    <row r="4436" spans="23:23" x14ac:dyDescent="0.2">
      <c r="W4436" s="631"/>
    </row>
    <row r="4437" spans="23:23" x14ac:dyDescent="0.2">
      <c r="W4437" s="631"/>
    </row>
    <row r="4438" spans="23:23" x14ac:dyDescent="0.2">
      <c r="W4438" s="631"/>
    </row>
    <row r="4439" spans="23:23" x14ac:dyDescent="0.2">
      <c r="W4439" s="631"/>
    </row>
    <row r="4440" spans="23:23" x14ac:dyDescent="0.2">
      <c r="W4440" s="631"/>
    </row>
    <row r="4441" spans="23:23" x14ac:dyDescent="0.2">
      <c r="W4441" s="631"/>
    </row>
    <row r="4442" spans="23:23" x14ac:dyDescent="0.2">
      <c r="W4442" s="631"/>
    </row>
    <row r="4443" spans="23:23" x14ac:dyDescent="0.2">
      <c r="W4443" s="631"/>
    </row>
    <row r="4444" spans="23:23" x14ac:dyDescent="0.2">
      <c r="W4444" s="631"/>
    </row>
    <row r="4445" spans="23:23" x14ac:dyDescent="0.2">
      <c r="W4445" s="631"/>
    </row>
    <row r="4446" spans="23:23" x14ac:dyDescent="0.2">
      <c r="W4446" s="631"/>
    </row>
    <row r="4447" spans="23:23" x14ac:dyDescent="0.2">
      <c r="W4447" s="631"/>
    </row>
    <row r="4448" spans="23:23" x14ac:dyDescent="0.2">
      <c r="W4448" s="631"/>
    </row>
    <row r="4449" spans="23:23" x14ac:dyDescent="0.2">
      <c r="W4449" s="631"/>
    </row>
    <row r="4450" spans="23:23" x14ac:dyDescent="0.2">
      <c r="W4450" s="631"/>
    </row>
    <row r="4451" spans="23:23" x14ac:dyDescent="0.2">
      <c r="W4451" s="631"/>
    </row>
    <row r="4452" spans="23:23" x14ac:dyDescent="0.2">
      <c r="W4452" s="631"/>
    </row>
    <row r="4453" spans="23:23" x14ac:dyDescent="0.2">
      <c r="W4453" s="631"/>
    </row>
    <row r="4454" spans="23:23" x14ac:dyDescent="0.2">
      <c r="W4454" s="631"/>
    </row>
    <row r="4455" spans="23:23" x14ac:dyDescent="0.2">
      <c r="W4455" s="631"/>
    </row>
    <row r="4456" spans="23:23" x14ac:dyDescent="0.2">
      <c r="W4456" s="631"/>
    </row>
    <row r="4457" spans="23:23" x14ac:dyDescent="0.2">
      <c r="W4457" s="631"/>
    </row>
    <row r="4458" spans="23:23" x14ac:dyDescent="0.2">
      <c r="W4458" s="631"/>
    </row>
    <row r="4459" spans="23:23" x14ac:dyDescent="0.2">
      <c r="W4459" s="631"/>
    </row>
    <row r="4460" spans="23:23" x14ac:dyDescent="0.2">
      <c r="W4460" s="631"/>
    </row>
    <row r="4461" spans="23:23" x14ac:dyDescent="0.2">
      <c r="W4461" s="631"/>
    </row>
    <row r="4462" spans="23:23" x14ac:dyDescent="0.2">
      <c r="W4462" s="631"/>
    </row>
    <row r="4463" spans="23:23" x14ac:dyDescent="0.2">
      <c r="W4463" s="631"/>
    </row>
    <row r="4464" spans="23:23" x14ac:dyDescent="0.2">
      <c r="W4464" s="631"/>
    </row>
    <row r="4465" spans="23:23" x14ac:dyDescent="0.2">
      <c r="W4465" s="631"/>
    </row>
    <row r="4466" spans="23:23" x14ac:dyDescent="0.2">
      <c r="W4466" s="631"/>
    </row>
    <row r="4467" spans="23:23" x14ac:dyDescent="0.2">
      <c r="W4467" s="631"/>
    </row>
    <row r="4468" spans="23:23" x14ac:dyDescent="0.2">
      <c r="W4468" s="631"/>
    </row>
    <row r="4469" spans="23:23" x14ac:dyDescent="0.2">
      <c r="W4469" s="631"/>
    </row>
    <row r="4470" spans="23:23" x14ac:dyDescent="0.2">
      <c r="W4470" s="631"/>
    </row>
    <row r="4471" spans="23:23" x14ac:dyDescent="0.2">
      <c r="W4471" s="631"/>
    </row>
    <row r="4472" spans="23:23" x14ac:dyDescent="0.2">
      <c r="W4472" s="631"/>
    </row>
    <row r="4473" spans="23:23" x14ac:dyDescent="0.2">
      <c r="W4473" s="631"/>
    </row>
    <row r="4474" spans="23:23" x14ac:dyDescent="0.2">
      <c r="W4474" s="631"/>
    </row>
    <row r="4475" spans="23:23" x14ac:dyDescent="0.2">
      <c r="W4475" s="631"/>
    </row>
    <row r="4476" spans="23:23" x14ac:dyDescent="0.2">
      <c r="W4476" s="631"/>
    </row>
    <row r="4477" spans="23:23" x14ac:dyDescent="0.2">
      <c r="W4477" s="631"/>
    </row>
    <row r="4478" spans="23:23" x14ac:dyDescent="0.2">
      <c r="W4478" s="631"/>
    </row>
    <row r="4479" spans="23:23" x14ac:dyDescent="0.2">
      <c r="W4479" s="631"/>
    </row>
    <row r="4480" spans="23:23" x14ac:dyDescent="0.2">
      <c r="W4480" s="631"/>
    </row>
    <row r="4481" spans="23:23" x14ac:dyDescent="0.2">
      <c r="W4481" s="631"/>
    </row>
    <row r="4482" spans="23:23" x14ac:dyDescent="0.2">
      <c r="W4482" s="631"/>
    </row>
    <row r="4483" spans="23:23" x14ac:dyDescent="0.2">
      <c r="W4483" s="631"/>
    </row>
    <row r="4484" spans="23:23" x14ac:dyDescent="0.2">
      <c r="W4484" s="631"/>
    </row>
    <row r="4485" spans="23:23" x14ac:dyDescent="0.2">
      <c r="W4485" s="631"/>
    </row>
    <row r="4486" spans="23:23" x14ac:dyDescent="0.2">
      <c r="W4486" s="631"/>
    </row>
    <row r="4487" spans="23:23" x14ac:dyDescent="0.2">
      <c r="W4487" s="631"/>
    </row>
    <row r="4488" spans="23:23" x14ac:dyDescent="0.2">
      <c r="W4488" s="631"/>
    </row>
    <row r="4489" spans="23:23" x14ac:dyDescent="0.2">
      <c r="W4489" s="631"/>
    </row>
    <row r="4490" spans="23:23" x14ac:dyDescent="0.2">
      <c r="W4490" s="631"/>
    </row>
    <row r="4491" spans="23:23" x14ac:dyDescent="0.2">
      <c r="W4491" s="631"/>
    </row>
    <row r="4492" spans="23:23" x14ac:dyDescent="0.2">
      <c r="W4492" s="631"/>
    </row>
    <row r="4493" spans="23:23" x14ac:dyDescent="0.2">
      <c r="W4493" s="631"/>
    </row>
    <row r="4494" spans="23:23" x14ac:dyDescent="0.2">
      <c r="W4494" s="631"/>
    </row>
    <row r="4495" spans="23:23" x14ac:dyDescent="0.2">
      <c r="W4495" s="631"/>
    </row>
    <row r="4496" spans="23:23" x14ac:dyDescent="0.2">
      <c r="W4496" s="631"/>
    </row>
    <row r="4497" spans="23:23" x14ac:dyDescent="0.2">
      <c r="W4497" s="631"/>
    </row>
    <row r="4498" spans="23:23" x14ac:dyDescent="0.2">
      <c r="W4498" s="631"/>
    </row>
    <row r="4499" spans="23:23" x14ac:dyDescent="0.2">
      <c r="W4499" s="631"/>
    </row>
    <row r="4500" spans="23:23" x14ac:dyDescent="0.2">
      <c r="W4500" s="631"/>
    </row>
    <row r="4501" spans="23:23" x14ac:dyDescent="0.2">
      <c r="W4501" s="631"/>
    </row>
    <row r="4502" spans="23:23" x14ac:dyDescent="0.2">
      <c r="W4502" s="631"/>
    </row>
    <row r="4503" spans="23:23" x14ac:dyDescent="0.2">
      <c r="W4503" s="631"/>
    </row>
    <row r="4504" spans="23:23" x14ac:dyDescent="0.2">
      <c r="W4504" s="631"/>
    </row>
    <row r="4505" spans="23:23" x14ac:dyDescent="0.2">
      <c r="W4505" s="631"/>
    </row>
    <row r="4506" spans="23:23" x14ac:dyDescent="0.2">
      <c r="W4506" s="631"/>
    </row>
    <row r="4507" spans="23:23" x14ac:dyDescent="0.2">
      <c r="W4507" s="631"/>
    </row>
    <row r="4508" spans="23:23" x14ac:dyDescent="0.2">
      <c r="W4508" s="631"/>
    </row>
    <row r="4509" spans="23:23" x14ac:dyDescent="0.2">
      <c r="W4509" s="631"/>
    </row>
    <row r="4510" spans="23:23" x14ac:dyDescent="0.2">
      <c r="W4510" s="631"/>
    </row>
    <row r="4511" spans="23:23" x14ac:dyDescent="0.2">
      <c r="W4511" s="631"/>
    </row>
    <row r="4512" spans="23:23" x14ac:dyDescent="0.2">
      <c r="W4512" s="631"/>
    </row>
    <row r="4513" spans="23:23" x14ac:dyDescent="0.2">
      <c r="W4513" s="631"/>
    </row>
    <row r="4514" spans="23:23" x14ac:dyDescent="0.2">
      <c r="W4514" s="631"/>
    </row>
    <row r="4515" spans="23:23" x14ac:dyDescent="0.2">
      <c r="W4515" s="631"/>
    </row>
    <row r="4516" spans="23:23" x14ac:dyDescent="0.2">
      <c r="W4516" s="631"/>
    </row>
    <row r="4517" spans="23:23" x14ac:dyDescent="0.2">
      <c r="W4517" s="631"/>
    </row>
    <row r="4518" spans="23:23" x14ac:dyDescent="0.2">
      <c r="W4518" s="631"/>
    </row>
    <row r="4519" spans="23:23" x14ac:dyDescent="0.2">
      <c r="W4519" s="631"/>
    </row>
    <row r="4520" spans="23:23" x14ac:dyDescent="0.2">
      <c r="W4520" s="631"/>
    </row>
    <row r="4521" spans="23:23" x14ac:dyDescent="0.2">
      <c r="W4521" s="631"/>
    </row>
    <row r="4522" spans="23:23" x14ac:dyDescent="0.2">
      <c r="W4522" s="631"/>
    </row>
    <row r="4523" spans="23:23" x14ac:dyDescent="0.2">
      <c r="W4523" s="631"/>
    </row>
    <row r="4524" spans="23:23" x14ac:dyDescent="0.2">
      <c r="W4524" s="631"/>
    </row>
    <row r="4525" spans="23:23" x14ac:dyDescent="0.2">
      <c r="W4525" s="631"/>
    </row>
    <row r="4526" spans="23:23" x14ac:dyDescent="0.2">
      <c r="W4526" s="631"/>
    </row>
    <row r="4527" spans="23:23" x14ac:dyDescent="0.2">
      <c r="W4527" s="631"/>
    </row>
    <row r="4528" spans="23:23" x14ac:dyDescent="0.2">
      <c r="W4528" s="631"/>
    </row>
    <row r="4529" spans="23:23" x14ac:dyDescent="0.2">
      <c r="W4529" s="631"/>
    </row>
    <row r="4530" spans="23:23" x14ac:dyDescent="0.2">
      <c r="W4530" s="631"/>
    </row>
    <row r="4531" spans="23:23" x14ac:dyDescent="0.2">
      <c r="W4531" s="631"/>
    </row>
    <row r="4532" spans="23:23" x14ac:dyDescent="0.2">
      <c r="W4532" s="631"/>
    </row>
    <row r="4533" spans="23:23" x14ac:dyDescent="0.2">
      <c r="W4533" s="631"/>
    </row>
    <row r="4534" spans="23:23" x14ac:dyDescent="0.2">
      <c r="W4534" s="631"/>
    </row>
    <row r="4535" spans="23:23" x14ac:dyDescent="0.2">
      <c r="W4535" s="631"/>
    </row>
    <row r="4536" spans="23:23" x14ac:dyDescent="0.2">
      <c r="W4536" s="631"/>
    </row>
    <row r="4537" spans="23:23" x14ac:dyDescent="0.2">
      <c r="W4537" s="631"/>
    </row>
    <row r="4538" spans="23:23" x14ac:dyDescent="0.2">
      <c r="W4538" s="631"/>
    </row>
    <row r="4539" spans="23:23" x14ac:dyDescent="0.2">
      <c r="W4539" s="631"/>
    </row>
    <row r="4540" spans="23:23" x14ac:dyDescent="0.2">
      <c r="W4540" s="631"/>
    </row>
    <row r="4541" spans="23:23" x14ac:dyDescent="0.2">
      <c r="W4541" s="631"/>
    </row>
    <row r="4542" spans="23:23" x14ac:dyDescent="0.2">
      <c r="W4542" s="631"/>
    </row>
    <row r="4543" spans="23:23" x14ac:dyDescent="0.2">
      <c r="W4543" s="631"/>
    </row>
    <row r="4544" spans="23:23" x14ac:dyDescent="0.2">
      <c r="W4544" s="631"/>
    </row>
    <row r="4545" spans="23:23" x14ac:dyDescent="0.2">
      <c r="W4545" s="631"/>
    </row>
    <row r="4546" spans="23:23" x14ac:dyDescent="0.2">
      <c r="W4546" s="631"/>
    </row>
    <row r="4547" spans="23:23" x14ac:dyDescent="0.2">
      <c r="W4547" s="631"/>
    </row>
    <row r="4548" spans="23:23" x14ac:dyDescent="0.2">
      <c r="W4548" s="631"/>
    </row>
    <row r="4549" spans="23:23" x14ac:dyDescent="0.2">
      <c r="W4549" s="631"/>
    </row>
    <row r="4550" spans="23:23" x14ac:dyDescent="0.2">
      <c r="W4550" s="631"/>
    </row>
    <row r="4551" spans="23:23" x14ac:dyDescent="0.2">
      <c r="W4551" s="631"/>
    </row>
    <row r="4552" spans="23:23" x14ac:dyDescent="0.2">
      <c r="W4552" s="631"/>
    </row>
    <row r="4553" spans="23:23" x14ac:dyDescent="0.2">
      <c r="W4553" s="631"/>
    </row>
    <row r="4554" spans="23:23" x14ac:dyDescent="0.2">
      <c r="W4554" s="631"/>
    </row>
    <row r="4555" spans="23:23" x14ac:dyDescent="0.2">
      <c r="W4555" s="631"/>
    </row>
    <row r="4556" spans="23:23" x14ac:dyDescent="0.2">
      <c r="W4556" s="631"/>
    </row>
    <row r="4557" spans="23:23" x14ac:dyDescent="0.2">
      <c r="W4557" s="631"/>
    </row>
    <row r="4558" spans="23:23" x14ac:dyDescent="0.2">
      <c r="W4558" s="631"/>
    </row>
    <row r="4559" spans="23:23" x14ac:dyDescent="0.2">
      <c r="W4559" s="631"/>
    </row>
    <row r="4560" spans="23:23" x14ac:dyDescent="0.2">
      <c r="W4560" s="631"/>
    </row>
    <row r="4561" spans="23:23" x14ac:dyDescent="0.2">
      <c r="W4561" s="631"/>
    </row>
    <row r="4562" spans="23:23" x14ac:dyDescent="0.2">
      <c r="W4562" s="631"/>
    </row>
    <row r="4563" spans="23:23" x14ac:dyDescent="0.2">
      <c r="W4563" s="631"/>
    </row>
    <row r="4564" spans="23:23" x14ac:dyDescent="0.2">
      <c r="W4564" s="631"/>
    </row>
    <row r="4565" spans="23:23" x14ac:dyDescent="0.2">
      <c r="W4565" s="631"/>
    </row>
    <row r="4566" spans="23:23" x14ac:dyDescent="0.2">
      <c r="W4566" s="631"/>
    </row>
    <row r="4567" spans="23:23" x14ac:dyDescent="0.2">
      <c r="W4567" s="631"/>
    </row>
    <row r="4568" spans="23:23" x14ac:dyDescent="0.2">
      <c r="W4568" s="631"/>
    </row>
    <row r="4569" spans="23:23" x14ac:dyDescent="0.2">
      <c r="W4569" s="631"/>
    </row>
    <row r="4570" spans="23:23" x14ac:dyDescent="0.2">
      <c r="W4570" s="631"/>
    </row>
    <row r="4571" spans="23:23" x14ac:dyDescent="0.2">
      <c r="W4571" s="631"/>
    </row>
    <row r="4572" spans="23:23" x14ac:dyDescent="0.2">
      <c r="W4572" s="631"/>
    </row>
    <row r="4573" spans="23:23" x14ac:dyDescent="0.2">
      <c r="W4573" s="631"/>
    </row>
    <row r="4574" spans="23:23" x14ac:dyDescent="0.2">
      <c r="W4574" s="631"/>
    </row>
    <row r="4575" spans="23:23" x14ac:dyDescent="0.2">
      <c r="W4575" s="631"/>
    </row>
    <row r="4576" spans="23:23" x14ac:dyDescent="0.2">
      <c r="W4576" s="631"/>
    </row>
    <row r="4577" spans="23:23" x14ac:dyDescent="0.2">
      <c r="W4577" s="631"/>
    </row>
    <row r="4578" spans="23:23" x14ac:dyDescent="0.2">
      <c r="W4578" s="631"/>
    </row>
    <row r="4579" spans="23:23" x14ac:dyDescent="0.2">
      <c r="W4579" s="631"/>
    </row>
    <row r="4580" spans="23:23" x14ac:dyDescent="0.2">
      <c r="W4580" s="631"/>
    </row>
    <row r="4581" spans="23:23" x14ac:dyDescent="0.2">
      <c r="W4581" s="631"/>
    </row>
    <row r="4582" spans="23:23" x14ac:dyDescent="0.2">
      <c r="W4582" s="631"/>
    </row>
    <row r="4583" spans="23:23" x14ac:dyDescent="0.2">
      <c r="W4583" s="631"/>
    </row>
    <row r="4584" spans="23:23" x14ac:dyDescent="0.2">
      <c r="W4584" s="631"/>
    </row>
    <row r="4585" spans="23:23" x14ac:dyDescent="0.2">
      <c r="W4585" s="631"/>
    </row>
    <row r="4586" spans="23:23" x14ac:dyDescent="0.2">
      <c r="W4586" s="631"/>
    </row>
    <row r="4587" spans="23:23" x14ac:dyDescent="0.2">
      <c r="W4587" s="631"/>
    </row>
    <row r="4588" spans="23:23" x14ac:dyDescent="0.2">
      <c r="W4588" s="631"/>
    </row>
    <row r="4589" spans="23:23" x14ac:dyDescent="0.2">
      <c r="W4589" s="631"/>
    </row>
    <row r="4590" spans="23:23" x14ac:dyDescent="0.2">
      <c r="W4590" s="631"/>
    </row>
    <row r="4591" spans="23:23" x14ac:dyDescent="0.2">
      <c r="W4591" s="631"/>
    </row>
    <row r="4592" spans="23:23" x14ac:dyDescent="0.2">
      <c r="W4592" s="631"/>
    </row>
    <row r="4593" spans="23:23" x14ac:dyDescent="0.2">
      <c r="W4593" s="631"/>
    </row>
    <row r="4594" spans="23:23" x14ac:dyDescent="0.2">
      <c r="W4594" s="631"/>
    </row>
    <row r="4595" spans="23:23" x14ac:dyDescent="0.2">
      <c r="W4595" s="631"/>
    </row>
    <row r="4596" spans="23:23" x14ac:dyDescent="0.2">
      <c r="W4596" s="631"/>
    </row>
    <row r="4597" spans="23:23" x14ac:dyDescent="0.2">
      <c r="W4597" s="631"/>
    </row>
    <row r="4598" spans="23:23" x14ac:dyDescent="0.2">
      <c r="W4598" s="631"/>
    </row>
    <row r="4599" spans="23:23" x14ac:dyDescent="0.2">
      <c r="W4599" s="631"/>
    </row>
    <row r="4600" spans="23:23" x14ac:dyDescent="0.2">
      <c r="W4600" s="631"/>
    </row>
    <row r="4601" spans="23:23" x14ac:dyDescent="0.2">
      <c r="W4601" s="631"/>
    </row>
    <row r="4602" spans="23:23" x14ac:dyDescent="0.2">
      <c r="W4602" s="631"/>
    </row>
    <row r="4603" spans="23:23" x14ac:dyDescent="0.2">
      <c r="W4603" s="631"/>
    </row>
    <row r="4604" spans="23:23" x14ac:dyDescent="0.2">
      <c r="W4604" s="631"/>
    </row>
    <row r="4605" spans="23:23" x14ac:dyDescent="0.2">
      <c r="W4605" s="631"/>
    </row>
    <row r="4606" spans="23:23" x14ac:dyDescent="0.2">
      <c r="W4606" s="631"/>
    </row>
    <row r="4607" spans="23:23" x14ac:dyDescent="0.2">
      <c r="W4607" s="631"/>
    </row>
    <row r="4608" spans="23:23" x14ac:dyDescent="0.2">
      <c r="W4608" s="631"/>
    </row>
    <row r="4609" spans="23:23" x14ac:dyDescent="0.2">
      <c r="W4609" s="631"/>
    </row>
    <row r="4610" spans="23:23" x14ac:dyDescent="0.2">
      <c r="W4610" s="631"/>
    </row>
    <row r="4611" spans="23:23" x14ac:dyDescent="0.2">
      <c r="W4611" s="631"/>
    </row>
    <row r="4612" spans="23:23" x14ac:dyDescent="0.2">
      <c r="W4612" s="631"/>
    </row>
    <row r="4613" spans="23:23" x14ac:dyDescent="0.2">
      <c r="W4613" s="631"/>
    </row>
    <row r="4614" spans="23:23" x14ac:dyDescent="0.2">
      <c r="W4614" s="631"/>
    </row>
    <row r="4615" spans="23:23" x14ac:dyDescent="0.2">
      <c r="W4615" s="631"/>
    </row>
    <row r="4616" spans="23:23" x14ac:dyDescent="0.2">
      <c r="W4616" s="631"/>
    </row>
    <row r="4617" spans="23:23" x14ac:dyDescent="0.2">
      <c r="W4617" s="631"/>
    </row>
    <row r="4618" spans="23:23" x14ac:dyDescent="0.2">
      <c r="W4618" s="631"/>
    </row>
    <row r="4619" spans="23:23" x14ac:dyDescent="0.2">
      <c r="W4619" s="631"/>
    </row>
    <row r="4620" spans="23:23" x14ac:dyDescent="0.2">
      <c r="W4620" s="631"/>
    </row>
    <row r="4621" spans="23:23" x14ac:dyDescent="0.2">
      <c r="W4621" s="631"/>
    </row>
    <row r="4622" spans="23:23" x14ac:dyDescent="0.2">
      <c r="W4622" s="631"/>
    </row>
    <row r="4623" spans="23:23" x14ac:dyDescent="0.2">
      <c r="W4623" s="631"/>
    </row>
    <row r="4624" spans="23:23" x14ac:dyDescent="0.2">
      <c r="W4624" s="631"/>
    </row>
    <row r="4625" spans="23:23" x14ac:dyDescent="0.2">
      <c r="W4625" s="631"/>
    </row>
    <row r="4626" spans="23:23" x14ac:dyDescent="0.2">
      <c r="W4626" s="631"/>
    </row>
    <row r="4627" spans="23:23" x14ac:dyDescent="0.2">
      <c r="W4627" s="631"/>
    </row>
    <row r="4628" spans="23:23" x14ac:dyDescent="0.2">
      <c r="W4628" s="631"/>
    </row>
    <row r="4629" spans="23:23" x14ac:dyDescent="0.2">
      <c r="W4629" s="631"/>
    </row>
    <row r="4630" spans="23:23" x14ac:dyDescent="0.2">
      <c r="W4630" s="631"/>
    </row>
    <row r="4631" spans="23:23" x14ac:dyDescent="0.2">
      <c r="W4631" s="631"/>
    </row>
    <row r="4632" spans="23:23" x14ac:dyDescent="0.2">
      <c r="W4632" s="631"/>
    </row>
    <row r="4633" spans="23:23" x14ac:dyDescent="0.2">
      <c r="W4633" s="631"/>
    </row>
    <row r="4634" spans="23:23" x14ac:dyDescent="0.2">
      <c r="W4634" s="631"/>
    </row>
    <row r="4635" spans="23:23" x14ac:dyDescent="0.2">
      <c r="W4635" s="631"/>
    </row>
    <row r="4636" spans="23:23" x14ac:dyDescent="0.2">
      <c r="W4636" s="631"/>
    </row>
    <row r="4637" spans="23:23" x14ac:dyDescent="0.2">
      <c r="W4637" s="631"/>
    </row>
    <row r="4638" spans="23:23" x14ac:dyDescent="0.2">
      <c r="W4638" s="631"/>
    </row>
    <row r="4639" spans="23:23" x14ac:dyDescent="0.2">
      <c r="W4639" s="631"/>
    </row>
    <row r="4640" spans="23:23" x14ac:dyDescent="0.2">
      <c r="W4640" s="631"/>
    </row>
    <row r="4641" spans="23:23" x14ac:dyDescent="0.2">
      <c r="W4641" s="631"/>
    </row>
    <row r="4642" spans="23:23" x14ac:dyDescent="0.2">
      <c r="W4642" s="631"/>
    </row>
    <row r="4643" spans="23:23" x14ac:dyDescent="0.2">
      <c r="W4643" s="631"/>
    </row>
    <row r="4644" spans="23:23" x14ac:dyDescent="0.2">
      <c r="W4644" s="631"/>
    </row>
    <row r="4645" spans="23:23" x14ac:dyDescent="0.2">
      <c r="W4645" s="631"/>
    </row>
    <row r="4646" spans="23:23" x14ac:dyDescent="0.2">
      <c r="W4646" s="631"/>
    </row>
    <row r="4647" spans="23:23" x14ac:dyDescent="0.2">
      <c r="W4647" s="631"/>
    </row>
    <row r="4648" spans="23:23" x14ac:dyDescent="0.2">
      <c r="W4648" s="631"/>
    </row>
    <row r="4649" spans="23:23" x14ac:dyDescent="0.2">
      <c r="W4649" s="631"/>
    </row>
    <row r="4650" spans="23:23" x14ac:dyDescent="0.2">
      <c r="W4650" s="631"/>
    </row>
    <row r="4651" spans="23:23" x14ac:dyDescent="0.2">
      <c r="W4651" s="631"/>
    </row>
    <row r="4652" spans="23:23" x14ac:dyDescent="0.2">
      <c r="W4652" s="631"/>
    </row>
    <row r="4653" spans="23:23" x14ac:dyDescent="0.2">
      <c r="W4653" s="631"/>
    </row>
    <row r="4654" spans="23:23" x14ac:dyDescent="0.2">
      <c r="W4654" s="631"/>
    </row>
    <row r="4655" spans="23:23" x14ac:dyDescent="0.2">
      <c r="W4655" s="631"/>
    </row>
    <row r="4656" spans="23:23" x14ac:dyDescent="0.2">
      <c r="W4656" s="631"/>
    </row>
    <row r="4657" spans="23:23" x14ac:dyDescent="0.2">
      <c r="W4657" s="631"/>
    </row>
    <row r="4658" spans="23:23" x14ac:dyDescent="0.2">
      <c r="W4658" s="631"/>
    </row>
    <row r="4659" spans="23:23" x14ac:dyDescent="0.2">
      <c r="W4659" s="631"/>
    </row>
    <row r="4660" spans="23:23" x14ac:dyDescent="0.2">
      <c r="W4660" s="631"/>
    </row>
    <row r="4661" spans="23:23" x14ac:dyDescent="0.2">
      <c r="W4661" s="631"/>
    </row>
    <row r="4662" spans="23:23" x14ac:dyDescent="0.2">
      <c r="W4662" s="631"/>
    </row>
    <row r="4663" spans="23:23" x14ac:dyDescent="0.2">
      <c r="W4663" s="631"/>
    </row>
    <row r="4664" spans="23:23" x14ac:dyDescent="0.2">
      <c r="W4664" s="631"/>
    </row>
    <row r="4665" spans="23:23" x14ac:dyDescent="0.2">
      <c r="W4665" s="631"/>
    </row>
    <row r="4666" spans="23:23" x14ac:dyDescent="0.2">
      <c r="W4666" s="631"/>
    </row>
    <row r="4667" spans="23:23" x14ac:dyDescent="0.2">
      <c r="W4667" s="631"/>
    </row>
    <row r="4668" spans="23:23" x14ac:dyDescent="0.2">
      <c r="W4668" s="631"/>
    </row>
    <row r="4669" spans="23:23" x14ac:dyDescent="0.2">
      <c r="W4669" s="631"/>
    </row>
    <row r="4670" spans="23:23" x14ac:dyDescent="0.2">
      <c r="W4670" s="631"/>
    </row>
    <row r="4671" spans="23:23" x14ac:dyDescent="0.2">
      <c r="W4671" s="631"/>
    </row>
    <row r="4672" spans="23:23" x14ac:dyDescent="0.2">
      <c r="W4672" s="631"/>
    </row>
    <row r="4673" spans="23:23" x14ac:dyDescent="0.2">
      <c r="W4673" s="631"/>
    </row>
    <row r="4674" spans="23:23" x14ac:dyDescent="0.2">
      <c r="W4674" s="631"/>
    </row>
    <row r="4675" spans="23:23" x14ac:dyDescent="0.2">
      <c r="W4675" s="631"/>
    </row>
    <row r="4676" spans="23:23" x14ac:dyDescent="0.2">
      <c r="W4676" s="631"/>
    </row>
    <row r="4677" spans="23:23" x14ac:dyDescent="0.2">
      <c r="W4677" s="631"/>
    </row>
    <row r="4678" spans="23:23" x14ac:dyDescent="0.2">
      <c r="W4678" s="631"/>
    </row>
    <row r="4679" spans="23:23" x14ac:dyDescent="0.2">
      <c r="W4679" s="631"/>
    </row>
    <row r="4680" spans="23:23" x14ac:dyDescent="0.2">
      <c r="W4680" s="631"/>
    </row>
    <row r="4681" spans="23:23" x14ac:dyDescent="0.2">
      <c r="W4681" s="631"/>
    </row>
    <row r="4682" spans="23:23" x14ac:dyDescent="0.2">
      <c r="W4682" s="631"/>
    </row>
    <row r="4683" spans="23:23" x14ac:dyDescent="0.2">
      <c r="W4683" s="631"/>
    </row>
    <row r="4684" spans="23:23" x14ac:dyDescent="0.2">
      <c r="W4684" s="631"/>
    </row>
    <row r="4685" spans="23:23" x14ac:dyDescent="0.2">
      <c r="W4685" s="631"/>
    </row>
    <row r="4686" spans="23:23" x14ac:dyDescent="0.2">
      <c r="W4686" s="631"/>
    </row>
    <row r="4687" spans="23:23" x14ac:dyDescent="0.2">
      <c r="W4687" s="631"/>
    </row>
    <row r="4688" spans="23:23" x14ac:dyDescent="0.2">
      <c r="W4688" s="631"/>
    </row>
    <row r="4689" spans="23:23" x14ac:dyDescent="0.2">
      <c r="W4689" s="631"/>
    </row>
    <row r="4690" spans="23:23" x14ac:dyDescent="0.2">
      <c r="W4690" s="631"/>
    </row>
    <row r="4691" spans="23:23" x14ac:dyDescent="0.2">
      <c r="W4691" s="631"/>
    </row>
    <row r="4692" spans="23:23" x14ac:dyDescent="0.2">
      <c r="W4692" s="631"/>
    </row>
    <row r="4693" spans="23:23" x14ac:dyDescent="0.2">
      <c r="W4693" s="631"/>
    </row>
    <row r="4694" spans="23:23" x14ac:dyDescent="0.2">
      <c r="W4694" s="631"/>
    </row>
    <row r="4695" spans="23:23" x14ac:dyDescent="0.2">
      <c r="W4695" s="631"/>
    </row>
    <row r="4696" spans="23:23" x14ac:dyDescent="0.2">
      <c r="W4696" s="631"/>
    </row>
    <row r="4697" spans="23:23" x14ac:dyDescent="0.2">
      <c r="W4697" s="631"/>
    </row>
    <row r="4698" spans="23:23" x14ac:dyDescent="0.2">
      <c r="W4698" s="631"/>
    </row>
    <row r="4699" spans="23:23" x14ac:dyDescent="0.2">
      <c r="W4699" s="631"/>
    </row>
    <row r="4700" spans="23:23" x14ac:dyDescent="0.2">
      <c r="W4700" s="631"/>
    </row>
    <row r="4701" spans="23:23" x14ac:dyDescent="0.2">
      <c r="W4701" s="631"/>
    </row>
    <row r="4702" spans="23:23" x14ac:dyDescent="0.2">
      <c r="W4702" s="631"/>
    </row>
    <row r="4703" spans="23:23" x14ac:dyDescent="0.2">
      <c r="W4703" s="631"/>
    </row>
    <row r="4704" spans="23:23" x14ac:dyDescent="0.2">
      <c r="W4704" s="631"/>
    </row>
    <row r="4705" spans="23:23" x14ac:dyDescent="0.2">
      <c r="W4705" s="631"/>
    </row>
    <row r="4706" spans="23:23" x14ac:dyDescent="0.2">
      <c r="W4706" s="631"/>
    </row>
    <row r="4707" spans="23:23" x14ac:dyDescent="0.2">
      <c r="W4707" s="631"/>
    </row>
    <row r="4708" spans="23:23" x14ac:dyDescent="0.2">
      <c r="W4708" s="631"/>
    </row>
    <row r="4709" spans="23:23" x14ac:dyDescent="0.2">
      <c r="W4709" s="631"/>
    </row>
    <row r="4710" spans="23:23" x14ac:dyDescent="0.2">
      <c r="W4710" s="631"/>
    </row>
    <row r="4711" spans="23:23" x14ac:dyDescent="0.2">
      <c r="W4711" s="631"/>
    </row>
    <row r="4712" spans="23:23" x14ac:dyDescent="0.2">
      <c r="W4712" s="631"/>
    </row>
    <row r="4713" spans="23:23" x14ac:dyDescent="0.2">
      <c r="W4713" s="631"/>
    </row>
    <row r="4714" spans="23:23" x14ac:dyDescent="0.2">
      <c r="W4714" s="631"/>
    </row>
    <row r="4715" spans="23:23" x14ac:dyDescent="0.2">
      <c r="W4715" s="631"/>
    </row>
    <row r="4716" spans="23:23" x14ac:dyDescent="0.2">
      <c r="W4716" s="631"/>
    </row>
    <row r="4717" spans="23:23" x14ac:dyDescent="0.2">
      <c r="W4717" s="631"/>
    </row>
    <row r="4718" spans="23:23" x14ac:dyDescent="0.2">
      <c r="W4718" s="631"/>
    </row>
    <row r="4719" spans="23:23" x14ac:dyDescent="0.2">
      <c r="W4719" s="631"/>
    </row>
    <row r="4720" spans="23:23" x14ac:dyDescent="0.2">
      <c r="W4720" s="631"/>
    </row>
    <row r="4721" spans="23:23" x14ac:dyDescent="0.2">
      <c r="W4721" s="631"/>
    </row>
    <row r="4722" spans="23:23" x14ac:dyDescent="0.2">
      <c r="W4722" s="631"/>
    </row>
    <row r="4723" spans="23:23" x14ac:dyDescent="0.2">
      <c r="W4723" s="631"/>
    </row>
    <row r="4724" spans="23:23" x14ac:dyDescent="0.2">
      <c r="W4724" s="631"/>
    </row>
    <row r="4725" spans="23:23" x14ac:dyDescent="0.2">
      <c r="W4725" s="631"/>
    </row>
    <row r="4726" spans="23:23" x14ac:dyDescent="0.2">
      <c r="W4726" s="631"/>
    </row>
    <row r="4727" spans="23:23" x14ac:dyDescent="0.2">
      <c r="W4727" s="631"/>
    </row>
    <row r="4728" spans="23:23" x14ac:dyDescent="0.2">
      <c r="W4728" s="631"/>
    </row>
    <row r="4729" spans="23:23" x14ac:dyDescent="0.2">
      <c r="W4729" s="631"/>
    </row>
    <row r="4730" spans="23:23" x14ac:dyDescent="0.2">
      <c r="W4730" s="631"/>
    </row>
    <row r="4731" spans="23:23" x14ac:dyDescent="0.2">
      <c r="W4731" s="631"/>
    </row>
    <row r="4732" spans="23:23" x14ac:dyDescent="0.2">
      <c r="W4732" s="631"/>
    </row>
    <row r="4733" spans="23:23" x14ac:dyDescent="0.2">
      <c r="W4733" s="631"/>
    </row>
    <row r="4734" spans="23:23" x14ac:dyDescent="0.2">
      <c r="W4734" s="631"/>
    </row>
    <row r="4735" spans="23:23" x14ac:dyDescent="0.2">
      <c r="W4735" s="631"/>
    </row>
    <row r="4736" spans="23:23" x14ac:dyDescent="0.2">
      <c r="W4736" s="631"/>
    </row>
    <row r="4737" spans="23:23" x14ac:dyDescent="0.2">
      <c r="W4737" s="631"/>
    </row>
    <row r="4738" spans="23:23" x14ac:dyDescent="0.2">
      <c r="W4738" s="631"/>
    </row>
    <row r="4739" spans="23:23" x14ac:dyDescent="0.2">
      <c r="W4739" s="631"/>
    </row>
    <row r="4740" spans="23:23" x14ac:dyDescent="0.2">
      <c r="W4740" s="631"/>
    </row>
    <row r="4741" spans="23:23" x14ac:dyDescent="0.2">
      <c r="W4741" s="631"/>
    </row>
    <row r="4742" spans="23:23" x14ac:dyDescent="0.2">
      <c r="W4742" s="631"/>
    </row>
    <row r="4743" spans="23:23" x14ac:dyDescent="0.2">
      <c r="W4743" s="631"/>
    </row>
    <row r="4744" spans="23:23" x14ac:dyDescent="0.2">
      <c r="W4744" s="631"/>
    </row>
    <row r="4745" spans="23:23" x14ac:dyDescent="0.2">
      <c r="W4745" s="631"/>
    </row>
    <row r="4746" spans="23:23" x14ac:dyDescent="0.2">
      <c r="W4746" s="631"/>
    </row>
    <row r="4747" spans="23:23" x14ac:dyDescent="0.2">
      <c r="W4747" s="631"/>
    </row>
    <row r="4748" spans="23:23" x14ac:dyDescent="0.2">
      <c r="W4748" s="631"/>
    </row>
    <row r="4749" spans="23:23" x14ac:dyDescent="0.2">
      <c r="W4749" s="631"/>
    </row>
    <row r="4750" spans="23:23" x14ac:dyDescent="0.2">
      <c r="W4750" s="631"/>
    </row>
    <row r="4751" spans="23:23" x14ac:dyDescent="0.2">
      <c r="W4751" s="631"/>
    </row>
    <row r="4752" spans="23:23" x14ac:dyDescent="0.2">
      <c r="W4752" s="631"/>
    </row>
    <row r="4753" spans="23:23" x14ac:dyDescent="0.2">
      <c r="W4753" s="631"/>
    </row>
    <row r="4754" spans="23:23" x14ac:dyDescent="0.2">
      <c r="W4754" s="631"/>
    </row>
    <row r="4755" spans="23:23" x14ac:dyDescent="0.2">
      <c r="W4755" s="631"/>
    </row>
    <row r="4756" spans="23:23" x14ac:dyDescent="0.2">
      <c r="W4756" s="631"/>
    </row>
    <row r="4757" spans="23:23" x14ac:dyDescent="0.2">
      <c r="W4757" s="631"/>
    </row>
    <row r="4758" spans="23:23" x14ac:dyDescent="0.2">
      <c r="W4758" s="631"/>
    </row>
    <row r="4759" spans="23:23" x14ac:dyDescent="0.2">
      <c r="W4759" s="631"/>
    </row>
    <row r="4760" spans="23:23" x14ac:dyDescent="0.2">
      <c r="W4760" s="631"/>
    </row>
    <row r="4761" spans="23:23" x14ac:dyDescent="0.2">
      <c r="W4761" s="631"/>
    </row>
    <row r="4762" spans="23:23" x14ac:dyDescent="0.2">
      <c r="W4762" s="631"/>
    </row>
    <row r="4763" spans="23:23" x14ac:dyDescent="0.2">
      <c r="W4763" s="631"/>
    </row>
    <row r="4764" spans="23:23" x14ac:dyDescent="0.2">
      <c r="W4764" s="631"/>
    </row>
    <row r="4765" spans="23:23" x14ac:dyDescent="0.2">
      <c r="W4765" s="631"/>
    </row>
    <row r="4766" spans="23:23" x14ac:dyDescent="0.2">
      <c r="W4766" s="631"/>
    </row>
    <row r="4767" spans="23:23" x14ac:dyDescent="0.2">
      <c r="W4767" s="631"/>
    </row>
    <row r="4768" spans="23:23" x14ac:dyDescent="0.2">
      <c r="W4768" s="631"/>
    </row>
    <row r="4769" spans="23:23" x14ac:dyDescent="0.2">
      <c r="W4769" s="631"/>
    </row>
    <row r="4770" spans="23:23" x14ac:dyDescent="0.2">
      <c r="W4770" s="631"/>
    </row>
    <row r="4771" spans="23:23" x14ac:dyDescent="0.2">
      <c r="W4771" s="631"/>
    </row>
    <row r="4772" spans="23:23" x14ac:dyDescent="0.2">
      <c r="W4772" s="631"/>
    </row>
    <row r="4773" spans="23:23" x14ac:dyDescent="0.2">
      <c r="W4773" s="631"/>
    </row>
    <row r="4774" spans="23:23" x14ac:dyDescent="0.2">
      <c r="W4774" s="631"/>
    </row>
    <row r="4775" spans="23:23" x14ac:dyDescent="0.2">
      <c r="W4775" s="631"/>
    </row>
    <row r="4776" spans="23:23" x14ac:dyDescent="0.2">
      <c r="W4776" s="631"/>
    </row>
    <row r="4777" spans="23:23" x14ac:dyDescent="0.2">
      <c r="W4777" s="631"/>
    </row>
    <row r="4778" spans="23:23" x14ac:dyDescent="0.2">
      <c r="W4778" s="631"/>
    </row>
    <row r="4779" spans="23:23" x14ac:dyDescent="0.2">
      <c r="W4779" s="631"/>
    </row>
    <row r="4780" spans="23:23" x14ac:dyDescent="0.2">
      <c r="W4780" s="631"/>
    </row>
    <row r="4781" spans="23:23" x14ac:dyDescent="0.2">
      <c r="W4781" s="631"/>
    </row>
    <row r="4782" spans="23:23" x14ac:dyDescent="0.2">
      <c r="W4782" s="631"/>
    </row>
    <row r="4783" spans="23:23" x14ac:dyDescent="0.2">
      <c r="W4783" s="631"/>
    </row>
    <row r="4784" spans="23:23" x14ac:dyDescent="0.2">
      <c r="W4784" s="631"/>
    </row>
    <row r="4785" spans="23:23" x14ac:dyDescent="0.2">
      <c r="W4785" s="631"/>
    </row>
    <row r="4786" spans="23:23" x14ac:dyDescent="0.2">
      <c r="W4786" s="631"/>
    </row>
    <row r="4787" spans="23:23" x14ac:dyDescent="0.2">
      <c r="W4787" s="631"/>
    </row>
    <row r="4788" spans="23:23" x14ac:dyDescent="0.2">
      <c r="W4788" s="631"/>
    </row>
    <row r="4789" spans="23:23" x14ac:dyDescent="0.2">
      <c r="W4789" s="631"/>
    </row>
    <row r="4790" spans="23:23" x14ac:dyDescent="0.2">
      <c r="W4790" s="631"/>
    </row>
    <row r="4791" spans="23:23" x14ac:dyDescent="0.2">
      <c r="W4791" s="631"/>
    </row>
    <row r="4792" spans="23:23" x14ac:dyDescent="0.2">
      <c r="W4792" s="631"/>
    </row>
    <row r="4793" spans="23:23" x14ac:dyDescent="0.2">
      <c r="W4793" s="631"/>
    </row>
    <row r="4794" spans="23:23" x14ac:dyDescent="0.2">
      <c r="W4794" s="631"/>
    </row>
    <row r="4795" spans="23:23" x14ac:dyDescent="0.2">
      <c r="W4795" s="631"/>
    </row>
    <row r="4796" spans="23:23" x14ac:dyDescent="0.2">
      <c r="W4796" s="631"/>
    </row>
    <row r="4797" spans="23:23" x14ac:dyDescent="0.2">
      <c r="W4797" s="631"/>
    </row>
    <row r="4798" spans="23:23" x14ac:dyDescent="0.2">
      <c r="W4798" s="631"/>
    </row>
    <row r="4799" spans="23:23" x14ac:dyDescent="0.2">
      <c r="W4799" s="631"/>
    </row>
    <row r="4800" spans="23:23" x14ac:dyDescent="0.2">
      <c r="W4800" s="631"/>
    </row>
    <row r="4801" spans="23:23" x14ac:dyDescent="0.2">
      <c r="W4801" s="631"/>
    </row>
    <row r="4802" spans="23:23" x14ac:dyDescent="0.2">
      <c r="W4802" s="631"/>
    </row>
    <row r="4803" spans="23:23" x14ac:dyDescent="0.2">
      <c r="W4803" s="631"/>
    </row>
    <row r="4804" spans="23:23" x14ac:dyDescent="0.2">
      <c r="W4804" s="631"/>
    </row>
    <row r="4805" spans="23:23" x14ac:dyDescent="0.2">
      <c r="W4805" s="631"/>
    </row>
    <row r="4806" spans="23:23" x14ac:dyDescent="0.2">
      <c r="W4806" s="631"/>
    </row>
    <row r="4807" spans="23:23" x14ac:dyDescent="0.2">
      <c r="W4807" s="631"/>
    </row>
    <row r="4808" spans="23:23" x14ac:dyDescent="0.2">
      <c r="W4808" s="631"/>
    </row>
    <row r="4809" spans="23:23" x14ac:dyDescent="0.2">
      <c r="W4809" s="631"/>
    </row>
    <row r="4810" spans="23:23" x14ac:dyDescent="0.2">
      <c r="W4810" s="631"/>
    </row>
    <row r="4811" spans="23:23" x14ac:dyDescent="0.2">
      <c r="W4811" s="631"/>
    </row>
    <row r="4812" spans="23:23" x14ac:dyDescent="0.2">
      <c r="W4812" s="631"/>
    </row>
    <row r="4813" spans="23:23" x14ac:dyDescent="0.2">
      <c r="W4813" s="631"/>
    </row>
    <row r="4814" spans="23:23" x14ac:dyDescent="0.2">
      <c r="W4814" s="631"/>
    </row>
    <row r="4815" spans="23:23" x14ac:dyDescent="0.2">
      <c r="W4815" s="631"/>
    </row>
    <row r="4816" spans="23:23" x14ac:dyDescent="0.2">
      <c r="W4816" s="631"/>
    </row>
    <row r="4817" spans="23:23" x14ac:dyDescent="0.2">
      <c r="W4817" s="631"/>
    </row>
    <row r="4818" spans="23:23" x14ac:dyDescent="0.2">
      <c r="W4818" s="631"/>
    </row>
    <row r="4819" spans="23:23" x14ac:dyDescent="0.2">
      <c r="W4819" s="631"/>
    </row>
    <row r="4820" spans="23:23" x14ac:dyDescent="0.2">
      <c r="W4820" s="631"/>
    </row>
    <row r="4821" spans="23:23" x14ac:dyDescent="0.2">
      <c r="W4821" s="631"/>
    </row>
    <row r="4822" spans="23:23" x14ac:dyDescent="0.2">
      <c r="W4822" s="631"/>
    </row>
    <row r="4823" spans="23:23" x14ac:dyDescent="0.2">
      <c r="W4823" s="631"/>
    </row>
    <row r="4824" spans="23:23" x14ac:dyDescent="0.2">
      <c r="W4824" s="631"/>
    </row>
    <row r="4825" spans="23:23" x14ac:dyDescent="0.2">
      <c r="W4825" s="631"/>
    </row>
    <row r="4826" spans="23:23" x14ac:dyDescent="0.2">
      <c r="W4826" s="631"/>
    </row>
    <row r="4827" spans="23:23" x14ac:dyDescent="0.2">
      <c r="W4827" s="631"/>
    </row>
    <row r="4828" spans="23:23" x14ac:dyDescent="0.2">
      <c r="W4828" s="631"/>
    </row>
    <row r="4829" spans="23:23" x14ac:dyDescent="0.2">
      <c r="W4829" s="631"/>
    </row>
    <row r="4830" spans="23:23" x14ac:dyDescent="0.2">
      <c r="W4830" s="631"/>
    </row>
    <row r="4831" spans="23:23" x14ac:dyDescent="0.2">
      <c r="W4831" s="631"/>
    </row>
    <row r="4832" spans="23:23" x14ac:dyDescent="0.2">
      <c r="W4832" s="631"/>
    </row>
    <row r="4833" spans="23:23" x14ac:dyDescent="0.2">
      <c r="W4833" s="631"/>
    </row>
    <row r="4834" spans="23:23" x14ac:dyDescent="0.2">
      <c r="W4834" s="631"/>
    </row>
    <row r="4835" spans="23:23" x14ac:dyDescent="0.2">
      <c r="W4835" s="631"/>
    </row>
    <row r="4836" spans="23:23" x14ac:dyDescent="0.2">
      <c r="W4836" s="631"/>
    </row>
    <row r="4837" spans="23:23" x14ac:dyDescent="0.2">
      <c r="W4837" s="631"/>
    </row>
    <row r="4838" spans="23:23" x14ac:dyDescent="0.2">
      <c r="W4838" s="631"/>
    </row>
    <row r="4839" spans="23:23" x14ac:dyDescent="0.2">
      <c r="W4839" s="631"/>
    </row>
    <row r="4840" spans="23:23" x14ac:dyDescent="0.2">
      <c r="W4840" s="631"/>
    </row>
    <row r="4841" spans="23:23" x14ac:dyDescent="0.2">
      <c r="W4841" s="631"/>
    </row>
    <row r="4842" spans="23:23" x14ac:dyDescent="0.2">
      <c r="W4842" s="631"/>
    </row>
    <row r="4843" spans="23:23" x14ac:dyDescent="0.2">
      <c r="W4843" s="631"/>
    </row>
    <row r="4844" spans="23:23" x14ac:dyDescent="0.2">
      <c r="W4844" s="631"/>
    </row>
    <row r="4845" spans="23:23" x14ac:dyDescent="0.2">
      <c r="W4845" s="631"/>
    </row>
    <row r="4846" spans="23:23" x14ac:dyDescent="0.2">
      <c r="W4846" s="631"/>
    </row>
    <row r="4847" spans="23:23" x14ac:dyDescent="0.2">
      <c r="W4847" s="631"/>
    </row>
    <row r="4848" spans="23:23" x14ac:dyDescent="0.2">
      <c r="W4848" s="631"/>
    </row>
    <row r="4849" spans="23:23" x14ac:dyDescent="0.2">
      <c r="W4849" s="631"/>
    </row>
    <row r="4850" spans="23:23" x14ac:dyDescent="0.2">
      <c r="W4850" s="631"/>
    </row>
    <row r="4851" spans="23:23" x14ac:dyDescent="0.2">
      <c r="W4851" s="631"/>
    </row>
    <row r="4852" spans="23:23" x14ac:dyDescent="0.2">
      <c r="W4852" s="631"/>
    </row>
    <row r="4853" spans="23:23" x14ac:dyDescent="0.2">
      <c r="W4853" s="631"/>
    </row>
    <row r="4854" spans="23:23" x14ac:dyDescent="0.2">
      <c r="W4854" s="631"/>
    </row>
    <row r="4855" spans="23:23" x14ac:dyDescent="0.2">
      <c r="W4855" s="631"/>
    </row>
    <row r="4856" spans="23:23" x14ac:dyDescent="0.2">
      <c r="W4856" s="631"/>
    </row>
    <row r="4857" spans="23:23" x14ac:dyDescent="0.2">
      <c r="W4857" s="631"/>
    </row>
    <row r="4858" spans="23:23" x14ac:dyDescent="0.2">
      <c r="W4858" s="631"/>
    </row>
    <row r="4859" spans="23:23" x14ac:dyDescent="0.2">
      <c r="W4859" s="631"/>
    </row>
    <row r="4860" spans="23:23" x14ac:dyDescent="0.2">
      <c r="W4860" s="631"/>
    </row>
    <row r="4861" spans="23:23" x14ac:dyDescent="0.2">
      <c r="W4861" s="631"/>
    </row>
    <row r="4862" spans="23:23" x14ac:dyDescent="0.2">
      <c r="W4862" s="631"/>
    </row>
    <row r="4863" spans="23:23" x14ac:dyDescent="0.2">
      <c r="W4863" s="631"/>
    </row>
    <row r="4864" spans="23:23" x14ac:dyDescent="0.2">
      <c r="W4864" s="631"/>
    </row>
    <row r="4865" spans="23:23" x14ac:dyDescent="0.2">
      <c r="W4865" s="631"/>
    </row>
    <row r="4866" spans="23:23" x14ac:dyDescent="0.2">
      <c r="W4866" s="631"/>
    </row>
    <row r="4867" spans="23:23" x14ac:dyDescent="0.2">
      <c r="W4867" s="631"/>
    </row>
    <row r="4868" spans="23:23" x14ac:dyDescent="0.2">
      <c r="W4868" s="631"/>
    </row>
    <row r="4869" spans="23:23" x14ac:dyDescent="0.2">
      <c r="W4869" s="631"/>
    </row>
    <row r="4870" spans="23:23" x14ac:dyDescent="0.2">
      <c r="W4870" s="631"/>
    </row>
    <row r="4871" spans="23:23" x14ac:dyDescent="0.2">
      <c r="W4871" s="631"/>
    </row>
    <row r="4872" spans="23:23" x14ac:dyDescent="0.2">
      <c r="W4872" s="631"/>
    </row>
    <row r="4873" spans="23:23" x14ac:dyDescent="0.2">
      <c r="W4873" s="631"/>
    </row>
    <row r="4874" spans="23:23" x14ac:dyDescent="0.2">
      <c r="W4874" s="631"/>
    </row>
    <row r="4875" spans="23:23" x14ac:dyDescent="0.2">
      <c r="W4875" s="631"/>
    </row>
    <row r="4876" spans="23:23" x14ac:dyDescent="0.2">
      <c r="W4876" s="631"/>
    </row>
    <row r="4877" spans="23:23" x14ac:dyDescent="0.2">
      <c r="W4877" s="631"/>
    </row>
    <row r="4878" spans="23:23" x14ac:dyDescent="0.2">
      <c r="W4878" s="631"/>
    </row>
    <row r="4879" spans="23:23" x14ac:dyDescent="0.2">
      <c r="W4879" s="631"/>
    </row>
    <row r="4880" spans="23:23" x14ac:dyDescent="0.2">
      <c r="W4880" s="631"/>
    </row>
    <row r="4881" spans="23:23" x14ac:dyDescent="0.2">
      <c r="W4881" s="631"/>
    </row>
    <row r="4882" spans="23:23" x14ac:dyDescent="0.2">
      <c r="W4882" s="631"/>
    </row>
    <row r="4883" spans="23:23" x14ac:dyDescent="0.2">
      <c r="W4883" s="631"/>
    </row>
    <row r="4884" spans="23:23" x14ac:dyDescent="0.2">
      <c r="W4884" s="631"/>
    </row>
    <row r="4885" spans="23:23" x14ac:dyDescent="0.2">
      <c r="W4885" s="631"/>
    </row>
    <row r="4886" spans="23:23" x14ac:dyDescent="0.2">
      <c r="W4886" s="631"/>
    </row>
    <row r="4887" spans="23:23" x14ac:dyDescent="0.2">
      <c r="W4887" s="631"/>
    </row>
    <row r="4888" spans="23:23" x14ac:dyDescent="0.2">
      <c r="W4888" s="631"/>
    </row>
    <row r="4889" spans="23:23" x14ac:dyDescent="0.2">
      <c r="W4889" s="631"/>
    </row>
    <row r="4890" spans="23:23" x14ac:dyDescent="0.2">
      <c r="W4890" s="631"/>
    </row>
    <row r="4891" spans="23:23" x14ac:dyDescent="0.2">
      <c r="W4891" s="631"/>
    </row>
    <row r="4892" spans="23:23" x14ac:dyDescent="0.2">
      <c r="W4892" s="631"/>
    </row>
    <row r="4893" spans="23:23" x14ac:dyDescent="0.2">
      <c r="W4893" s="631"/>
    </row>
    <row r="4894" spans="23:23" x14ac:dyDescent="0.2">
      <c r="W4894" s="631"/>
    </row>
    <row r="4895" spans="23:23" x14ac:dyDescent="0.2">
      <c r="W4895" s="631"/>
    </row>
    <row r="4896" spans="23:23" x14ac:dyDescent="0.2">
      <c r="W4896" s="631"/>
    </row>
    <row r="4897" spans="23:23" x14ac:dyDescent="0.2">
      <c r="W4897" s="631"/>
    </row>
    <row r="4898" spans="23:23" x14ac:dyDescent="0.2">
      <c r="W4898" s="631"/>
    </row>
    <row r="4899" spans="23:23" x14ac:dyDescent="0.2">
      <c r="W4899" s="631"/>
    </row>
    <row r="4900" spans="23:23" x14ac:dyDescent="0.2">
      <c r="W4900" s="631"/>
    </row>
    <row r="4901" spans="23:23" x14ac:dyDescent="0.2">
      <c r="W4901" s="631"/>
    </row>
    <row r="4902" spans="23:23" x14ac:dyDescent="0.2">
      <c r="W4902" s="631"/>
    </row>
    <row r="4903" spans="23:23" x14ac:dyDescent="0.2">
      <c r="W4903" s="631"/>
    </row>
    <row r="4904" spans="23:23" x14ac:dyDescent="0.2">
      <c r="W4904" s="631"/>
    </row>
    <row r="4905" spans="23:23" x14ac:dyDescent="0.2">
      <c r="W4905" s="631"/>
    </row>
    <row r="4906" spans="23:23" x14ac:dyDescent="0.2">
      <c r="W4906" s="631"/>
    </row>
    <row r="4907" spans="23:23" x14ac:dyDescent="0.2">
      <c r="W4907" s="631"/>
    </row>
    <row r="4908" spans="23:23" x14ac:dyDescent="0.2">
      <c r="W4908" s="631"/>
    </row>
    <row r="4909" spans="23:23" x14ac:dyDescent="0.2">
      <c r="W4909" s="631"/>
    </row>
    <row r="4910" spans="23:23" x14ac:dyDescent="0.2">
      <c r="W4910" s="631"/>
    </row>
    <row r="4911" spans="23:23" x14ac:dyDescent="0.2">
      <c r="W4911" s="631"/>
    </row>
    <row r="4912" spans="23:23" x14ac:dyDescent="0.2">
      <c r="W4912" s="631"/>
    </row>
    <row r="4913" spans="23:23" x14ac:dyDescent="0.2">
      <c r="W4913" s="631"/>
    </row>
    <row r="4914" spans="23:23" x14ac:dyDescent="0.2">
      <c r="W4914" s="631"/>
    </row>
    <row r="4915" spans="23:23" x14ac:dyDescent="0.2">
      <c r="W4915" s="631"/>
    </row>
    <row r="4916" spans="23:23" x14ac:dyDescent="0.2">
      <c r="W4916" s="631"/>
    </row>
    <row r="4917" spans="23:23" x14ac:dyDescent="0.2">
      <c r="W4917" s="631"/>
    </row>
    <row r="4918" spans="23:23" x14ac:dyDescent="0.2">
      <c r="W4918" s="631"/>
    </row>
    <row r="4919" spans="23:23" x14ac:dyDescent="0.2">
      <c r="W4919" s="631"/>
    </row>
    <row r="4920" spans="23:23" x14ac:dyDescent="0.2">
      <c r="W4920" s="631"/>
    </row>
    <row r="4921" spans="23:23" x14ac:dyDescent="0.2">
      <c r="W4921" s="631"/>
    </row>
    <row r="4922" spans="23:23" x14ac:dyDescent="0.2">
      <c r="W4922" s="631"/>
    </row>
    <row r="4923" spans="23:23" x14ac:dyDescent="0.2">
      <c r="W4923" s="631"/>
    </row>
    <row r="4924" spans="23:23" x14ac:dyDescent="0.2">
      <c r="W4924" s="631"/>
    </row>
    <row r="4925" spans="23:23" x14ac:dyDescent="0.2">
      <c r="W4925" s="631"/>
    </row>
    <row r="4926" spans="23:23" x14ac:dyDescent="0.2">
      <c r="W4926" s="631"/>
    </row>
    <row r="4927" spans="23:23" x14ac:dyDescent="0.2">
      <c r="W4927" s="631"/>
    </row>
    <row r="4928" spans="23:23" x14ac:dyDescent="0.2">
      <c r="W4928" s="631"/>
    </row>
    <row r="4929" spans="23:23" x14ac:dyDescent="0.2">
      <c r="W4929" s="631"/>
    </row>
    <row r="4930" spans="23:23" x14ac:dyDescent="0.2">
      <c r="W4930" s="631"/>
    </row>
    <row r="4931" spans="23:23" x14ac:dyDescent="0.2">
      <c r="W4931" s="631"/>
    </row>
    <row r="4932" spans="23:23" x14ac:dyDescent="0.2">
      <c r="W4932" s="631"/>
    </row>
    <row r="4933" spans="23:23" x14ac:dyDescent="0.2">
      <c r="W4933" s="631"/>
    </row>
    <row r="4934" spans="23:23" x14ac:dyDescent="0.2">
      <c r="W4934" s="631"/>
    </row>
    <row r="4935" spans="23:23" x14ac:dyDescent="0.2">
      <c r="W4935" s="631"/>
    </row>
    <row r="4936" spans="23:23" x14ac:dyDescent="0.2">
      <c r="W4936" s="631"/>
    </row>
    <row r="4937" spans="23:23" x14ac:dyDescent="0.2">
      <c r="W4937" s="631"/>
    </row>
    <row r="4938" spans="23:23" x14ac:dyDescent="0.2">
      <c r="W4938" s="631"/>
    </row>
    <row r="4939" spans="23:23" x14ac:dyDescent="0.2">
      <c r="W4939" s="631"/>
    </row>
    <row r="4940" spans="23:23" x14ac:dyDescent="0.2">
      <c r="W4940" s="631"/>
    </row>
    <row r="4941" spans="23:23" x14ac:dyDescent="0.2">
      <c r="W4941" s="631"/>
    </row>
    <row r="4942" spans="23:23" x14ac:dyDescent="0.2">
      <c r="W4942" s="631"/>
    </row>
    <row r="4943" spans="23:23" x14ac:dyDescent="0.2">
      <c r="W4943" s="631"/>
    </row>
    <row r="4944" spans="23:23" x14ac:dyDescent="0.2">
      <c r="W4944" s="631"/>
    </row>
    <row r="4945" spans="23:23" x14ac:dyDescent="0.2">
      <c r="W4945" s="631"/>
    </row>
    <row r="4946" spans="23:23" x14ac:dyDescent="0.2">
      <c r="W4946" s="631"/>
    </row>
    <row r="4947" spans="23:23" x14ac:dyDescent="0.2">
      <c r="W4947" s="631"/>
    </row>
    <row r="4948" spans="23:23" x14ac:dyDescent="0.2">
      <c r="W4948" s="631"/>
    </row>
    <row r="4949" spans="23:23" x14ac:dyDescent="0.2">
      <c r="W4949" s="631"/>
    </row>
    <row r="4950" spans="23:23" x14ac:dyDescent="0.2">
      <c r="W4950" s="631"/>
    </row>
    <row r="4951" spans="23:23" x14ac:dyDescent="0.2">
      <c r="W4951" s="631"/>
    </row>
    <row r="4952" spans="23:23" x14ac:dyDescent="0.2">
      <c r="W4952" s="631"/>
    </row>
    <row r="4953" spans="23:23" x14ac:dyDescent="0.2">
      <c r="W4953" s="631"/>
    </row>
    <row r="4954" spans="23:23" x14ac:dyDescent="0.2">
      <c r="W4954" s="631"/>
    </row>
    <row r="4955" spans="23:23" x14ac:dyDescent="0.2">
      <c r="W4955" s="631"/>
    </row>
    <row r="4956" spans="23:23" x14ac:dyDescent="0.2">
      <c r="W4956" s="631"/>
    </row>
    <row r="4957" spans="23:23" x14ac:dyDescent="0.2">
      <c r="W4957" s="631"/>
    </row>
    <row r="4958" spans="23:23" x14ac:dyDescent="0.2">
      <c r="W4958" s="631"/>
    </row>
    <row r="4959" spans="23:23" x14ac:dyDescent="0.2">
      <c r="W4959" s="631"/>
    </row>
    <row r="4960" spans="23:23" x14ac:dyDescent="0.2">
      <c r="W4960" s="631"/>
    </row>
    <row r="4961" spans="23:23" x14ac:dyDescent="0.2">
      <c r="W4961" s="631"/>
    </row>
    <row r="4962" spans="23:23" x14ac:dyDescent="0.2">
      <c r="W4962" s="631"/>
    </row>
    <row r="4963" spans="23:23" x14ac:dyDescent="0.2">
      <c r="W4963" s="631"/>
    </row>
    <row r="4964" spans="23:23" x14ac:dyDescent="0.2">
      <c r="W4964" s="631"/>
    </row>
    <row r="4965" spans="23:23" x14ac:dyDescent="0.2">
      <c r="W4965" s="631"/>
    </row>
    <row r="4966" spans="23:23" x14ac:dyDescent="0.2">
      <c r="W4966" s="631"/>
    </row>
    <row r="4967" spans="23:23" x14ac:dyDescent="0.2">
      <c r="W4967" s="631"/>
    </row>
    <row r="4968" spans="23:23" x14ac:dyDescent="0.2">
      <c r="W4968" s="631"/>
    </row>
    <row r="4969" spans="23:23" x14ac:dyDescent="0.2">
      <c r="W4969" s="631"/>
    </row>
    <row r="4970" spans="23:23" x14ac:dyDescent="0.2">
      <c r="W4970" s="631"/>
    </row>
    <row r="4971" spans="23:23" x14ac:dyDescent="0.2">
      <c r="W4971" s="631"/>
    </row>
    <row r="4972" spans="23:23" x14ac:dyDescent="0.2">
      <c r="W4972" s="631"/>
    </row>
    <row r="4973" spans="23:23" x14ac:dyDescent="0.2">
      <c r="W4973" s="631"/>
    </row>
    <row r="4974" spans="23:23" x14ac:dyDescent="0.2">
      <c r="W4974" s="631"/>
    </row>
    <row r="4975" spans="23:23" x14ac:dyDescent="0.2">
      <c r="W4975" s="631"/>
    </row>
    <row r="4976" spans="23:23" x14ac:dyDescent="0.2">
      <c r="W4976" s="631"/>
    </row>
    <row r="4977" spans="23:23" x14ac:dyDescent="0.2">
      <c r="W4977" s="631"/>
    </row>
    <row r="4978" spans="23:23" x14ac:dyDescent="0.2">
      <c r="W4978" s="631"/>
    </row>
    <row r="4979" spans="23:23" x14ac:dyDescent="0.2">
      <c r="W4979" s="631"/>
    </row>
    <row r="4980" spans="23:23" x14ac:dyDescent="0.2">
      <c r="W4980" s="631"/>
    </row>
    <row r="4981" spans="23:23" x14ac:dyDescent="0.2">
      <c r="W4981" s="631"/>
    </row>
    <row r="4982" spans="23:23" x14ac:dyDescent="0.2">
      <c r="W4982" s="631"/>
    </row>
    <row r="4983" spans="23:23" x14ac:dyDescent="0.2">
      <c r="W4983" s="631"/>
    </row>
    <row r="4984" spans="23:23" x14ac:dyDescent="0.2">
      <c r="W4984" s="631"/>
    </row>
    <row r="4985" spans="23:23" x14ac:dyDescent="0.2">
      <c r="W4985" s="631"/>
    </row>
    <row r="4986" spans="23:23" x14ac:dyDescent="0.2">
      <c r="W4986" s="631"/>
    </row>
    <row r="4987" spans="23:23" x14ac:dyDescent="0.2">
      <c r="W4987" s="631"/>
    </row>
    <row r="4988" spans="23:23" x14ac:dyDescent="0.2">
      <c r="W4988" s="631"/>
    </row>
    <row r="4989" spans="23:23" x14ac:dyDescent="0.2">
      <c r="W4989" s="631"/>
    </row>
    <row r="4990" spans="23:23" x14ac:dyDescent="0.2">
      <c r="W4990" s="631"/>
    </row>
    <row r="4991" spans="23:23" x14ac:dyDescent="0.2">
      <c r="W4991" s="631"/>
    </row>
    <row r="4992" spans="23:23" x14ac:dyDescent="0.2">
      <c r="W4992" s="631"/>
    </row>
    <row r="4993" spans="23:23" x14ac:dyDescent="0.2">
      <c r="W4993" s="631"/>
    </row>
    <row r="4994" spans="23:23" x14ac:dyDescent="0.2">
      <c r="W4994" s="631"/>
    </row>
    <row r="4995" spans="23:23" x14ac:dyDescent="0.2">
      <c r="W4995" s="631"/>
    </row>
    <row r="4996" spans="23:23" x14ac:dyDescent="0.2">
      <c r="W4996" s="631"/>
    </row>
    <row r="4997" spans="23:23" x14ac:dyDescent="0.2">
      <c r="W4997" s="631"/>
    </row>
    <row r="4998" spans="23:23" x14ac:dyDescent="0.2">
      <c r="W4998" s="631"/>
    </row>
    <row r="4999" spans="23:23" x14ac:dyDescent="0.2">
      <c r="W4999" s="631"/>
    </row>
    <row r="5000" spans="23:23" x14ac:dyDescent="0.2">
      <c r="W5000" s="631"/>
    </row>
    <row r="5001" spans="23:23" x14ac:dyDescent="0.2">
      <c r="W5001" s="631"/>
    </row>
    <row r="5002" spans="23:23" x14ac:dyDescent="0.2">
      <c r="W5002" s="631"/>
    </row>
    <row r="5003" spans="23:23" x14ac:dyDescent="0.2">
      <c r="W5003" s="631"/>
    </row>
    <row r="5004" spans="23:23" x14ac:dyDescent="0.2">
      <c r="W5004" s="631"/>
    </row>
    <row r="5005" spans="23:23" x14ac:dyDescent="0.2">
      <c r="W5005" s="631"/>
    </row>
    <row r="5006" spans="23:23" x14ac:dyDescent="0.2">
      <c r="W5006" s="631"/>
    </row>
    <row r="5007" spans="23:23" x14ac:dyDescent="0.2">
      <c r="W5007" s="631"/>
    </row>
    <row r="5008" spans="23:23" x14ac:dyDescent="0.2">
      <c r="W5008" s="631"/>
    </row>
    <row r="5009" spans="23:23" x14ac:dyDescent="0.2">
      <c r="W5009" s="631"/>
    </row>
    <row r="5010" spans="23:23" x14ac:dyDescent="0.2">
      <c r="W5010" s="631"/>
    </row>
    <row r="5011" spans="23:23" x14ac:dyDescent="0.2">
      <c r="W5011" s="631"/>
    </row>
    <row r="5012" spans="23:23" x14ac:dyDescent="0.2">
      <c r="W5012" s="631"/>
    </row>
    <row r="5013" spans="23:23" x14ac:dyDescent="0.2">
      <c r="W5013" s="631"/>
    </row>
    <row r="5014" spans="23:23" x14ac:dyDescent="0.2">
      <c r="W5014" s="631"/>
    </row>
    <row r="5015" spans="23:23" x14ac:dyDescent="0.2">
      <c r="W5015" s="631"/>
    </row>
    <row r="5016" spans="23:23" x14ac:dyDescent="0.2">
      <c r="W5016" s="631"/>
    </row>
    <row r="5017" spans="23:23" x14ac:dyDescent="0.2">
      <c r="W5017" s="631"/>
    </row>
    <row r="5018" spans="23:23" x14ac:dyDescent="0.2">
      <c r="W5018" s="631"/>
    </row>
    <row r="5019" spans="23:23" x14ac:dyDescent="0.2">
      <c r="W5019" s="631"/>
    </row>
    <row r="5020" spans="23:23" x14ac:dyDescent="0.2">
      <c r="W5020" s="631"/>
    </row>
    <row r="5021" spans="23:23" x14ac:dyDescent="0.2">
      <c r="W5021" s="631"/>
    </row>
    <row r="5022" spans="23:23" x14ac:dyDescent="0.2">
      <c r="W5022" s="631"/>
    </row>
    <row r="5023" spans="23:23" x14ac:dyDescent="0.2">
      <c r="W5023" s="631"/>
    </row>
    <row r="5024" spans="23:23" x14ac:dyDescent="0.2">
      <c r="W5024" s="631"/>
    </row>
    <row r="5025" spans="23:23" x14ac:dyDescent="0.2">
      <c r="W5025" s="631"/>
    </row>
    <row r="5026" spans="23:23" x14ac:dyDescent="0.2">
      <c r="W5026" s="631"/>
    </row>
    <row r="5027" spans="23:23" x14ac:dyDescent="0.2">
      <c r="W5027" s="631"/>
    </row>
    <row r="5028" spans="23:23" x14ac:dyDescent="0.2">
      <c r="W5028" s="631"/>
    </row>
    <row r="5029" spans="23:23" x14ac:dyDescent="0.2">
      <c r="W5029" s="631"/>
    </row>
    <row r="5030" spans="23:23" x14ac:dyDescent="0.2">
      <c r="W5030" s="631"/>
    </row>
    <row r="5031" spans="23:23" x14ac:dyDescent="0.2">
      <c r="W5031" s="631"/>
    </row>
    <row r="5032" spans="23:23" x14ac:dyDescent="0.2">
      <c r="W5032" s="631"/>
    </row>
    <row r="5033" spans="23:23" x14ac:dyDescent="0.2">
      <c r="W5033" s="631"/>
    </row>
    <row r="5034" spans="23:23" x14ac:dyDescent="0.2">
      <c r="W5034" s="631"/>
    </row>
    <row r="5035" spans="23:23" x14ac:dyDescent="0.2">
      <c r="W5035" s="631"/>
    </row>
    <row r="5036" spans="23:23" x14ac:dyDescent="0.2">
      <c r="W5036" s="631"/>
    </row>
    <row r="5037" spans="23:23" x14ac:dyDescent="0.2">
      <c r="W5037" s="631"/>
    </row>
    <row r="5038" spans="23:23" x14ac:dyDescent="0.2">
      <c r="W5038" s="631"/>
    </row>
    <row r="5039" spans="23:23" x14ac:dyDescent="0.2">
      <c r="W5039" s="631"/>
    </row>
    <row r="5040" spans="23:23" x14ac:dyDescent="0.2">
      <c r="W5040" s="631"/>
    </row>
    <row r="5041" spans="23:23" x14ac:dyDescent="0.2">
      <c r="W5041" s="631"/>
    </row>
    <row r="5042" spans="23:23" x14ac:dyDescent="0.2">
      <c r="W5042" s="631"/>
    </row>
    <row r="5043" spans="23:23" x14ac:dyDescent="0.2">
      <c r="W5043" s="631"/>
    </row>
    <row r="5044" spans="23:23" x14ac:dyDescent="0.2">
      <c r="W5044" s="631"/>
    </row>
    <row r="5045" spans="23:23" x14ac:dyDescent="0.2">
      <c r="W5045" s="631"/>
    </row>
    <row r="5046" spans="23:23" x14ac:dyDescent="0.2">
      <c r="W5046" s="631"/>
    </row>
    <row r="5047" spans="23:23" x14ac:dyDescent="0.2">
      <c r="W5047" s="631"/>
    </row>
    <row r="5048" spans="23:23" x14ac:dyDescent="0.2">
      <c r="W5048" s="631"/>
    </row>
    <row r="5049" spans="23:23" x14ac:dyDescent="0.2">
      <c r="W5049" s="631"/>
    </row>
    <row r="5050" spans="23:23" x14ac:dyDescent="0.2">
      <c r="W5050" s="631"/>
    </row>
    <row r="5051" spans="23:23" x14ac:dyDescent="0.2">
      <c r="W5051" s="631"/>
    </row>
    <row r="5052" spans="23:23" x14ac:dyDescent="0.2">
      <c r="W5052" s="631"/>
    </row>
    <row r="5053" spans="23:23" x14ac:dyDescent="0.2">
      <c r="W5053" s="631"/>
    </row>
    <row r="5054" spans="23:23" x14ac:dyDescent="0.2">
      <c r="W5054" s="631"/>
    </row>
    <row r="5055" spans="23:23" x14ac:dyDescent="0.2">
      <c r="W5055" s="631"/>
    </row>
    <row r="5056" spans="23:23" x14ac:dyDescent="0.2">
      <c r="W5056" s="631"/>
    </row>
    <row r="5057" spans="23:23" x14ac:dyDescent="0.2">
      <c r="W5057" s="631"/>
    </row>
    <row r="5058" spans="23:23" x14ac:dyDescent="0.2">
      <c r="W5058" s="631"/>
    </row>
    <row r="5059" spans="23:23" x14ac:dyDescent="0.2">
      <c r="W5059" s="631"/>
    </row>
    <row r="5060" spans="23:23" x14ac:dyDescent="0.2">
      <c r="W5060" s="631"/>
    </row>
    <row r="5061" spans="23:23" x14ac:dyDescent="0.2">
      <c r="W5061" s="631"/>
    </row>
    <row r="5062" spans="23:23" x14ac:dyDescent="0.2">
      <c r="W5062" s="631"/>
    </row>
    <row r="5063" spans="23:23" x14ac:dyDescent="0.2">
      <c r="W5063" s="631"/>
    </row>
    <row r="5064" spans="23:23" x14ac:dyDescent="0.2">
      <c r="W5064" s="631"/>
    </row>
    <row r="5065" spans="23:23" x14ac:dyDescent="0.2">
      <c r="W5065" s="631"/>
    </row>
    <row r="5066" spans="23:23" x14ac:dyDescent="0.2">
      <c r="W5066" s="631"/>
    </row>
    <row r="5067" spans="23:23" x14ac:dyDescent="0.2">
      <c r="W5067" s="631"/>
    </row>
    <row r="5068" spans="23:23" x14ac:dyDescent="0.2">
      <c r="W5068" s="631"/>
    </row>
    <row r="5069" spans="23:23" x14ac:dyDescent="0.2">
      <c r="W5069" s="631"/>
    </row>
    <row r="5070" spans="23:23" x14ac:dyDescent="0.2">
      <c r="W5070" s="631"/>
    </row>
    <row r="5071" spans="23:23" x14ac:dyDescent="0.2">
      <c r="W5071" s="631"/>
    </row>
    <row r="5072" spans="23:23" x14ac:dyDescent="0.2">
      <c r="W5072" s="631"/>
    </row>
    <row r="5073" spans="23:23" x14ac:dyDescent="0.2">
      <c r="W5073" s="631"/>
    </row>
    <row r="5074" spans="23:23" x14ac:dyDescent="0.2">
      <c r="W5074" s="631"/>
    </row>
    <row r="5075" spans="23:23" x14ac:dyDescent="0.2">
      <c r="W5075" s="631"/>
    </row>
    <row r="5076" spans="23:23" x14ac:dyDescent="0.2">
      <c r="W5076" s="631"/>
    </row>
    <row r="5077" spans="23:23" x14ac:dyDescent="0.2">
      <c r="W5077" s="631"/>
    </row>
    <row r="5078" spans="23:23" x14ac:dyDescent="0.2">
      <c r="W5078" s="631"/>
    </row>
    <row r="5079" spans="23:23" x14ac:dyDescent="0.2">
      <c r="W5079" s="631"/>
    </row>
    <row r="5080" spans="23:23" x14ac:dyDescent="0.2">
      <c r="W5080" s="631"/>
    </row>
    <row r="5081" spans="23:23" x14ac:dyDescent="0.2">
      <c r="W5081" s="631"/>
    </row>
    <row r="5082" spans="23:23" x14ac:dyDescent="0.2">
      <c r="W5082" s="631"/>
    </row>
    <row r="5083" spans="23:23" x14ac:dyDescent="0.2">
      <c r="W5083" s="631"/>
    </row>
    <row r="5084" spans="23:23" x14ac:dyDescent="0.2">
      <c r="W5084" s="631"/>
    </row>
    <row r="5085" spans="23:23" x14ac:dyDescent="0.2">
      <c r="W5085" s="631"/>
    </row>
    <row r="5086" spans="23:23" x14ac:dyDescent="0.2">
      <c r="W5086" s="631"/>
    </row>
    <row r="5087" spans="23:23" x14ac:dyDescent="0.2">
      <c r="W5087" s="631"/>
    </row>
    <row r="5088" spans="23:23" x14ac:dyDescent="0.2">
      <c r="W5088" s="631"/>
    </row>
    <row r="5089" spans="23:23" x14ac:dyDescent="0.2">
      <c r="W5089" s="631"/>
    </row>
    <row r="5090" spans="23:23" x14ac:dyDescent="0.2">
      <c r="W5090" s="631"/>
    </row>
    <row r="5091" spans="23:23" x14ac:dyDescent="0.2">
      <c r="W5091" s="631"/>
    </row>
    <row r="5092" spans="23:23" x14ac:dyDescent="0.2">
      <c r="W5092" s="631"/>
    </row>
    <row r="5093" spans="23:23" x14ac:dyDescent="0.2">
      <c r="W5093" s="631"/>
    </row>
    <row r="5094" spans="23:23" x14ac:dyDescent="0.2">
      <c r="W5094" s="631"/>
    </row>
    <row r="5095" spans="23:23" x14ac:dyDescent="0.2">
      <c r="W5095" s="631"/>
    </row>
    <row r="5096" spans="23:23" x14ac:dyDescent="0.2">
      <c r="W5096" s="631"/>
    </row>
    <row r="5097" spans="23:23" x14ac:dyDescent="0.2">
      <c r="W5097" s="631"/>
    </row>
    <row r="5098" spans="23:23" x14ac:dyDescent="0.2">
      <c r="W5098" s="631"/>
    </row>
    <row r="5099" spans="23:23" x14ac:dyDescent="0.2">
      <c r="W5099" s="631"/>
    </row>
    <row r="5100" spans="23:23" x14ac:dyDescent="0.2">
      <c r="W5100" s="631"/>
    </row>
    <row r="5101" spans="23:23" x14ac:dyDescent="0.2">
      <c r="W5101" s="631"/>
    </row>
    <row r="5102" spans="23:23" x14ac:dyDescent="0.2">
      <c r="W5102" s="631"/>
    </row>
    <row r="5103" spans="23:23" x14ac:dyDescent="0.2">
      <c r="W5103" s="631"/>
    </row>
    <row r="5104" spans="23:23" x14ac:dyDescent="0.2">
      <c r="W5104" s="631"/>
    </row>
    <row r="5105" spans="23:23" x14ac:dyDescent="0.2">
      <c r="W5105" s="631"/>
    </row>
    <row r="5106" spans="23:23" x14ac:dyDescent="0.2">
      <c r="W5106" s="631"/>
    </row>
    <row r="5107" spans="23:23" x14ac:dyDescent="0.2">
      <c r="W5107" s="631"/>
    </row>
    <row r="5108" spans="23:23" x14ac:dyDescent="0.2">
      <c r="W5108" s="631"/>
    </row>
    <row r="5109" spans="23:23" x14ac:dyDescent="0.2">
      <c r="W5109" s="631"/>
    </row>
    <row r="5110" spans="23:23" x14ac:dyDescent="0.2">
      <c r="W5110" s="631"/>
    </row>
    <row r="5111" spans="23:23" x14ac:dyDescent="0.2">
      <c r="W5111" s="631"/>
    </row>
    <row r="5112" spans="23:23" x14ac:dyDescent="0.2">
      <c r="W5112" s="631"/>
    </row>
    <row r="5113" spans="23:23" x14ac:dyDescent="0.2">
      <c r="W5113" s="631"/>
    </row>
    <row r="5114" spans="23:23" x14ac:dyDescent="0.2">
      <c r="W5114" s="631"/>
    </row>
    <row r="5115" spans="23:23" x14ac:dyDescent="0.2">
      <c r="W5115" s="631"/>
    </row>
    <row r="5116" spans="23:23" x14ac:dyDescent="0.2">
      <c r="W5116" s="631"/>
    </row>
    <row r="5117" spans="23:23" x14ac:dyDescent="0.2">
      <c r="W5117" s="631"/>
    </row>
    <row r="5118" spans="23:23" x14ac:dyDescent="0.2">
      <c r="W5118" s="631"/>
    </row>
    <row r="5119" spans="23:23" x14ac:dyDescent="0.2">
      <c r="W5119" s="631"/>
    </row>
    <row r="5120" spans="23:23" x14ac:dyDescent="0.2">
      <c r="W5120" s="631"/>
    </row>
    <row r="5121" spans="23:23" x14ac:dyDescent="0.2">
      <c r="W5121" s="631"/>
    </row>
    <row r="5122" spans="23:23" x14ac:dyDescent="0.2">
      <c r="W5122" s="631"/>
    </row>
    <row r="5123" spans="23:23" x14ac:dyDescent="0.2">
      <c r="W5123" s="631"/>
    </row>
    <row r="5124" spans="23:23" x14ac:dyDescent="0.2">
      <c r="W5124" s="631"/>
    </row>
    <row r="5125" spans="23:23" x14ac:dyDescent="0.2">
      <c r="W5125" s="631"/>
    </row>
    <row r="5126" spans="23:23" x14ac:dyDescent="0.2">
      <c r="W5126" s="631"/>
    </row>
    <row r="5127" spans="23:23" x14ac:dyDescent="0.2">
      <c r="W5127" s="631"/>
    </row>
    <row r="5128" spans="23:23" x14ac:dyDescent="0.2">
      <c r="W5128" s="631"/>
    </row>
    <row r="5129" spans="23:23" x14ac:dyDescent="0.2">
      <c r="W5129" s="631"/>
    </row>
    <row r="5130" spans="23:23" x14ac:dyDescent="0.2">
      <c r="W5130" s="631"/>
    </row>
    <row r="5131" spans="23:23" x14ac:dyDescent="0.2">
      <c r="W5131" s="631"/>
    </row>
    <row r="5132" spans="23:23" x14ac:dyDescent="0.2">
      <c r="W5132" s="631"/>
    </row>
    <row r="5133" spans="23:23" x14ac:dyDescent="0.2">
      <c r="W5133" s="631"/>
    </row>
    <row r="5134" spans="23:23" x14ac:dyDescent="0.2">
      <c r="W5134" s="631"/>
    </row>
    <row r="5135" spans="23:23" x14ac:dyDescent="0.2">
      <c r="W5135" s="631"/>
    </row>
    <row r="5136" spans="23:23" x14ac:dyDescent="0.2">
      <c r="W5136" s="631"/>
    </row>
    <row r="5137" spans="23:23" x14ac:dyDescent="0.2">
      <c r="W5137" s="631"/>
    </row>
    <row r="5138" spans="23:23" x14ac:dyDescent="0.2">
      <c r="W5138" s="631"/>
    </row>
    <row r="5139" spans="23:23" x14ac:dyDescent="0.2">
      <c r="W5139" s="631"/>
    </row>
    <row r="5140" spans="23:23" x14ac:dyDescent="0.2">
      <c r="W5140" s="631"/>
    </row>
    <row r="5141" spans="23:23" x14ac:dyDescent="0.2">
      <c r="W5141" s="631"/>
    </row>
    <row r="5142" spans="23:23" x14ac:dyDescent="0.2">
      <c r="W5142" s="631"/>
    </row>
    <row r="5143" spans="23:23" x14ac:dyDescent="0.2">
      <c r="W5143" s="631"/>
    </row>
    <row r="5144" spans="23:23" x14ac:dyDescent="0.2">
      <c r="W5144" s="631"/>
    </row>
    <row r="5145" spans="23:23" x14ac:dyDescent="0.2">
      <c r="W5145" s="631"/>
    </row>
    <row r="5146" spans="23:23" x14ac:dyDescent="0.2">
      <c r="W5146" s="631"/>
    </row>
    <row r="5147" spans="23:23" x14ac:dyDescent="0.2">
      <c r="W5147" s="631"/>
    </row>
    <row r="5148" spans="23:23" x14ac:dyDescent="0.2">
      <c r="W5148" s="631"/>
    </row>
    <row r="5149" spans="23:23" x14ac:dyDescent="0.2">
      <c r="W5149" s="631"/>
    </row>
    <row r="5150" spans="23:23" x14ac:dyDescent="0.2">
      <c r="W5150" s="631"/>
    </row>
    <row r="5151" spans="23:23" x14ac:dyDescent="0.2">
      <c r="W5151" s="631"/>
    </row>
    <row r="5152" spans="23:23" x14ac:dyDescent="0.2">
      <c r="W5152" s="631"/>
    </row>
    <row r="5153" spans="23:23" x14ac:dyDescent="0.2">
      <c r="W5153" s="631"/>
    </row>
    <row r="5154" spans="23:23" x14ac:dyDescent="0.2">
      <c r="W5154" s="631"/>
    </row>
    <row r="5155" spans="23:23" x14ac:dyDescent="0.2">
      <c r="W5155" s="631"/>
    </row>
    <row r="5156" spans="23:23" x14ac:dyDescent="0.2">
      <c r="W5156" s="631"/>
    </row>
    <row r="5157" spans="23:23" x14ac:dyDescent="0.2">
      <c r="W5157" s="631"/>
    </row>
    <row r="5158" spans="23:23" x14ac:dyDescent="0.2">
      <c r="W5158" s="631"/>
    </row>
    <row r="5159" spans="23:23" x14ac:dyDescent="0.2">
      <c r="W5159" s="631"/>
    </row>
    <row r="5160" spans="23:23" x14ac:dyDescent="0.2">
      <c r="W5160" s="631"/>
    </row>
    <row r="5161" spans="23:23" x14ac:dyDescent="0.2">
      <c r="W5161" s="631"/>
    </row>
    <row r="5162" spans="23:23" x14ac:dyDescent="0.2">
      <c r="W5162" s="631"/>
    </row>
    <row r="5163" spans="23:23" x14ac:dyDescent="0.2">
      <c r="W5163" s="631"/>
    </row>
    <row r="5164" spans="23:23" x14ac:dyDescent="0.2">
      <c r="W5164" s="631"/>
    </row>
    <row r="5165" spans="23:23" x14ac:dyDescent="0.2">
      <c r="W5165" s="631"/>
    </row>
    <row r="5166" spans="23:23" x14ac:dyDescent="0.2">
      <c r="W5166" s="631"/>
    </row>
    <row r="5167" spans="23:23" x14ac:dyDescent="0.2">
      <c r="W5167" s="631"/>
    </row>
    <row r="5168" spans="23:23" x14ac:dyDescent="0.2">
      <c r="W5168" s="631"/>
    </row>
    <row r="5169" spans="23:23" x14ac:dyDescent="0.2">
      <c r="W5169" s="631"/>
    </row>
    <row r="5170" spans="23:23" x14ac:dyDescent="0.2">
      <c r="W5170" s="631"/>
    </row>
    <row r="5171" spans="23:23" x14ac:dyDescent="0.2">
      <c r="W5171" s="631"/>
    </row>
    <row r="5172" spans="23:23" x14ac:dyDescent="0.2">
      <c r="W5172" s="631"/>
    </row>
    <row r="5173" spans="23:23" x14ac:dyDescent="0.2">
      <c r="W5173" s="631"/>
    </row>
    <row r="5174" spans="23:23" x14ac:dyDescent="0.2">
      <c r="W5174" s="631"/>
    </row>
    <row r="5175" spans="23:23" x14ac:dyDescent="0.2">
      <c r="W5175" s="631"/>
    </row>
    <row r="5176" spans="23:23" x14ac:dyDescent="0.2">
      <c r="W5176" s="631"/>
    </row>
    <row r="5177" spans="23:23" x14ac:dyDescent="0.2">
      <c r="W5177" s="631"/>
    </row>
    <row r="5178" spans="23:23" x14ac:dyDescent="0.2">
      <c r="W5178" s="631"/>
    </row>
    <row r="5179" spans="23:23" x14ac:dyDescent="0.2">
      <c r="W5179" s="631"/>
    </row>
    <row r="5180" spans="23:23" x14ac:dyDescent="0.2">
      <c r="W5180" s="631"/>
    </row>
    <row r="5181" spans="23:23" x14ac:dyDescent="0.2">
      <c r="W5181" s="631"/>
    </row>
    <row r="5182" spans="23:23" x14ac:dyDescent="0.2">
      <c r="W5182" s="631"/>
    </row>
    <row r="5183" spans="23:23" x14ac:dyDescent="0.2">
      <c r="W5183" s="631"/>
    </row>
    <row r="5184" spans="23:23" x14ac:dyDescent="0.2">
      <c r="W5184" s="631"/>
    </row>
    <row r="5185" spans="23:23" x14ac:dyDescent="0.2">
      <c r="W5185" s="631"/>
    </row>
    <row r="5186" spans="23:23" x14ac:dyDescent="0.2">
      <c r="W5186" s="631"/>
    </row>
    <row r="5187" spans="23:23" x14ac:dyDescent="0.2">
      <c r="W5187" s="631"/>
    </row>
    <row r="5188" spans="23:23" x14ac:dyDescent="0.2">
      <c r="W5188" s="631"/>
    </row>
    <row r="5189" spans="23:23" x14ac:dyDescent="0.2">
      <c r="W5189" s="631"/>
    </row>
    <row r="5190" spans="23:23" x14ac:dyDescent="0.2">
      <c r="W5190" s="631"/>
    </row>
    <row r="5191" spans="23:23" x14ac:dyDescent="0.2">
      <c r="W5191" s="631"/>
    </row>
    <row r="5192" spans="23:23" x14ac:dyDescent="0.2">
      <c r="W5192" s="631"/>
    </row>
    <row r="5193" spans="23:23" x14ac:dyDescent="0.2">
      <c r="W5193" s="631"/>
    </row>
    <row r="5194" spans="23:23" x14ac:dyDescent="0.2">
      <c r="W5194" s="631"/>
    </row>
    <row r="5195" spans="23:23" x14ac:dyDescent="0.2">
      <c r="W5195" s="631"/>
    </row>
    <row r="5196" spans="23:23" x14ac:dyDescent="0.2">
      <c r="W5196" s="631"/>
    </row>
    <row r="5197" spans="23:23" x14ac:dyDescent="0.2">
      <c r="W5197" s="631"/>
    </row>
    <row r="5198" spans="23:23" x14ac:dyDescent="0.2">
      <c r="W5198" s="631"/>
    </row>
    <row r="5199" spans="23:23" x14ac:dyDescent="0.2">
      <c r="W5199" s="631"/>
    </row>
    <row r="5200" spans="23:23" x14ac:dyDescent="0.2">
      <c r="W5200" s="631"/>
    </row>
    <row r="5201" spans="23:23" x14ac:dyDescent="0.2">
      <c r="W5201" s="631"/>
    </row>
    <row r="5202" spans="23:23" x14ac:dyDescent="0.2">
      <c r="W5202" s="631"/>
    </row>
    <row r="5203" spans="23:23" x14ac:dyDescent="0.2">
      <c r="W5203" s="631"/>
    </row>
    <row r="5204" spans="23:23" x14ac:dyDescent="0.2">
      <c r="W5204" s="631"/>
    </row>
    <row r="5205" spans="23:23" x14ac:dyDescent="0.2">
      <c r="W5205" s="631"/>
    </row>
    <row r="5206" spans="23:23" x14ac:dyDescent="0.2">
      <c r="W5206" s="631"/>
    </row>
    <row r="5207" spans="23:23" x14ac:dyDescent="0.2">
      <c r="W5207" s="631"/>
    </row>
    <row r="5208" spans="23:23" x14ac:dyDescent="0.2">
      <c r="W5208" s="631"/>
    </row>
    <row r="5209" spans="23:23" x14ac:dyDescent="0.2">
      <c r="W5209" s="631"/>
    </row>
    <row r="5210" spans="23:23" x14ac:dyDescent="0.2">
      <c r="W5210" s="631"/>
    </row>
    <row r="5211" spans="23:23" x14ac:dyDescent="0.2">
      <c r="W5211" s="631"/>
    </row>
    <row r="5212" spans="23:23" x14ac:dyDescent="0.2">
      <c r="W5212" s="631"/>
    </row>
    <row r="5213" spans="23:23" x14ac:dyDescent="0.2">
      <c r="W5213" s="631"/>
    </row>
    <row r="5214" spans="23:23" x14ac:dyDescent="0.2">
      <c r="W5214" s="631"/>
    </row>
    <row r="5215" spans="23:23" x14ac:dyDescent="0.2">
      <c r="W5215" s="631"/>
    </row>
    <row r="5216" spans="23:23" x14ac:dyDescent="0.2">
      <c r="W5216" s="631"/>
    </row>
    <row r="5217" spans="23:23" x14ac:dyDescent="0.2">
      <c r="W5217" s="631"/>
    </row>
    <row r="5218" spans="23:23" x14ac:dyDescent="0.2">
      <c r="W5218" s="631"/>
    </row>
    <row r="5219" spans="23:23" x14ac:dyDescent="0.2">
      <c r="W5219" s="631"/>
    </row>
    <row r="5220" spans="23:23" x14ac:dyDescent="0.2">
      <c r="W5220" s="631"/>
    </row>
    <row r="5221" spans="23:23" x14ac:dyDescent="0.2">
      <c r="W5221" s="631"/>
    </row>
    <row r="5222" spans="23:23" x14ac:dyDescent="0.2">
      <c r="W5222" s="631"/>
    </row>
    <row r="5223" spans="23:23" x14ac:dyDescent="0.2">
      <c r="W5223" s="631"/>
    </row>
    <row r="5224" spans="23:23" x14ac:dyDescent="0.2">
      <c r="W5224" s="631"/>
    </row>
    <row r="5225" spans="23:23" x14ac:dyDescent="0.2">
      <c r="W5225" s="631"/>
    </row>
    <row r="5226" spans="23:23" x14ac:dyDescent="0.2">
      <c r="W5226" s="631"/>
    </row>
    <row r="5227" spans="23:23" x14ac:dyDescent="0.2">
      <c r="W5227" s="631"/>
    </row>
    <row r="5228" spans="23:23" x14ac:dyDescent="0.2">
      <c r="W5228" s="631"/>
    </row>
    <row r="5229" spans="23:23" x14ac:dyDescent="0.2">
      <c r="W5229" s="631"/>
    </row>
    <row r="5230" spans="23:23" x14ac:dyDescent="0.2">
      <c r="W5230" s="631"/>
    </row>
    <row r="5231" spans="23:23" x14ac:dyDescent="0.2">
      <c r="W5231" s="631"/>
    </row>
    <row r="5232" spans="23:23" x14ac:dyDescent="0.2">
      <c r="W5232" s="631"/>
    </row>
    <row r="5233" spans="23:23" x14ac:dyDescent="0.2">
      <c r="W5233" s="631"/>
    </row>
    <row r="5234" spans="23:23" x14ac:dyDescent="0.2">
      <c r="W5234" s="631"/>
    </row>
    <row r="5235" spans="23:23" x14ac:dyDescent="0.2">
      <c r="W5235" s="631"/>
    </row>
    <row r="5236" spans="23:23" x14ac:dyDescent="0.2">
      <c r="W5236" s="631"/>
    </row>
    <row r="5237" spans="23:23" x14ac:dyDescent="0.2">
      <c r="W5237" s="631"/>
    </row>
    <row r="5238" spans="23:23" x14ac:dyDescent="0.2">
      <c r="W5238" s="631"/>
    </row>
    <row r="5239" spans="23:23" x14ac:dyDescent="0.2">
      <c r="W5239" s="631"/>
    </row>
    <row r="5240" spans="23:23" x14ac:dyDescent="0.2">
      <c r="W5240" s="631"/>
    </row>
    <row r="5241" spans="23:23" x14ac:dyDescent="0.2">
      <c r="W5241" s="631"/>
    </row>
    <row r="5242" spans="23:23" x14ac:dyDescent="0.2">
      <c r="W5242" s="631"/>
    </row>
    <row r="5243" spans="23:23" x14ac:dyDescent="0.2">
      <c r="W5243" s="631"/>
    </row>
    <row r="5244" spans="23:23" x14ac:dyDescent="0.2">
      <c r="W5244" s="631"/>
    </row>
    <row r="5245" spans="23:23" x14ac:dyDescent="0.2">
      <c r="W5245" s="631"/>
    </row>
    <row r="5246" spans="23:23" x14ac:dyDescent="0.2">
      <c r="W5246" s="631"/>
    </row>
    <row r="5247" spans="23:23" x14ac:dyDescent="0.2">
      <c r="W5247" s="631"/>
    </row>
    <row r="5248" spans="23:23" x14ac:dyDescent="0.2">
      <c r="W5248" s="631"/>
    </row>
    <row r="5249" spans="23:23" x14ac:dyDescent="0.2">
      <c r="W5249" s="631"/>
    </row>
    <row r="5250" spans="23:23" x14ac:dyDescent="0.2">
      <c r="W5250" s="631"/>
    </row>
    <row r="5251" spans="23:23" x14ac:dyDescent="0.2">
      <c r="W5251" s="631"/>
    </row>
    <row r="5252" spans="23:23" x14ac:dyDescent="0.2">
      <c r="W5252" s="631"/>
    </row>
    <row r="5253" spans="23:23" x14ac:dyDescent="0.2">
      <c r="W5253" s="631"/>
    </row>
    <row r="5254" spans="23:23" x14ac:dyDescent="0.2">
      <c r="W5254" s="631"/>
    </row>
    <row r="5255" spans="23:23" x14ac:dyDescent="0.2">
      <c r="W5255" s="631"/>
    </row>
    <row r="5256" spans="23:23" x14ac:dyDescent="0.2">
      <c r="W5256" s="631"/>
    </row>
    <row r="5257" spans="23:23" x14ac:dyDescent="0.2">
      <c r="W5257" s="631"/>
    </row>
    <row r="5258" spans="23:23" x14ac:dyDescent="0.2">
      <c r="W5258" s="631"/>
    </row>
    <row r="5259" spans="23:23" x14ac:dyDescent="0.2">
      <c r="W5259" s="631"/>
    </row>
    <row r="5260" spans="23:23" x14ac:dyDescent="0.2">
      <c r="W5260" s="631"/>
    </row>
    <row r="5261" spans="23:23" x14ac:dyDescent="0.2">
      <c r="W5261" s="631"/>
    </row>
    <row r="5262" spans="23:23" x14ac:dyDescent="0.2">
      <c r="W5262" s="631"/>
    </row>
    <row r="5263" spans="23:23" x14ac:dyDescent="0.2">
      <c r="W5263" s="631"/>
    </row>
    <row r="5264" spans="23:23" x14ac:dyDescent="0.2">
      <c r="W5264" s="631"/>
    </row>
    <row r="5265" spans="23:23" x14ac:dyDescent="0.2">
      <c r="W5265" s="631"/>
    </row>
    <row r="5266" spans="23:23" x14ac:dyDescent="0.2">
      <c r="W5266" s="631"/>
    </row>
    <row r="5267" spans="23:23" x14ac:dyDescent="0.2">
      <c r="W5267" s="631"/>
    </row>
    <row r="5268" spans="23:23" x14ac:dyDescent="0.2">
      <c r="W5268" s="631"/>
    </row>
    <row r="5269" spans="23:23" x14ac:dyDescent="0.2">
      <c r="W5269" s="631"/>
    </row>
    <row r="5270" spans="23:23" x14ac:dyDescent="0.2">
      <c r="W5270" s="631"/>
    </row>
    <row r="5271" spans="23:23" x14ac:dyDescent="0.2">
      <c r="W5271" s="631"/>
    </row>
    <row r="5272" spans="23:23" x14ac:dyDescent="0.2">
      <c r="W5272" s="631"/>
    </row>
    <row r="5273" spans="23:23" x14ac:dyDescent="0.2">
      <c r="W5273" s="631"/>
    </row>
    <row r="5274" spans="23:23" x14ac:dyDescent="0.2">
      <c r="W5274" s="631"/>
    </row>
    <row r="5275" spans="23:23" x14ac:dyDescent="0.2">
      <c r="W5275" s="631"/>
    </row>
    <row r="5276" spans="23:23" x14ac:dyDescent="0.2">
      <c r="W5276" s="631"/>
    </row>
    <row r="5277" spans="23:23" x14ac:dyDescent="0.2">
      <c r="W5277" s="631"/>
    </row>
    <row r="5278" spans="23:23" x14ac:dyDescent="0.2">
      <c r="W5278" s="631"/>
    </row>
    <row r="5279" spans="23:23" x14ac:dyDescent="0.2">
      <c r="W5279" s="631"/>
    </row>
    <row r="5280" spans="23:23" x14ac:dyDescent="0.2">
      <c r="W5280" s="631"/>
    </row>
    <row r="5281" spans="23:23" x14ac:dyDescent="0.2">
      <c r="W5281" s="631"/>
    </row>
    <row r="5282" spans="23:23" x14ac:dyDescent="0.2">
      <c r="W5282" s="631"/>
    </row>
    <row r="5283" spans="23:23" x14ac:dyDescent="0.2">
      <c r="W5283" s="631"/>
    </row>
    <row r="5284" spans="23:23" x14ac:dyDescent="0.2">
      <c r="W5284" s="631"/>
    </row>
    <row r="5285" spans="23:23" x14ac:dyDescent="0.2">
      <c r="W5285" s="631"/>
    </row>
    <row r="5286" spans="23:23" x14ac:dyDescent="0.2">
      <c r="W5286" s="631"/>
    </row>
    <row r="5287" spans="23:23" x14ac:dyDescent="0.2">
      <c r="W5287" s="631"/>
    </row>
    <row r="5288" spans="23:23" x14ac:dyDescent="0.2">
      <c r="W5288" s="631"/>
    </row>
    <row r="5289" spans="23:23" x14ac:dyDescent="0.2">
      <c r="W5289" s="631"/>
    </row>
    <row r="5290" spans="23:23" x14ac:dyDescent="0.2">
      <c r="W5290" s="631"/>
    </row>
    <row r="5291" spans="23:23" x14ac:dyDescent="0.2">
      <c r="W5291" s="631"/>
    </row>
    <row r="5292" spans="23:23" x14ac:dyDescent="0.2">
      <c r="W5292" s="631"/>
    </row>
    <row r="5293" spans="23:23" x14ac:dyDescent="0.2">
      <c r="W5293" s="631"/>
    </row>
    <row r="5294" spans="23:23" x14ac:dyDescent="0.2">
      <c r="W5294" s="631"/>
    </row>
    <row r="5295" spans="23:23" x14ac:dyDescent="0.2">
      <c r="W5295" s="631"/>
    </row>
    <row r="5296" spans="23:23" x14ac:dyDescent="0.2">
      <c r="W5296" s="631"/>
    </row>
    <row r="5297" spans="23:23" x14ac:dyDescent="0.2">
      <c r="W5297" s="631"/>
    </row>
    <row r="5298" spans="23:23" x14ac:dyDescent="0.2">
      <c r="W5298" s="631"/>
    </row>
    <row r="5299" spans="23:23" x14ac:dyDescent="0.2">
      <c r="W5299" s="631"/>
    </row>
    <row r="5300" spans="23:23" x14ac:dyDescent="0.2">
      <c r="W5300" s="631"/>
    </row>
    <row r="5301" spans="23:23" x14ac:dyDescent="0.2">
      <c r="W5301" s="631"/>
    </row>
    <row r="5302" spans="23:23" x14ac:dyDescent="0.2">
      <c r="W5302" s="631"/>
    </row>
    <row r="5303" spans="23:23" x14ac:dyDescent="0.2">
      <c r="W5303" s="631"/>
    </row>
    <row r="5304" spans="23:23" x14ac:dyDescent="0.2">
      <c r="W5304" s="631"/>
    </row>
    <row r="5305" spans="23:23" x14ac:dyDescent="0.2">
      <c r="W5305" s="631"/>
    </row>
    <row r="5306" spans="23:23" x14ac:dyDescent="0.2">
      <c r="W5306" s="631"/>
    </row>
    <row r="5307" spans="23:23" x14ac:dyDescent="0.2">
      <c r="W5307" s="631"/>
    </row>
    <row r="5308" spans="23:23" x14ac:dyDescent="0.2">
      <c r="W5308" s="631"/>
    </row>
    <row r="5309" spans="23:23" x14ac:dyDescent="0.2">
      <c r="W5309" s="631"/>
    </row>
    <row r="5310" spans="23:23" x14ac:dyDescent="0.2">
      <c r="W5310" s="631"/>
    </row>
    <row r="5311" spans="23:23" x14ac:dyDescent="0.2">
      <c r="W5311" s="631"/>
    </row>
    <row r="5312" spans="23:23" x14ac:dyDescent="0.2">
      <c r="W5312" s="631"/>
    </row>
    <row r="5313" spans="23:23" x14ac:dyDescent="0.2">
      <c r="W5313" s="631"/>
    </row>
    <row r="5314" spans="23:23" x14ac:dyDescent="0.2">
      <c r="W5314" s="631"/>
    </row>
    <row r="5315" spans="23:23" x14ac:dyDescent="0.2">
      <c r="W5315" s="631"/>
    </row>
    <row r="5316" spans="23:23" x14ac:dyDescent="0.2">
      <c r="W5316" s="631"/>
    </row>
    <row r="5317" spans="23:23" x14ac:dyDescent="0.2">
      <c r="W5317" s="631"/>
    </row>
    <row r="5318" spans="23:23" x14ac:dyDescent="0.2">
      <c r="W5318" s="631"/>
    </row>
    <row r="5319" spans="23:23" x14ac:dyDescent="0.2">
      <c r="W5319" s="631"/>
    </row>
    <row r="5320" spans="23:23" x14ac:dyDescent="0.2">
      <c r="W5320" s="631"/>
    </row>
    <row r="5321" spans="23:23" x14ac:dyDescent="0.2">
      <c r="W5321" s="631"/>
    </row>
    <row r="5322" spans="23:23" x14ac:dyDescent="0.2">
      <c r="W5322" s="631"/>
    </row>
    <row r="5323" spans="23:23" x14ac:dyDescent="0.2">
      <c r="W5323" s="631"/>
    </row>
    <row r="5324" spans="23:23" x14ac:dyDescent="0.2">
      <c r="W5324" s="631"/>
    </row>
    <row r="5325" spans="23:23" x14ac:dyDescent="0.2">
      <c r="W5325" s="631"/>
    </row>
    <row r="5326" spans="23:23" x14ac:dyDescent="0.2">
      <c r="W5326" s="631"/>
    </row>
    <row r="5327" spans="23:23" x14ac:dyDescent="0.2">
      <c r="W5327" s="631"/>
    </row>
    <row r="5328" spans="23:23" x14ac:dyDescent="0.2">
      <c r="W5328" s="631"/>
    </row>
    <row r="5329" spans="23:23" x14ac:dyDescent="0.2">
      <c r="W5329" s="631"/>
    </row>
    <row r="5330" spans="23:23" x14ac:dyDescent="0.2">
      <c r="W5330" s="631"/>
    </row>
    <row r="5331" spans="23:23" x14ac:dyDescent="0.2">
      <c r="W5331" s="631"/>
    </row>
    <row r="5332" spans="23:23" x14ac:dyDescent="0.2">
      <c r="W5332" s="631"/>
    </row>
    <row r="5333" spans="23:23" x14ac:dyDescent="0.2">
      <c r="W5333" s="631"/>
    </row>
    <row r="5334" spans="23:23" x14ac:dyDescent="0.2">
      <c r="W5334" s="631"/>
    </row>
    <row r="5335" spans="23:23" x14ac:dyDescent="0.2">
      <c r="W5335" s="631"/>
    </row>
    <row r="5336" spans="23:23" x14ac:dyDescent="0.2">
      <c r="W5336" s="631"/>
    </row>
    <row r="5337" spans="23:23" x14ac:dyDescent="0.2">
      <c r="W5337" s="631"/>
    </row>
    <row r="5338" spans="23:23" x14ac:dyDescent="0.2">
      <c r="W5338" s="631"/>
    </row>
    <row r="5339" spans="23:23" x14ac:dyDescent="0.2">
      <c r="W5339" s="631"/>
    </row>
    <row r="5340" spans="23:23" x14ac:dyDescent="0.2">
      <c r="W5340" s="631"/>
    </row>
    <row r="5341" spans="23:23" x14ac:dyDescent="0.2">
      <c r="W5341" s="631"/>
    </row>
    <row r="5342" spans="23:23" x14ac:dyDescent="0.2">
      <c r="W5342" s="631"/>
    </row>
    <row r="5343" spans="23:23" x14ac:dyDescent="0.2">
      <c r="W5343" s="631"/>
    </row>
    <row r="5344" spans="23:23" x14ac:dyDescent="0.2">
      <c r="W5344" s="631"/>
    </row>
    <row r="5345" spans="23:23" x14ac:dyDescent="0.2">
      <c r="W5345" s="631"/>
    </row>
    <row r="5346" spans="23:23" x14ac:dyDescent="0.2">
      <c r="W5346" s="631"/>
    </row>
    <row r="5347" spans="23:23" x14ac:dyDescent="0.2">
      <c r="W5347" s="631"/>
    </row>
    <row r="5348" spans="23:23" x14ac:dyDescent="0.2">
      <c r="W5348" s="631"/>
    </row>
    <row r="5349" spans="23:23" x14ac:dyDescent="0.2">
      <c r="W5349" s="631"/>
    </row>
    <row r="5350" spans="23:23" x14ac:dyDescent="0.2">
      <c r="W5350" s="631"/>
    </row>
    <row r="5351" spans="23:23" x14ac:dyDescent="0.2">
      <c r="W5351" s="631"/>
    </row>
    <row r="5352" spans="23:23" x14ac:dyDescent="0.2">
      <c r="W5352" s="631"/>
    </row>
    <row r="5353" spans="23:23" x14ac:dyDescent="0.2">
      <c r="W5353" s="631"/>
    </row>
    <row r="5354" spans="23:23" x14ac:dyDescent="0.2">
      <c r="W5354" s="631"/>
    </row>
    <row r="5355" spans="23:23" x14ac:dyDescent="0.2">
      <c r="W5355" s="631"/>
    </row>
    <row r="5356" spans="23:23" x14ac:dyDescent="0.2">
      <c r="W5356" s="631"/>
    </row>
    <row r="5357" spans="23:23" x14ac:dyDescent="0.2">
      <c r="W5357" s="631"/>
    </row>
    <row r="5358" spans="23:23" x14ac:dyDescent="0.2">
      <c r="W5358" s="631"/>
    </row>
    <row r="5359" spans="23:23" x14ac:dyDescent="0.2">
      <c r="W5359" s="631"/>
    </row>
    <row r="5360" spans="23:23" x14ac:dyDescent="0.2">
      <c r="W5360" s="631"/>
    </row>
    <row r="5361" spans="23:23" x14ac:dyDescent="0.2">
      <c r="W5361" s="631"/>
    </row>
    <row r="5362" spans="23:23" x14ac:dyDescent="0.2">
      <c r="W5362" s="631"/>
    </row>
    <row r="5363" spans="23:23" x14ac:dyDescent="0.2">
      <c r="W5363" s="631"/>
    </row>
    <row r="5364" spans="23:23" x14ac:dyDescent="0.2">
      <c r="W5364" s="631"/>
    </row>
    <row r="5365" spans="23:23" x14ac:dyDescent="0.2">
      <c r="W5365" s="631"/>
    </row>
    <row r="5366" spans="23:23" x14ac:dyDescent="0.2">
      <c r="W5366" s="631"/>
    </row>
    <row r="5367" spans="23:23" x14ac:dyDescent="0.2">
      <c r="W5367" s="631"/>
    </row>
    <row r="5368" spans="23:23" x14ac:dyDescent="0.2">
      <c r="W5368" s="631"/>
    </row>
    <row r="5369" spans="23:23" x14ac:dyDescent="0.2">
      <c r="W5369" s="631"/>
    </row>
    <row r="5370" spans="23:23" x14ac:dyDescent="0.2">
      <c r="W5370" s="631"/>
    </row>
    <row r="5371" spans="23:23" x14ac:dyDescent="0.2">
      <c r="W5371" s="631"/>
    </row>
    <row r="5372" spans="23:23" x14ac:dyDescent="0.2">
      <c r="W5372" s="631"/>
    </row>
    <row r="5373" spans="23:23" x14ac:dyDescent="0.2">
      <c r="W5373" s="631"/>
    </row>
    <row r="5374" spans="23:23" x14ac:dyDescent="0.2">
      <c r="W5374" s="631"/>
    </row>
    <row r="5375" spans="23:23" x14ac:dyDescent="0.2">
      <c r="W5375" s="631"/>
    </row>
    <row r="5376" spans="23:23" x14ac:dyDescent="0.2">
      <c r="W5376" s="631"/>
    </row>
    <row r="5377" spans="23:23" x14ac:dyDescent="0.2">
      <c r="W5377" s="631"/>
    </row>
    <row r="5378" spans="23:23" x14ac:dyDescent="0.2">
      <c r="W5378" s="631"/>
    </row>
    <row r="5379" spans="23:23" x14ac:dyDescent="0.2">
      <c r="W5379" s="631"/>
    </row>
    <row r="5380" spans="23:23" x14ac:dyDescent="0.2">
      <c r="W5380" s="631"/>
    </row>
    <row r="5381" spans="23:23" x14ac:dyDescent="0.2">
      <c r="W5381" s="631"/>
    </row>
    <row r="5382" spans="23:23" x14ac:dyDescent="0.2">
      <c r="W5382" s="631"/>
    </row>
    <row r="5383" spans="23:23" x14ac:dyDescent="0.2">
      <c r="W5383" s="631"/>
    </row>
    <row r="5384" spans="23:23" x14ac:dyDescent="0.2">
      <c r="W5384" s="631"/>
    </row>
    <row r="5385" spans="23:23" x14ac:dyDescent="0.2">
      <c r="W5385" s="631"/>
    </row>
    <row r="5386" spans="23:23" x14ac:dyDescent="0.2">
      <c r="W5386" s="631"/>
    </row>
    <row r="5387" spans="23:23" x14ac:dyDescent="0.2">
      <c r="W5387" s="631"/>
    </row>
    <row r="5388" spans="23:23" x14ac:dyDescent="0.2">
      <c r="W5388" s="631"/>
    </row>
    <row r="5389" spans="23:23" x14ac:dyDescent="0.2">
      <c r="W5389" s="631"/>
    </row>
    <row r="5390" spans="23:23" x14ac:dyDescent="0.2">
      <c r="W5390" s="631"/>
    </row>
    <row r="5391" spans="23:23" x14ac:dyDescent="0.2">
      <c r="W5391" s="631"/>
    </row>
    <row r="5392" spans="23:23" x14ac:dyDescent="0.2">
      <c r="W5392" s="631"/>
    </row>
    <row r="5393" spans="23:23" x14ac:dyDescent="0.2">
      <c r="W5393" s="631"/>
    </row>
    <row r="5394" spans="23:23" x14ac:dyDescent="0.2">
      <c r="W5394" s="631"/>
    </row>
    <row r="5395" spans="23:23" x14ac:dyDescent="0.2">
      <c r="W5395" s="631"/>
    </row>
    <row r="5396" spans="23:23" x14ac:dyDescent="0.2">
      <c r="W5396" s="631"/>
    </row>
    <row r="5397" spans="23:23" x14ac:dyDescent="0.2">
      <c r="W5397" s="631"/>
    </row>
    <row r="5398" spans="23:23" x14ac:dyDescent="0.2">
      <c r="W5398" s="631"/>
    </row>
    <row r="5399" spans="23:23" x14ac:dyDescent="0.2">
      <c r="W5399" s="631"/>
    </row>
    <row r="5400" spans="23:23" x14ac:dyDescent="0.2">
      <c r="W5400" s="631"/>
    </row>
    <row r="5401" spans="23:23" x14ac:dyDescent="0.2">
      <c r="W5401" s="631"/>
    </row>
    <row r="5402" spans="23:23" x14ac:dyDescent="0.2">
      <c r="W5402" s="631"/>
    </row>
    <row r="5403" spans="23:23" x14ac:dyDescent="0.2">
      <c r="W5403" s="631"/>
    </row>
    <row r="5404" spans="23:23" x14ac:dyDescent="0.2">
      <c r="W5404" s="631"/>
    </row>
    <row r="5405" spans="23:23" x14ac:dyDescent="0.2">
      <c r="W5405" s="631"/>
    </row>
    <row r="5406" spans="23:23" x14ac:dyDescent="0.2">
      <c r="W5406" s="631"/>
    </row>
    <row r="5407" spans="23:23" x14ac:dyDescent="0.2">
      <c r="W5407" s="631"/>
    </row>
    <row r="5408" spans="23:23" x14ac:dyDescent="0.2">
      <c r="W5408" s="631"/>
    </row>
    <row r="5409" spans="23:23" x14ac:dyDescent="0.2">
      <c r="W5409" s="631"/>
    </row>
    <row r="5410" spans="23:23" x14ac:dyDescent="0.2">
      <c r="W5410" s="631"/>
    </row>
    <row r="5411" spans="23:23" x14ac:dyDescent="0.2">
      <c r="W5411" s="631"/>
    </row>
    <row r="5412" spans="23:23" x14ac:dyDescent="0.2">
      <c r="W5412" s="631"/>
    </row>
    <row r="5413" spans="23:23" x14ac:dyDescent="0.2">
      <c r="W5413" s="631"/>
    </row>
    <row r="5414" spans="23:23" x14ac:dyDescent="0.2">
      <c r="W5414" s="631"/>
    </row>
    <row r="5415" spans="23:23" x14ac:dyDescent="0.2">
      <c r="W5415" s="631"/>
    </row>
    <row r="5416" spans="23:23" x14ac:dyDescent="0.2">
      <c r="W5416" s="631"/>
    </row>
    <row r="5417" spans="23:23" x14ac:dyDescent="0.2">
      <c r="W5417" s="631"/>
    </row>
    <row r="5418" spans="23:23" x14ac:dyDescent="0.2">
      <c r="W5418" s="631"/>
    </row>
    <row r="5419" spans="23:23" x14ac:dyDescent="0.2">
      <c r="W5419" s="631"/>
    </row>
    <row r="5420" spans="23:23" x14ac:dyDescent="0.2">
      <c r="W5420" s="631"/>
    </row>
    <row r="5421" spans="23:23" x14ac:dyDescent="0.2">
      <c r="W5421" s="631"/>
    </row>
    <row r="5422" spans="23:23" x14ac:dyDescent="0.2">
      <c r="W5422" s="631"/>
    </row>
    <row r="5423" spans="23:23" x14ac:dyDescent="0.2">
      <c r="W5423" s="631"/>
    </row>
    <row r="5424" spans="23:23" x14ac:dyDescent="0.2">
      <c r="W5424" s="631"/>
    </row>
    <row r="5425" spans="23:23" x14ac:dyDescent="0.2">
      <c r="W5425" s="631"/>
    </row>
    <row r="5426" spans="23:23" x14ac:dyDescent="0.2">
      <c r="W5426" s="631"/>
    </row>
    <row r="5427" spans="23:23" x14ac:dyDescent="0.2">
      <c r="W5427" s="631"/>
    </row>
    <row r="5428" spans="23:23" x14ac:dyDescent="0.2">
      <c r="W5428" s="631"/>
    </row>
    <row r="5429" spans="23:23" x14ac:dyDescent="0.2">
      <c r="W5429" s="631"/>
    </row>
    <row r="5430" spans="23:23" x14ac:dyDescent="0.2">
      <c r="W5430" s="631"/>
    </row>
    <row r="5431" spans="23:23" x14ac:dyDescent="0.2">
      <c r="W5431" s="631"/>
    </row>
    <row r="5432" spans="23:23" x14ac:dyDescent="0.2">
      <c r="W5432" s="631"/>
    </row>
    <row r="5433" spans="23:23" x14ac:dyDescent="0.2">
      <c r="W5433" s="631"/>
    </row>
    <row r="5434" spans="23:23" x14ac:dyDescent="0.2">
      <c r="W5434" s="631"/>
    </row>
    <row r="5435" spans="23:23" x14ac:dyDescent="0.2">
      <c r="W5435" s="631"/>
    </row>
    <row r="5436" spans="23:23" x14ac:dyDescent="0.2">
      <c r="W5436" s="631"/>
    </row>
    <row r="5437" spans="23:23" x14ac:dyDescent="0.2">
      <c r="W5437" s="631"/>
    </row>
    <row r="5438" spans="23:23" x14ac:dyDescent="0.2">
      <c r="W5438" s="631"/>
    </row>
    <row r="5439" spans="23:23" x14ac:dyDescent="0.2">
      <c r="W5439" s="631"/>
    </row>
    <row r="5440" spans="23:23" x14ac:dyDescent="0.2">
      <c r="W5440" s="631"/>
    </row>
    <row r="5441" spans="23:23" x14ac:dyDescent="0.2">
      <c r="W5441" s="631"/>
    </row>
    <row r="5442" spans="23:23" x14ac:dyDescent="0.2">
      <c r="W5442" s="631"/>
    </row>
    <row r="5443" spans="23:23" x14ac:dyDescent="0.2">
      <c r="W5443" s="631"/>
    </row>
    <row r="5444" spans="23:23" x14ac:dyDescent="0.2">
      <c r="W5444" s="631"/>
    </row>
    <row r="5445" spans="23:23" x14ac:dyDescent="0.2">
      <c r="W5445" s="631"/>
    </row>
    <row r="5446" spans="23:23" x14ac:dyDescent="0.2">
      <c r="W5446" s="631"/>
    </row>
    <row r="5447" spans="23:23" x14ac:dyDescent="0.2">
      <c r="W5447" s="631"/>
    </row>
    <row r="5448" spans="23:23" x14ac:dyDescent="0.2">
      <c r="W5448" s="631"/>
    </row>
    <row r="5449" spans="23:23" x14ac:dyDescent="0.2">
      <c r="W5449" s="631"/>
    </row>
    <row r="5450" spans="23:23" x14ac:dyDescent="0.2">
      <c r="W5450" s="631"/>
    </row>
    <row r="5451" spans="23:23" x14ac:dyDescent="0.2">
      <c r="W5451" s="631"/>
    </row>
    <row r="5452" spans="23:23" x14ac:dyDescent="0.2">
      <c r="W5452" s="631"/>
    </row>
    <row r="5453" spans="23:23" x14ac:dyDescent="0.2">
      <c r="W5453" s="631"/>
    </row>
    <row r="5454" spans="23:23" x14ac:dyDescent="0.2">
      <c r="W5454" s="631"/>
    </row>
    <row r="5455" spans="23:23" x14ac:dyDescent="0.2">
      <c r="W5455" s="631"/>
    </row>
    <row r="5456" spans="23:23" x14ac:dyDescent="0.2">
      <c r="W5456" s="631"/>
    </row>
    <row r="5457" spans="23:23" x14ac:dyDescent="0.2">
      <c r="W5457" s="631"/>
    </row>
    <row r="5458" spans="23:23" x14ac:dyDescent="0.2">
      <c r="W5458" s="631"/>
    </row>
    <row r="5459" spans="23:23" x14ac:dyDescent="0.2">
      <c r="W5459" s="631"/>
    </row>
    <row r="5460" spans="23:23" x14ac:dyDescent="0.2">
      <c r="W5460" s="631"/>
    </row>
    <row r="5461" spans="23:23" x14ac:dyDescent="0.2">
      <c r="W5461" s="631"/>
    </row>
    <row r="5462" spans="23:23" x14ac:dyDescent="0.2">
      <c r="W5462" s="631"/>
    </row>
    <row r="5463" spans="23:23" x14ac:dyDescent="0.2">
      <c r="W5463" s="631"/>
    </row>
    <row r="5464" spans="23:23" x14ac:dyDescent="0.2">
      <c r="W5464" s="631"/>
    </row>
    <row r="5465" spans="23:23" x14ac:dyDescent="0.2">
      <c r="W5465" s="631"/>
    </row>
    <row r="5466" spans="23:23" x14ac:dyDescent="0.2">
      <c r="W5466" s="631"/>
    </row>
    <row r="5467" spans="23:23" x14ac:dyDescent="0.2">
      <c r="W5467" s="631"/>
    </row>
    <row r="5468" spans="23:23" x14ac:dyDescent="0.2">
      <c r="W5468" s="631"/>
    </row>
    <row r="5469" spans="23:23" x14ac:dyDescent="0.2">
      <c r="W5469" s="631"/>
    </row>
    <row r="5470" spans="23:23" x14ac:dyDescent="0.2">
      <c r="W5470" s="631"/>
    </row>
    <row r="5471" spans="23:23" x14ac:dyDescent="0.2">
      <c r="W5471" s="631"/>
    </row>
    <row r="5472" spans="23:23" x14ac:dyDescent="0.2">
      <c r="W5472" s="631"/>
    </row>
    <row r="5473" spans="23:23" x14ac:dyDescent="0.2">
      <c r="W5473" s="631"/>
    </row>
    <row r="5474" spans="23:23" x14ac:dyDescent="0.2">
      <c r="W5474" s="631"/>
    </row>
    <row r="5475" spans="23:23" x14ac:dyDescent="0.2">
      <c r="W5475" s="631"/>
    </row>
    <row r="5476" spans="23:23" x14ac:dyDescent="0.2">
      <c r="W5476" s="631"/>
    </row>
    <row r="5477" spans="23:23" x14ac:dyDescent="0.2">
      <c r="W5477" s="631"/>
    </row>
    <row r="5478" spans="23:23" x14ac:dyDescent="0.2">
      <c r="W5478" s="631"/>
    </row>
    <row r="5479" spans="23:23" x14ac:dyDescent="0.2">
      <c r="W5479" s="631"/>
    </row>
    <row r="5480" spans="23:23" x14ac:dyDescent="0.2">
      <c r="W5480" s="631"/>
    </row>
    <row r="5481" spans="23:23" x14ac:dyDescent="0.2">
      <c r="W5481" s="631"/>
    </row>
    <row r="5482" spans="23:23" x14ac:dyDescent="0.2">
      <c r="W5482" s="631"/>
    </row>
    <row r="5483" spans="23:23" x14ac:dyDescent="0.2">
      <c r="W5483" s="631"/>
    </row>
    <row r="5484" spans="23:23" x14ac:dyDescent="0.2">
      <c r="W5484" s="631"/>
    </row>
    <row r="5485" spans="23:23" x14ac:dyDescent="0.2">
      <c r="W5485" s="631"/>
    </row>
    <row r="5486" spans="23:23" x14ac:dyDescent="0.2">
      <c r="W5486" s="631"/>
    </row>
    <row r="5487" spans="23:23" x14ac:dyDescent="0.2">
      <c r="W5487" s="631"/>
    </row>
    <row r="5488" spans="23:23" x14ac:dyDescent="0.2">
      <c r="W5488" s="631"/>
    </row>
    <row r="5489" spans="23:23" x14ac:dyDescent="0.2">
      <c r="W5489" s="631"/>
    </row>
    <row r="5490" spans="23:23" x14ac:dyDescent="0.2">
      <c r="W5490" s="631"/>
    </row>
    <row r="5491" spans="23:23" x14ac:dyDescent="0.2">
      <c r="W5491" s="631"/>
    </row>
    <row r="5492" spans="23:23" x14ac:dyDescent="0.2">
      <c r="W5492" s="631"/>
    </row>
    <row r="5493" spans="23:23" x14ac:dyDescent="0.2">
      <c r="W5493" s="631"/>
    </row>
    <row r="5494" spans="23:23" x14ac:dyDescent="0.2">
      <c r="W5494" s="631"/>
    </row>
    <row r="5495" spans="23:23" x14ac:dyDescent="0.2">
      <c r="W5495" s="631"/>
    </row>
    <row r="5496" spans="23:23" x14ac:dyDescent="0.2">
      <c r="W5496" s="631"/>
    </row>
    <row r="5497" spans="23:23" x14ac:dyDescent="0.2">
      <c r="W5497" s="631"/>
    </row>
    <row r="5498" spans="23:23" x14ac:dyDescent="0.2">
      <c r="W5498" s="631"/>
    </row>
    <row r="5499" spans="23:23" x14ac:dyDescent="0.2">
      <c r="W5499" s="631"/>
    </row>
    <row r="5500" spans="23:23" x14ac:dyDescent="0.2">
      <c r="W5500" s="631"/>
    </row>
    <row r="5501" spans="23:23" x14ac:dyDescent="0.2">
      <c r="W5501" s="631"/>
    </row>
    <row r="5502" spans="23:23" x14ac:dyDescent="0.2">
      <c r="W5502" s="631"/>
    </row>
    <row r="5503" spans="23:23" x14ac:dyDescent="0.2">
      <c r="W5503" s="631"/>
    </row>
    <row r="5504" spans="23:23" x14ac:dyDescent="0.2">
      <c r="W5504" s="631"/>
    </row>
    <row r="5505" spans="23:23" x14ac:dyDescent="0.2">
      <c r="W5505" s="631"/>
    </row>
    <row r="5506" spans="23:23" x14ac:dyDescent="0.2">
      <c r="W5506" s="631"/>
    </row>
    <row r="5507" spans="23:23" x14ac:dyDescent="0.2">
      <c r="W5507" s="631"/>
    </row>
    <row r="5508" spans="23:23" x14ac:dyDescent="0.2">
      <c r="W5508" s="631"/>
    </row>
    <row r="5509" spans="23:23" x14ac:dyDescent="0.2">
      <c r="W5509" s="631"/>
    </row>
    <row r="5510" spans="23:23" x14ac:dyDescent="0.2">
      <c r="W5510" s="631"/>
    </row>
    <row r="5511" spans="23:23" x14ac:dyDescent="0.2">
      <c r="W5511" s="631"/>
    </row>
    <row r="5512" spans="23:23" x14ac:dyDescent="0.2">
      <c r="W5512" s="631"/>
    </row>
    <row r="5513" spans="23:23" x14ac:dyDescent="0.2">
      <c r="W5513" s="631"/>
    </row>
    <row r="5514" spans="23:23" x14ac:dyDescent="0.2">
      <c r="W5514" s="631"/>
    </row>
    <row r="5515" spans="23:23" x14ac:dyDescent="0.2">
      <c r="W5515" s="631"/>
    </row>
    <row r="5516" spans="23:23" x14ac:dyDescent="0.2">
      <c r="W5516" s="631"/>
    </row>
    <row r="5517" spans="23:23" x14ac:dyDescent="0.2">
      <c r="W5517" s="631"/>
    </row>
    <row r="5518" spans="23:23" x14ac:dyDescent="0.2">
      <c r="W5518" s="631"/>
    </row>
    <row r="5519" spans="23:23" x14ac:dyDescent="0.2">
      <c r="W5519" s="631"/>
    </row>
    <row r="5520" spans="23:23" x14ac:dyDescent="0.2">
      <c r="W5520" s="631"/>
    </row>
    <row r="5521" spans="23:23" x14ac:dyDescent="0.2">
      <c r="W5521" s="631"/>
    </row>
    <row r="5522" spans="23:23" x14ac:dyDescent="0.2">
      <c r="W5522" s="631"/>
    </row>
    <row r="5523" spans="23:23" x14ac:dyDescent="0.2">
      <c r="W5523" s="631"/>
    </row>
    <row r="5524" spans="23:23" x14ac:dyDescent="0.2">
      <c r="W5524" s="631"/>
    </row>
    <row r="5525" spans="23:23" x14ac:dyDescent="0.2">
      <c r="W5525" s="631"/>
    </row>
    <row r="5526" spans="23:23" x14ac:dyDescent="0.2">
      <c r="W5526" s="631"/>
    </row>
    <row r="5527" spans="23:23" x14ac:dyDescent="0.2">
      <c r="W5527" s="631"/>
    </row>
    <row r="5528" spans="23:23" x14ac:dyDescent="0.2">
      <c r="W5528" s="631"/>
    </row>
    <row r="5529" spans="23:23" x14ac:dyDescent="0.2">
      <c r="W5529" s="631"/>
    </row>
    <row r="5530" spans="23:23" x14ac:dyDescent="0.2">
      <c r="W5530" s="631"/>
    </row>
    <row r="5531" spans="23:23" x14ac:dyDescent="0.2">
      <c r="W5531" s="631"/>
    </row>
    <row r="5532" spans="23:23" x14ac:dyDescent="0.2">
      <c r="W5532" s="631"/>
    </row>
    <row r="5533" spans="23:23" x14ac:dyDescent="0.2">
      <c r="W5533" s="631"/>
    </row>
    <row r="5534" spans="23:23" x14ac:dyDescent="0.2">
      <c r="W5534" s="631"/>
    </row>
    <row r="5535" spans="23:23" x14ac:dyDescent="0.2">
      <c r="W5535" s="631"/>
    </row>
    <row r="5536" spans="23:23" x14ac:dyDescent="0.2">
      <c r="W5536" s="631"/>
    </row>
    <row r="5537" spans="23:23" x14ac:dyDescent="0.2">
      <c r="W5537" s="631"/>
    </row>
    <row r="5538" spans="23:23" x14ac:dyDescent="0.2">
      <c r="W5538" s="631"/>
    </row>
    <row r="5539" spans="23:23" x14ac:dyDescent="0.2">
      <c r="W5539" s="631"/>
    </row>
    <row r="5540" spans="23:23" x14ac:dyDescent="0.2">
      <c r="W5540" s="631"/>
    </row>
    <row r="5541" spans="23:23" x14ac:dyDescent="0.2">
      <c r="W5541" s="631"/>
    </row>
    <row r="5542" spans="23:23" x14ac:dyDescent="0.2">
      <c r="W5542" s="631"/>
    </row>
    <row r="5543" spans="23:23" x14ac:dyDescent="0.2">
      <c r="W5543" s="631"/>
    </row>
    <row r="5544" spans="23:23" x14ac:dyDescent="0.2">
      <c r="W5544" s="631"/>
    </row>
    <row r="5545" spans="23:23" x14ac:dyDescent="0.2">
      <c r="W5545" s="631"/>
    </row>
    <row r="5546" spans="23:23" x14ac:dyDescent="0.2">
      <c r="W5546" s="631"/>
    </row>
    <row r="5547" spans="23:23" x14ac:dyDescent="0.2">
      <c r="W5547" s="631"/>
    </row>
    <row r="5548" spans="23:23" x14ac:dyDescent="0.2">
      <c r="W5548" s="631"/>
    </row>
    <row r="5549" spans="23:23" x14ac:dyDescent="0.2">
      <c r="W5549" s="631"/>
    </row>
    <row r="5550" spans="23:23" x14ac:dyDescent="0.2">
      <c r="W5550" s="631"/>
    </row>
    <row r="5551" spans="23:23" x14ac:dyDescent="0.2">
      <c r="W5551" s="631"/>
    </row>
    <row r="5552" spans="23:23" x14ac:dyDescent="0.2">
      <c r="W5552" s="631"/>
    </row>
    <row r="5553" spans="23:23" x14ac:dyDescent="0.2">
      <c r="W5553" s="631"/>
    </row>
    <row r="5554" spans="23:23" x14ac:dyDescent="0.2">
      <c r="W5554" s="631"/>
    </row>
    <row r="5555" spans="23:23" x14ac:dyDescent="0.2">
      <c r="W5555" s="631"/>
    </row>
    <row r="5556" spans="23:23" x14ac:dyDescent="0.2">
      <c r="W5556" s="631"/>
    </row>
    <row r="5557" spans="23:23" x14ac:dyDescent="0.2">
      <c r="W5557" s="631"/>
    </row>
    <row r="5558" spans="23:23" x14ac:dyDescent="0.2">
      <c r="W5558" s="631"/>
    </row>
    <row r="5559" spans="23:23" x14ac:dyDescent="0.2">
      <c r="W5559" s="631"/>
    </row>
    <row r="5560" spans="23:23" x14ac:dyDescent="0.2">
      <c r="W5560" s="631"/>
    </row>
    <row r="5561" spans="23:23" x14ac:dyDescent="0.2">
      <c r="W5561" s="631"/>
    </row>
    <row r="5562" spans="23:23" x14ac:dyDescent="0.2">
      <c r="W5562" s="631"/>
    </row>
    <row r="5563" spans="23:23" x14ac:dyDescent="0.2">
      <c r="W5563" s="631"/>
    </row>
    <row r="5564" spans="23:23" x14ac:dyDescent="0.2">
      <c r="W5564" s="631"/>
    </row>
    <row r="5565" spans="23:23" x14ac:dyDescent="0.2">
      <c r="W5565" s="631"/>
    </row>
    <row r="5566" spans="23:23" x14ac:dyDescent="0.2">
      <c r="W5566" s="631"/>
    </row>
    <row r="5567" spans="23:23" x14ac:dyDescent="0.2">
      <c r="W5567" s="631"/>
    </row>
    <row r="5568" spans="23:23" x14ac:dyDescent="0.2">
      <c r="W5568" s="631"/>
    </row>
    <row r="5569" spans="23:23" x14ac:dyDescent="0.2">
      <c r="W5569" s="631"/>
    </row>
    <row r="5570" spans="23:23" x14ac:dyDescent="0.2">
      <c r="W5570" s="631"/>
    </row>
    <row r="5571" spans="23:23" x14ac:dyDescent="0.2">
      <c r="W5571" s="631"/>
    </row>
    <row r="5572" spans="23:23" x14ac:dyDescent="0.2">
      <c r="W5572" s="631"/>
    </row>
    <row r="5573" spans="23:23" x14ac:dyDescent="0.2">
      <c r="W5573" s="631"/>
    </row>
    <row r="5574" spans="23:23" x14ac:dyDescent="0.2">
      <c r="W5574" s="631"/>
    </row>
    <row r="5575" spans="23:23" x14ac:dyDescent="0.2">
      <c r="W5575" s="631"/>
    </row>
    <row r="5576" spans="23:23" x14ac:dyDescent="0.2">
      <c r="W5576" s="631"/>
    </row>
    <row r="5577" spans="23:23" x14ac:dyDescent="0.2">
      <c r="W5577" s="631"/>
    </row>
    <row r="5578" spans="23:23" x14ac:dyDescent="0.2">
      <c r="W5578" s="631"/>
    </row>
    <row r="5579" spans="23:23" x14ac:dyDescent="0.2">
      <c r="W5579" s="631"/>
    </row>
    <row r="5580" spans="23:23" x14ac:dyDescent="0.2">
      <c r="W5580" s="631"/>
    </row>
    <row r="5581" spans="23:23" x14ac:dyDescent="0.2">
      <c r="W5581" s="631"/>
    </row>
    <row r="5582" spans="23:23" x14ac:dyDescent="0.2">
      <c r="W5582" s="631"/>
    </row>
    <row r="5583" spans="23:23" x14ac:dyDescent="0.2">
      <c r="W5583" s="631"/>
    </row>
    <row r="5584" spans="23:23" x14ac:dyDescent="0.2">
      <c r="W5584" s="631"/>
    </row>
    <row r="5585" spans="23:23" x14ac:dyDescent="0.2">
      <c r="W5585" s="631"/>
    </row>
    <row r="5586" spans="23:23" x14ac:dyDescent="0.2">
      <c r="W5586" s="631"/>
    </row>
    <row r="5587" spans="23:23" x14ac:dyDescent="0.2">
      <c r="W5587" s="631"/>
    </row>
    <row r="5588" spans="23:23" x14ac:dyDescent="0.2">
      <c r="W5588" s="631"/>
    </row>
    <row r="5589" spans="23:23" x14ac:dyDescent="0.2">
      <c r="W5589" s="631"/>
    </row>
    <row r="5590" spans="23:23" x14ac:dyDescent="0.2">
      <c r="W5590" s="631"/>
    </row>
    <row r="5591" spans="23:23" x14ac:dyDescent="0.2">
      <c r="W5591" s="631"/>
    </row>
    <row r="5592" spans="23:23" x14ac:dyDescent="0.2">
      <c r="W5592" s="631"/>
    </row>
    <row r="5593" spans="23:23" x14ac:dyDescent="0.2">
      <c r="W5593" s="631"/>
    </row>
    <row r="5594" spans="23:23" x14ac:dyDescent="0.2">
      <c r="W5594" s="631"/>
    </row>
    <row r="5595" spans="23:23" x14ac:dyDescent="0.2">
      <c r="W5595" s="631"/>
    </row>
    <row r="5596" spans="23:23" x14ac:dyDescent="0.2">
      <c r="W5596" s="631"/>
    </row>
    <row r="5597" spans="23:23" x14ac:dyDescent="0.2">
      <c r="W5597" s="631"/>
    </row>
    <row r="5598" spans="23:23" x14ac:dyDescent="0.2">
      <c r="W5598" s="631"/>
    </row>
    <row r="5599" spans="23:23" x14ac:dyDescent="0.2">
      <c r="W5599" s="631"/>
    </row>
    <row r="5600" spans="23:23" x14ac:dyDescent="0.2">
      <c r="W5600" s="631"/>
    </row>
    <row r="5601" spans="23:23" x14ac:dyDescent="0.2">
      <c r="W5601" s="631"/>
    </row>
    <row r="5602" spans="23:23" x14ac:dyDescent="0.2">
      <c r="W5602" s="631"/>
    </row>
    <row r="5603" spans="23:23" x14ac:dyDescent="0.2">
      <c r="W5603" s="631"/>
    </row>
    <row r="5604" spans="23:23" x14ac:dyDescent="0.2">
      <c r="W5604" s="631"/>
    </row>
    <row r="5605" spans="23:23" x14ac:dyDescent="0.2">
      <c r="W5605" s="631"/>
    </row>
    <row r="5606" spans="23:23" x14ac:dyDescent="0.2">
      <c r="W5606" s="631"/>
    </row>
    <row r="5607" spans="23:23" x14ac:dyDescent="0.2">
      <c r="W5607" s="631"/>
    </row>
    <row r="5608" spans="23:23" x14ac:dyDescent="0.2">
      <c r="W5608" s="631"/>
    </row>
    <row r="5609" spans="23:23" x14ac:dyDescent="0.2">
      <c r="W5609" s="631"/>
    </row>
    <row r="5610" spans="23:23" x14ac:dyDescent="0.2">
      <c r="W5610" s="631"/>
    </row>
    <row r="5611" spans="23:23" x14ac:dyDescent="0.2">
      <c r="W5611" s="631"/>
    </row>
    <row r="5612" spans="23:23" x14ac:dyDescent="0.2">
      <c r="W5612" s="631"/>
    </row>
    <row r="5613" spans="23:23" x14ac:dyDescent="0.2">
      <c r="W5613" s="631"/>
    </row>
    <row r="5614" spans="23:23" x14ac:dyDescent="0.2">
      <c r="W5614" s="631"/>
    </row>
    <row r="5615" spans="23:23" x14ac:dyDescent="0.2">
      <c r="W5615" s="631"/>
    </row>
    <row r="5616" spans="23:23" x14ac:dyDescent="0.2">
      <c r="W5616" s="631"/>
    </row>
    <row r="5617" spans="23:23" x14ac:dyDescent="0.2">
      <c r="W5617" s="631"/>
    </row>
    <row r="5618" spans="23:23" x14ac:dyDescent="0.2">
      <c r="W5618" s="631"/>
    </row>
    <row r="5619" spans="23:23" x14ac:dyDescent="0.2">
      <c r="W5619" s="631"/>
    </row>
    <row r="5620" spans="23:23" x14ac:dyDescent="0.2">
      <c r="W5620" s="631"/>
    </row>
    <row r="5621" spans="23:23" x14ac:dyDescent="0.2">
      <c r="W5621" s="631"/>
    </row>
    <row r="5622" spans="23:23" x14ac:dyDescent="0.2">
      <c r="W5622" s="631"/>
    </row>
    <row r="5623" spans="23:23" x14ac:dyDescent="0.2">
      <c r="W5623" s="631"/>
    </row>
    <row r="5624" spans="23:23" x14ac:dyDescent="0.2">
      <c r="W5624" s="631"/>
    </row>
    <row r="5625" spans="23:23" x14ac:dyDescent="0.2">
      <c r="W5625" s="631"/>
    </row>
    <row r="5626" spans="23:23" x14ac:dyDescent="0.2">
      <c r="W5626" s="631"/>
    </row>
    <row r="5627" spans="23:23" x14ac:dyDescent="0.2">
      <c r="W5627" s="631"/>
    </row>
    <row r="5628" spans="23:23" x14ac:dyDescent="0.2">
      <c r="W5628" s="631"/>
    </row>
    <row r="5629" spans="23:23" x14ac:dyDescent="0.2">
      <c r="W5629" s="631"/>
    </row>
    <row r="5630" spans="23:23" x14ac:dyDescent="0.2">
      <c r="W5630" s="631"/>
    </row>
    <row r="5631" spans="23:23" x14ac:dyDescent="0.2">
      <c r="W5631" s="631"/>
    </row>
    <row r="5632" spans="23:23" x14ac:dyDescent="0.2">
      <c r="W5632" s="631"/>
    </row>
    <row r="5633" spans="23:23" x14ac:dyDescent="0.2">
      <c r="W5633" s="631"/>
    </row>
    <row r="5634" spans="23:23" x14ac:dyDescent="0.2">
      <c r="W5634" s="631"/>
    </row>
    <row r="5635" spans="23:23" x14ac:dyDescent="0.2">
      <c r="W5635" s="631"/>
    </row>
    <row r="5636" spans="23:23" x14ac:dyDescent="0.2">
      <c r="W5636" s="631"/>
    </row>
    <row r="5637" spans="23:23" x14ac:dyDescent="0.2">
      <c r="W5637" s="631"/>
    </row>
    <row r="5638" spans="23:23" x14ac:dyDescent="0.2">
      <c r="W5638" s="631"/>
    </row>
    <row r="5639" spans="23:23" x14ac:dyDescent="0.2">
      <c r="W5639" s="631"/>
    </row>
    <row r="5640" spans="23:23" x14ac:dyDescent="0.2">
      <c r="W5640" s="631"/>
    </row>
    <row r="5641" spans="23:23" x14ac:dyDescent="0.2">
      <c r="W5641" s="631"/>
    </row>
    <row r="5642" spans="23:23" x14ac:dyDescent="0.2">
      <c r="W5642" s="631"/>
    </row>
    <row r="5643" spans="23:23" x14ac:dyDescent="0.2">
      <c r="W5643" s="631"/>
    </row>
    <row r="5644" spans="23:23" x14ac:dyDescent="0.2">
      <c r="W5644" s="631"/>
    </row>
    <row r="5645" spans="23:23" x14ac:dyDescent="0.2">
      <c r="W5645" s="631"/>
    </row>
    <row r="5646" spans="23:23" x14ac:dyDescent="0.2">
      <c r="W5646" s="631"/>
    </row>
    <row r="5647" spans="23:23" x14ac:dyDescent="0.2">
      <c r="W5647" s="631"/>
    </row>
    <row r="5648" spans="23:23" x14ac:dyDescent="0.2">
      <c r="W5648" s="631"/>
    </row>
    <row r="5649" spans="23:23" x14ac:dyDescent="0.2">
      <c r="W5649" s="631"/>
    </row>
    <row r="5650" spans="23:23" x14ac:dyDescent="0.2">
      <c r="W5650" s="631"/>
    </row>
    <row r="5651" spans="23:23" x14ac:dyDescent="0.2">
      <c r="W5651" s="631"/>
    </row>
    <row r="5652" spans="23:23" x14ac:dyDescent="0.2">
      <c r="W5652" s="631"/>
    </row>
    <row r="5653" spans="23:23" x14ac:dyDescent="0.2">
      <c r="W5653" s="631"/>
    </row>
    <row r="5654" spans="23:23" x14ac:dyDescent="0.2">
      <c r="W5654" s="631"/>
    </row>
    <row r="5655" spans="23:23" x14ac:dyDescent="0.2">
      <c r="W5655" s="631"/>
    </row>
    <row r="5656" spans="23:23" x14ac:dyDescent="0.2">
      <c r="W5656" s="631"/>
    </row>
    <row r="5657" spans="23:23" x14ac:dyDescent="0.2">
      <c r="W5657" s="631"/>
    </row>
    <row r="5658" spans="23:23" x14ac:dyDescent="0.2">
      <c r="W5658" s="631"/>
    </row>
    <row r="5659" spans="23:23" x14ac:dyDescent="0.2">
      <c r="W5659" s="631"/>
    </row>
    <row r="5660" spans="23:23" x14ac:dyDescent="0.2">
      <c r="W5660" s="631"/>
    </row>
    <row r="5661" spans="23:23" x14ac:dyDescent="0.2">
      <c r="W5661" s="631"/>
    </row>
    <row r="5662" spans="23:23" x14ac:dyDescent="0.2">
      <c r="W5662" s="631"/>
    </row>
    <row r="5663" spans="23:23" x14ac:dyDescent="0.2">
      <c r="W5663" s="631"/>
    </row>
    <row r="5664" spans="23:23" x14ac:dyDescent="0.2">
      <c r="W5664" s="631"/>
    </row>
    <row r="5665" spans="23:23" x14ac:dyDescent="0.2">
      <c r="W5665" s="631"/>
    </row>
    <row r="5666" spans="23:23" x14ac:dyDescent="0.2">
      <c r="W5666" s="631"/>
    </row>
    <row r="5667" spans="23:23" x14ac:dyDescent="0.2">
      <c r="W5667" s="631"/>
    </row>
    <row r="5668" spans="23:23" x14ac:dyDescent="0.2">
      <c r="W5668" s="631"/>
    </row>
    <row r="5669" spans="23:23" x14ac:dyDescent="0.2">
      <c r="W5669" s="631"/>
    </row>
    <row r="5670" spans="23:23" x14ac:dyDescent="0.2">
      <c r="W5670" s="631"/>
    </row>
    <row r="5671" spans="23:23" x14ac:dyDescent="0.2">
      <c r="W5671" s="631"/>
    </row>
    <row r="5672" spans="23:23" x14ac:dyDescent="0.2">
      <c r="W5672" s="631"/>
    </row>
    <row r="5673" spans="23:23" x14ac:dyDescent="0.2">
      <c r="W5673" s="631"/>
    </row>
    <row r="5674" spans="23:23" x14ac:dyDescent="0.2">
      <c r="W5674" s="631"/>
    </row>
    <row r="5675" spans="23:23" x14ac:dyDescent="0.2">
      <c r="W5675" s="631"/>
    </row>
    <row r="5676" spans="23:23" x14ac:dyDescent="0.2">
      <c r="W5676" s="631"/>
    </row>
    <row r="5677" spans="23:23" x14ac:dyDescent="0.2">
      <c r="W5677" s="631"/>
    </row>
    <row r="5678" spans="23:23" x14ac:dyDescent="0.2">
      <c r="W5678" s="631"/>
    </row>
    <row r="5679" spans="23:23" x14ac:dyDescent="0.2">
      <c r="W5679" s="631"/>
    </row>
    <row r="5680" spans="23:23" x14ac:dyDescent="0.2">
      <c r="W5680" s="631"/>
    </row>
    <row r="5681" spans="23:23" x14ac:dyDescent="0.2">
      <c r="W5681" s="631"/>
    </row>
    <row r="5682" spans="23:23" x14ac:dyDescent="0.2">
      <c r="W5682" s="631"/>
    </row>
    <row r="5683" spans="23:23" x14ac:dyDescent="0.2">
      <c r="W5683" s="631"/>
    </row>
    <row r="5684" spans="23:23" x14ac:dyDescent="0.2">
      <c r="W5684" s="631"/>
    </row>
    <row r="5685" spans="23:23" x14ac:dyDescent="0.2">
      <c r="W5685" s="631"/>
    </row>
    <row r="5686" spans="23:23" x14ac:dyDescent="0.2">
      <c r="W5686" s="631"/>
    </row>
    <row r="5687" spans="23:23" x14ac:dyDescent="0.2">
      <c r="W5687" s="631"/>
    </row>
    <row r="5688" spans="23:23" x14ac:dyDescent="0.2">
      <c r="W5688" s="631"/>
    </row>
    <row r="5689" spans="23:23" x14ac:dyDescent="0.2">
      <c r="W5689" s="631"/>
    </row>
    <row r="5690" spans="23:23" x14ac:dyDescent="0.2">
      <c r="W5690" s="631"/>
    </row>
    <row r="5691" spans="23:23" x14ac:dyDescent="0.2">
      <c r="W5691" s="631"/>
    </row>
    <row r="5692" spans="23:23" x14ac:dyDescent="0.2">
      <c r="W5692" s="631"/>
    </row>
    <row r="5693" spans="23:23" x14ac:dyDescent="0.2">
      <c r="W5693" s="631"/>
    </row>
    <row r="5694" spans="23:23" x14ac:dyDescent="0.2">
      <c r="W5694" s="631"/>
    </row>
    <row r="5695" spans="23:23" x14ac:dyDescent="0.2">
      <c r="W5695" s="631"/>
    </row>
    <row r="5696" spans="23:23" x14ac:dyDescent="0.2">
      <c r="W5696" s="631"/>
    </row>
    <row r="5697" spans="23:23" x14ac:dyDescent="0.2">
      <c r="W5697" s="631"/>
    </row>
    <row r="5698" spans="23:23" x14ac:dyDescent="0.2">
      <c r="W5698" s="631"/>
    </row>
    <row r="5699" spans="23:23" x14ac:dyDescent="0.2">
      <c r="W5699" s="631"/>
    </row>
    <row r="5700" spans="23:23" x14ac:dyDescent="0.2">
      <c r="W5700" s="631"/>
    </row>
    <row r="5701" spans="23:23" x14ac:dyDescent="0.2">
      <c r="W5701" s="631"/>
    </row>
    <row r="5702" spans="23:23" x14ac:dyDescent="0.2">
      <c r="W5702" s="631"/>
    </row>
    <row r="5703" spans="23:23" x14ac:dyDescent="0.2">
      <c r="W5703" s="631"/>
    </row>
    <row r="5704" spans="23:23" x14ac:dyDescent="0.2">
      <c r="W5704" s="631"/>
    </row>
    <row r="5705" spans="23:23" x14ac:dyDescent="0.2">
      <c r="W5705" s="631"/>
    </row>
    <row r="5706" spans="23:23" x14ac:dyDescent="0.2">
      <c r="W5706" s="631"/>
    </row>
    <row r="5707" spans="23:23" x14ac:dyDescent="0.2">
      <c r="W5707" s="631"/>
    </row>
    <row r="5708" spans="23:23" x14ac:dyDescent="0.2">
      <c r="W5708" s="631"/>
    </row>
    <row r="5709" spans="23:23" x14ac:dyDescent="0.2">
      <c r="W5709" s="631"/>
    </row>
    <row r="5710" spans="23:23" x14ac:dyDescent="0.2">
      <c r="W5710" s="631"/>
    </row>
    <row r="5711" spans="23:23" x14ac:dyDescent="0.2">
      <c r="W5711" s="631"/>
    </row>
    <row r="5712" spans="23:23" x14ac:dyDescent="0.2">
      <c r="W5712" s="631"/>
    </row>
    <row r="5713" spans="23:23" x14ac:dyDescent="0.2">
      <c r="W5713" s="631"/>
    </row>
    <row r="5714" spans="23:23" x14ac:dyDescent="0.2">
      <c r="W5714" s="631"/>
    </row>
    <row r="5715" spans="23:23" x14ac:dyDescent="0.2">
      <c r="W5715" s="631"/>
    </row>
    <row r="5716" spans="23:23" x14ac:dyDescent="0.2">
      <c r="W5716" s="631"/>
    </row>
    <row r="5717" spans="23:23" x14ac:dyDescent="0.2">
      <c r="W5717" s="631"/>
    </row>
    <row r="5718" spans="23:23" x14ac:dyDescent="0.2">
      <c r="W5718" s="631"/>
    </row>
    <row r="5719" spans="23:23" x14ac:dyDescent="0.2">
      <c r="W5719" s="631"/>
    </row>
    <row r="5720" spans="23:23" x14ac:dyDescent="0.2">
      <c r="W5720" s="631"/>
    </row>
    <row r="5721" spans="23:23" x14ac:dyDescent="0.2">
      <c r="W5721" s="631"/>
    </row>
    <row r="5722" spans="23:23" x14ac:dyDescent="0.2">
      <c r="W5722" s="631"/>
    </row>
    <row r="5723" spans="23:23" x14ac:dyDescent="0.2">
      <c r="W5723" s="631"/>
    </row>
    <row r="5724" spans="23:23" x14ac:dyDescent="0.2">
      <c r="W5724" s="631"/>
    </row>
    <row r="5725" spans="23:23" x14ac:dyDescent="0.2">
      <c r="W5725" s="631"/>
    </row>
    <row r="5726" spans="23:23" x14ac:dyDescent="0.2">
      <c r="W5726" s="631"/>
    </row>
    <row r="5727" spans="23:23" x14ac:dyDescent="0.2">
      <c r="W5727" s="631"/>
    </row>
    <row r="5728" spans="23:23" x14ac:dyDescent="0.2">
      <c r="W5728" s="631"/>
    </row>
    <row r="5729" spans="23:23" x14ac:dyDescent="0.2">
      <c r="W5729" s="631"/>
    </row>
    <row r="5730" spans="23:23" x14ac:dyDescent="0.2">
      <c r="W5730" s="631"/>
    </row>
    <row r="5731" spans="23:23" x14ac:dyDescent="0.2">
      <c r="W5731" s="631"/>
    </row>
    <row r="5732" spans="23:23" x14ac:dyDescent="0.2">
      <c r="W5732" s="631"/>
    </row>
    <row r="5733" spans="23:23" x14ac:dyDescent="0.2">
      <c r="W5733" s="631"/>
    </row>
    <row r="5734" spans="23:23" x14ac:dyDescent="0.2">
      <c r="W5734" s="631"/>
    </row>
    <row r="5735" spans="23:23" x14ac:dyDescent="0.2">
      <c r="W5735" s="631"/>
    </row>
    <row r="5736" spans="23:23" x14ac:dyDescent="0.2">
      <c r="W5736" s="631"/>
    </row>
    <row r="5737" spans="23:23" x14ac:dyDescent="0.2">
      <c r="W5737" s="631"/>
    </row>
    <row r="5738" spans="23:23" x14ac:dyDescent="0.2">
      <c r="W5738" s="631"/>
    </row>
    <row r="5739" spans="23:23" x14ac:dyDescent="0.2">
      <c r="W5739" s="631"/>
    </row>
    <row r="5740" spans="23:23" x14ac:dyDescent="0.2">
      <c r="W5740" s="631"/>
    </row>
    <row r="5741" spans="23:23" x14ac:dyDescent="0.2">
      <c r="W5741" s="631"/>
    </row>
    <row r="5742" spans="23:23" x14ac:dyDescent="0.2">
      <c r="W5742" s="631"/>
    </row>
    <row r="5743" spans="23:23" x14ac:dyDescent="0.2">
      <c r="W5743" s="631"/>
    </row>
    <row r="5744" spans="23:23" x14ac:dyDescent="0.2">
      <c r="W5744" s="631"/>
    </row>
    <row r="5745" spans="23:23" x14ac:dyDescent="0.2">
      <c r="W5745" s="631"/>
    </row>
    <row r="5746" spans="23:23" x14ac:dyDescent="0.2">
      <c r="W5746" s="631"/>
    </row>
    <row r="5747" spans="23:23" x14ac:dyDescent="0.2">
      <c r="W5747" s="631"/>
    </row>
    <row r="5748" spans="23:23" x14ac:dyDescent="0.2">
      <c r="W5748" s="631"/>
    </row>
    <row r="5749" spans="23:23" x14ac:dyDescent="0.2">
      <c r="W5749" s="631"/>
    </row>
    <row r="5750" spans="23:23" x14ac:dyDescent="0.2">
      <c r="W5750" s="631"/>
    </row>
    <row r="5751" spans="23:23" x14ac:dyDescent="0.2">
      <c r="W5751" s="631"/>
    </row>
    <row r="5752" spans="23:23" x14ac:dyDescent="0.2">
      <c r="W5752" s="631"/>
    </row>
    <row r="5753" spans="23:23" x14ac:dyDescent="0.2">
      <c r="W5753" s="631"/>
    </row>
    <row r="5754" spans="23:23" x14ac:dyDescent="0.2">
      <c r="W5754" s="631"/>
    </row>
    <row r="5755" spans="23:23" x14ac:dyDescent="0.2">
      <c r="W5755" s="631"/>
    </row>
    <row r="5756" spans="23:23" x14ac:dyDescent="0.2">
      <c r="W5756" s="631"/>
    </row>
    <row r="5757" spans="23:23" x14ac:dyDescent="0.2">
      <c r="W5757" s="631"/>
    </row>
    <row r="5758" spans="23:23" x14ac:dyDescent="0.2">
      <c r="W5758" s="631"/>
    </row>
    <row r="5759" spans="23:23" x14ac:dyDescent="0.2">
      <c r="W5759" s="631"/>
    </row>
    <row r="5760" spans="23:23" x14ac:dyDescent="0.2">
      <c r="W5760" s="631"/>
    </row>
    <row r="5761" spans="23:23" x14ac:dyDescent="0.2">
      <c r="W5761" s="631"/>
    </row>
    <row r="5762" spans="23:23" x14ac:dyDescent="0.2">
      <c r="W5762" s="631"/>
    </row>
    <row r="5763" spans="23:23" x14ac:dyDescent="0.2">
      <c r="W5763" s="631"/>
    </row>
    <row r="5764" spans="23:23" x14ac:dyDescent="0.2">
      <c r="W5764" s="631"/>
    </row>
    <row r="5765" spans="23:23" x14ac:dyDescent="0.2">
      <c r="W5765" s="631"/>
    </row>
    <row r="5766" spans="23:23" x14ac:dyDescent="0.2">
      <c r="W5766" s="631"/>
    </row>
    <row r="5767" spans="23:23" x14ac:dyDescent="0.2">
      <c r="W5767" s="631"/>
    </row>
    <row r="5768" spans="23:23" x14ac:dyDescent="0.2">
      <c r="W5768" s="631"/>
    </row>
    <row r="5769" spans="23:23" x14ac:dyDescent="0.2">
      <c r="W5769" s="631"/>
    </row>
    <row r="5770" spans="23:23" x14ac:dyDescent="0.2">
      <c r="W5770" s="631"/>
    </row>
    <row r="5771" spans="23:23" x14ac:dyDescent="0.2">
      <c r="W5771" s="631"/>
    </row>
    <row r="5772" spans="23:23" x14ac:dyDescent="0.2">
      <c r="W5772" s="631"/>
    </row>
    <row r="5773" spans="23:23" x14ac:dyDescent="0.2">
      <c r="W5773" s="631"/>
    </row>
    <row r="5774" spans="23:23" x14ac:dyDescent="0.2">
      <c r="W5774" s="631"/>
    </row>
    <row r="5775" spans="23:23" x14ac:dyDescent="0.2">
      <c r="W5775" s="631"/>
    </row>
    <row r="5776" spans="23:23" x14ac:dyDescent="0.2">
      <c r="W5776" s="631"/>
    </row>
    <row r="5777" spans="23:23" x14ac:dyDescent="0.2">
      <c r="W5777" s="631"/>
    </row>
    <row r="5778" spans="23:23" x14ac:dyDescent="0.2">
      <c r="W5778" s="631"/>
    </row>
    <row r="5779" spans="23:23" x14ac:dyDescent="0.2">
      <c r="W5779" s="631"/>
    </row>
    <row r="5780" spans="23:23" x14ac:dyDescent="0.2">
      <c r="W5780" s="631"/>
    </row>
    <row r="5781" spans="23:23" x14ac:dyDescent="0.2">
      <c r="W5781" s="631"/>
    </row>
    <row r="5782" spans="23:23" x14ac:dyDescent="0.2">
      <c r="W5782" s="631"/>
    </row>
    <row r="5783" spans="23:23" x14ac:dyDescent="0.2">
      <c r="W5783" s="631"/>
    </row>
    <row r="5784" spans="23:23" x14ac:dyDescent="0.2">
      <c r="W5784" s="631"/>
    </row>
    <row r="5785" spans="23:23" x14ac:dyDescent="0.2">
      <c r="W5785" s="631"/>
    </row>
    <row r="5786" spans="23:23" x14ac:dyDescent="0.2">
      <c r="W5786" s="631"/>
    </row>
    <row r="5787" spans="23:23" x14ac:dyDescent="0.2">
      <c r="W5787" s="631"/>
    </row>
    <row r="5788" spans="23:23" x14ac:dyDescent="0.2">
      <c r="W5788" s="631"/>
    </row>
    <row r="5789" spans="23:23" x14ac:dyDescent="0.2">
      <c r="W5789" s="631"/>
    </row>
    <row r="5790" spans="23:23" x14ac:dyDescent="0.2">
      <c r="W5790" s="631"/>
    </row>
    <row r="5791" spans="23:23" x14ac:dyDescent="0.2">
      <c r="W5791" s="631"/>
    </row>
    <row r="5792" spans="23:23" x14ac:dyDescent="0.2">
      <c r="W5792" s="631"/>
    </row>
    <row r="5793" spans="23:23" x14ac:dyDescent="0.2">
      <c r="W5793" s="631"/>
    </row>
    <row r="5794" spans="23:23" x14ac:dyDescent="0.2">
      <c r="W5794" s="631"/>
    </row>
    <row r="5795" spans="23:23" x14ac:dyDescent="0.2">
      <c r="W5795" s="631"/>
    </row>
    <row r="5796" spans="23:23" x14ac:dyDescent="0.2">
      <c r="W5796" s="631"/>
    </row>
    <row r="5797" spans="23:23" x14ac:dyDescent="0.2">
      <c r="W5797" s="631"/>
    </row>
    <row r="5798" spans="23:23" x14ac:dyDescent="0.2">
      <c r="W5798" s="631"/>
    </row>
    <row r="5799" spans="23:23" x14ac:dyDescent="0.2">
      <c r="W5799" s="631"/>
    </row>
    <row r="5800" spans="23:23" x14ac:dyDescent="0.2">
      <c r="W5800" s="631"/>
    </row>
    <row r="5801" spans="23:23" x14ac:dyDescent="0.2">
      <c r="W5801" s="631"/>
    </row>
    <row r="5802" spans="23:23" x14ac:dyDescent="0.2">
      <c r="W5802" s="631"/>
    </row>
    <row r="5803" spans="23:23" x14ac:dyDescent="0.2">
      <c r="W5803" s="631"/>
    </row>
    <row r="5804" spans="23:23" x14ac:dyDescent="0.2">
      <c r="W5804" s="631"/>
    </row>
    <row r="5805" spans="23:23" x14ac:dyDescent="0.2">
      <c r="W5805" s="631"/>
    </row>
    <row r="5806" spans="23:23" x14ac:dyDescent="0.2">
      <c r="W5806" s="631"/>
    </row>
    <row r="5807" spans="23:23" x14ac:dyDescent="0.2">
      <c r="W5807" s="631"/>
    </row>
    <row r="5808" spans="23:23" x14ac:dyDescent="0.2">
      <c r="W5808" s="631"/>
    </row>
    <row r="5809" spans="23:23" x14ac:dyDescent="0.2">
      <c r="W5809" s="631"/>
    </row>
    <row r="5810" spans="23:23" x14ac:dyDescent="0.2">
      <c r="W5810" s="631"/>
    </row>
    <row r="5811" spans="23:23" x14ac:dyDescent="0.2">
      <c r="W5811" s="631"/>
    </row>
    <row r="5812" spans="23:23" x14ac:dyDescent="0.2">
      <c r="W5812" s="631"/>
    </row>
    <row r="5813" spans="23:23" x14ac:dyDescent="0.2">
      <c r="W5813" s="631"/>
    </row>
    <row r="5814" spans="23:23" x14ac:dyDescent="0.2">
      <c r="W5814" s="631"/>
    </row>
    <row r="5815" spans="23:23" x14ac:dyDescent="0.2">
      <c r="W5815" s="631"/>
    </row>
    <row r="5816" spans="23:23" x14ac:dyDescent="0.2">
      <c r="W5816" s="631"/>
    </row>
    <row r="5817" spans="23:23" x14ac:dyDescent="0.2">
      <c r="W5817" s="631"/>
    </row>
    <row r="5818" spans="23:23" x14ac:dyDescent="0.2">
      <c r="W5818" s="631"/>
    </row>
    <row r="5819" spans="23:23" x14ac:dyDescent="0.2">
      <c r="W5819" s="631"/>
    </row>
    <row r="5820" spans="23:23" x14ac:dyDescent="0.2">
      <c r="W5820" s="631"/>
    </row>
    <row r="5821" spans="23:23" x14ac:dyDescent="0.2">
      <c r="W5821" s="631"/>
    </row>
    <row r="5822" spans="23:23" x14ac:dyDescent="0.2">
      <c r="W5822" s="631"/>
    </row>
    <row r="5823" spans="23:23" x14ac:dyDescent="0.2">
      <c r="W5823" s="631"/>
    </row>
    <row r="5824" spans="23:23" x14ac:dyDescent="0.2">
      <c r="W5824" s="631"/>
    </row>
    <row r="5825" spans="23:23" x14ac:dyDescent="0.2">
      <c r="W5825" s="631"/>
    </row>
    <row r="5826" spans="23:23" x14ac:dyDescent="0.2">
      <c r="W5826" s="631"/>
    </row>
    <row r="5827" spans="23:23" x14ac:dyDescent="0.2">
      <c r="W5827" s="631"/>
    </row>
    <row r="5828" spans="23:23" x14ac:dyDescent="0.2">
      <c r="W5828" s="631"/>
    </row>
    <row r="5829" spans="23:23" x14ac:dyDescent="0.2">
      <c r="W5829" s="631"/>
    </row>
    <row r="5830" spans="23:23" x14ac:dyDescent="0.2">
      <c r="W5830" s="631"/>
    </row>
    <row r="5831" spans="23:23" x14ac:dyDescent="0.2">
      <c r="W5831" s="631"/>
    </row>
    <row r="5832" spans="23:23" x14ac:dyDescent="0.2">
      <c r="W5832" s="631"/>
    </row>
    <row r="5833" spans="23:23" x14ac:dyDescent="0.2">
      <c r="W5833" s="631"/>
    </row>
    <row r="5834" spans="23:23" x14ac:dyDescent="0.2">
      <c r="W5834" s="631"/>
    </row>
    <row r="5835" spans="23:23" x14ac:dyDescent="0.2">
      <c r="W5835" s="631"/>
    </row>
    <row r="5836" spans="23:23" x14ac:dyDescent="0.2">
      <c r="W5836" s="631"/>
    </row>
    <row r="5837" spans="23:23" x14ac:dyDescent="0.2">
      <c r="W5837" s="631"/>
    </row>
    <row r="5838" spans="23:23" x14ac:dyDescent="0.2">
      <c r="W5838" s="631"/>
    </row>
    <row r="5839" spans="23:23" x14ac:dyDescent="0.2">
      <c r="W5839" s="631"/>
    </row>
    <row r="5840" spans="23:23" x14ac:dyDescent="0.2">
      <c r="W5840" s="631"/>
    </row>
    <row r="5841" spans="23:23" x14ac:dyDescent="0.2">
      <c r="W5841" s="631"/>
    </row>
    <row r="5842" spans="23:23" x14ac:dyDescent="0.2">
      <c r="W5842" s="631"/>
    </row>
    <row r="5843" spans="23:23" x14ac:dyDescent="0.2">
      <c r="W5843" s="631"/>
    </row>
    <row r="5844" spans="23:23" x14ac:dyDescent="0.2">
      <c r="W5844" s="631"/>
    </row>
    <row r="5845" spans="23:23" x14ac:dyDescent="0.2">
      <c r="W5845" s="631"/>
    </row>
    <row r="5846" spans="23:23" x14ac:dyDescent="0.2">
      <c r="W5846" s="631"/>
    </row>
    <row r="5847" spans="23:23" x14ac:dyDescent="0.2">
      <c r="W5847" s="631"/>
    </row>
    <row r="5848" spans="23:23" x14ac:dyDescent="0.2">
      <c r="W5848" s="631"/>
    </row>
    <row r="5849" spans="23:23" x14ac:dyDescent="0.2">
      <c r="W5849" s="631"/>
    </row>
    <row r="5850" spans="23:23" x14ac:dyDescent="0.2">
      <c r="W5850" s="631"/>
    </row>
    <row r="5851" spans="23:23" x14ac:dyDescent="0.2">
      <c r="W5851" s="631"/>
    </row>
    <row r="5852" spans="23:23" x14ac:dyDescent="0.2">
      <c r="W5852" s="631"/>
    </row>
    <row r="5853" spans="23:23" x14ac:dyDescent="0.2">
      <c r="W5853" s="631"/>
    </row>
    <row r="5854" spans="23:23" x14ac:dyDescent="0.2">
      <c r="W5854" s="631"/>
    </row>
    <row r="5855" spans="23:23" x14ac:dyDescent="0.2">
      <c r="W5855" s="631"/>
    </row>
    <row r="5856" spans="23:23" x14ac:dyDescent="0.2">
      <c r="W5856" s="631"/>
    </row>
    <row r="5857" spans="23:23" x14ac:dyDescent="0.2">
      <c r="W5857" s="631"/>
    </row>
    <row r="5858" spans="23:23" x14ac:dyDescent="0.2">
      <c r="W5858" s="631"/>
    </row>
    <row r="5859" spans="23:23" x14ac:dyDescent="0.2">
      <c r="W5859" s="631"/>
    </row>
    <row r="5860" spans="23:23" x14ac:dyDescent="0.2">
      <c r="W5860" s="631"/>
    </row>
    <row r="5861" spans="23:23" x14ac:dyDescent="0.2">
      <c r="W5861" s="631"/>
    </row>
    <row r="5862" spans="23:23" x14ac:dyDescent="0.2">
      <c r="W5862" s="631"/>
    </row>
    <row r="5863" spans="23:23" x14ac:dyDescent="0.2">
      <c r="W5863" s="631"/>
    </row>
    <row r="5864" spans="23:23" x14ac:dyDescent="0.2">
      <c r="W5864" s="631"/>
    </row>
    <row r="5865" spans="23:23" x14ac:dyDescent="0.2">
      <c r="W5865" s="631"/>
    </row>
    <row r="5866" spans="23:23" x14ac:dyDescent="0.2">
      <c r="W5866" s="631"/>
    </row>
    <row r="5867" spans="23:23" x14ac:dyDescent="0.2">
      <c r="W5867" s="631"/>
    </row>
    <row r="5868" spans="23:23" x14ac:dyDescent="0.2">
      <c r="W5868" s="631"/>
    </row>
    <row r="5869" spans="23:23" x14ac:dyDescent="0.2">
      <c r="W5869" s="631"/>
    </row>
    <row r="5870" spans="23:23" x14ac:dyDescent="0.2">
      <c r="W5870" s="631"/>
    </row>
    <row r="5871" spans="23:23" x14ac:dyDescent="0.2">
      <c r="W5871" s="631"/>
    </row>
    <row r="5872" spans="23:23" x14ac:dyDescent="0.2">
      <c r="W5872" s="631"/>
    </row>
    <row r="5873" spans="23:23" x14ac:dyDescent="0.2">
      <c r="W5873" s="631"/>
    </row>
    <row r="5874" spans="23:23" x14ac:dyDescent="0.2">
      <c r="W5874" s="631"/>
    </row>
    <row r="5875" spans="23:23" x14ac:dyDescent="0.2">
      <c r="W5875" s="631"/>
    </row>
    <row r="5876" spans="23:23" x14ac:dyDescent="0.2">
      <c r="W5876" s="631"/>
    </row>
    <row r="5877" spans="23:23" x14ac:dyDescent="0.2">
      <c r="W5877" s="631"/>
    </row>
    <row r="5878" spans="23:23" x14ac:dyDescent="0.2">
      <c r="W5878" s="631"/>
    </row>
    <row r="5879" spans="23:23" x14ac:dyDescent="0.2">
      <c r="W5879" s="631"/>
    </row>
    <row r="5880" spans="23:23" x14ac:dyDescent="0.2">
      <c r="W5880" s="631"/>
    </row>
    <row r="5881" spans="23:23" x14ac:dyDescent="0.2">
      <c r="W5881" s="631"/>
    </row>
    <row r="5882" spans="23:23" x14ac:dyDescent="0.2">
      <c r="W5882" s="631"/>
    </row>
    <row r="5883" spans="23:23" x14ac:dyDescent="0.2">
      <c r="W5883" s="631"/>
    </row>
    <row r="5884" spans="23:23" x14ac:dyDescent="0.2">
      <c r="W5884" s="631"/>
    </row>
    <row r="5885" spans="23:23" x14ac:dyDescent="0.2">
      <c r="W5885" s="631"/>
    </row>
    <row r="5886" spans="23:23" x14ac:dyDescent="0.2">
      <c r="W5886" s="631"/>
    </row>
    <row r="5887" spans="23:23" x14ac:dyDescent="0.2">
      <c r="W5887" s="631"/>
    </row>
    <row r="5888" spans="23:23" x14ac:dyDescent="0.2">
      <c r="W5888" s="631"/>
    </row>
    <row r="5889" spans="23:23" x14ac:dyDescent="0.2">
      <c r="W5889" s="631"/>
    </row>
    <row r="5890" spans="23:23" x14ac:dyDescent="0.2">
      <c r="W5890" s="631"/>
    </row>
    <row r="5891" spans="23:23" x14ac:dyDescent="0.2">
      <c r="W5891" s="631"/>
    </row>
    <row r="5892" spans="23:23" x14ac:dyDescent="0.2">
      <c r="W5892" s="631"/>
    </row>
    <row r="5893" spans="23:23" x14ac:dyDescent="0.2">
      <c r="W5893" s="631"/>
    </row>
    <row r="5894" spans="23:23" x14ac:dyDescent="0.2">
      <c r="W5894" s="631"/>
    </row>
    <row r="5895" spans="23:23" x14ac:dyDescent="0.2">
      <c r="W5895" s="631"/>
    </row>
    <row r="5896" spans="23:23" x14ac:dyDescent="0.2">
      <c r="W5896" s="631"/>
    </row>
    <row r="5897" spans="23:23" x14ac:dyDescent="0.2">
      <c r="W5897" s="631"/>
    </row>
    <row r="5898" spans="23:23" x14ac:dyDescent="0.2">
      <c r="W5898" s="631"/>
    </row>
    <row r="5899" spans="23:23" x14ac:dyDescent="0.2">
      <c r="W5899" s="631"/>
    </row>
    <row r="5900" spans="23:23" x14ac:dyDescent="0.2">
      <c r="W5900" s="631"/>
    </row>
    <row r="5901" spans="23:23" x14ac:dyDescent="0.2">
      <c r="W5901" s="631"/>
    </row>
    <row r="5902" spans="23:23" x14ac:dyDescent="0.2">
      <c r="W5902" s="631"/>
    </row>
    <row r="5903" spans="23:23" x14ac:dyDescent="0.2">
      <c r="W5903" s="631"/>
    </row>
    <row r="5904" spans="23:23" x14ac:dyDescent="0.2">
      <c r="W5904" s="631"/>
    </row>
    <row r="5905" spans="23:23" x14ac:dyDescent="0.2">
      <c r="W5905" s="631"/>
    </row>
    <row r="5906" spans="23:23" x14ac:dyDescent="0.2">
      <c r="W5906" s="631"/>
    </row>
    <row r="5907" spans="23:23" x14ac:dyDescent="0.2">
      <c r="W5907" s="631"/>
    </row>
    <row r="5908" spans="23:23" x14ac:dyDescent="0.2">
      <c r="W5908" s="631"/>
    </row>
    <row r="5909" spans="23:23" x14ac:dyDescent="0.2">
      <c r="W5909" s="631"/>
    </row>
    <row r="5910" spans="23:23" x14ac:dyDescent="0.2">
      <c r="W5910" s="631"/>
    </row>
    <row r="5911" spans="23:23" x14ac:dyDescent="0.2">
      <c r="W5911" s="631"/>
    </row>
    <row r="5912" spans="23:23" x14ac:dyDescent="0.2">
      <c r="W5912" s="631"/>
    </row>
    <row r="5913" spans="23:23" x14ac:dyDescent="0.2">
      <c r="W5913" s="631"/>
    </row>
    <row r="5914" spans="23:23" x14ac:dyDescent="0.2">
      <c r="W5914" s="631"/>
    </row>
    <row r="5915" spans="23:23" x14ac:dyDescent="0.2">
      <c r="W5915" s="631"/>
    </row>
    <row r="5916" spans="23:23" x14ac:dyDescent="0.2">
      <c r="W5916" s="631"/>
    </row>
    <row r="5917" spans="23:23" x14ac:dyDescent="0.2">
      <c r="W5917" s="631"/>
    </row>
    <row r="5918" spans="23:23" x14ac:dyDescent="0.2">
      <c r="W5918" s="631"/>
    </row>
    <row r="5919" spans="23:23" x14ac:dyDescent="0.2">
      <c r="W5919" s="631"/>
    </row>
    <row r="5920" spans="23:23" x14ac:dyDescent="0.2">
      <c r="W5920" s="631"/>
    </row>
    <row r="5921" spans="23:23" x14ac:dyDescent="0.2">
      <c r="W5921" s="631"/>
    </row>
    <row r="5922" spans="23:23" x14ac:dyDescent="0.2">
      <c r="W5922" s="631"/>
    </row>
    <row r="5923" spans="23:23" x14ac:dyDescent="0.2">
      <c r="W5923" s="631"/>
    </row>
    <row r="5924" spans="23:23" x14ac:dyDescent="0.2">
      <c r="W5924" s="631"/>
    </row>
    <row r="5925" spans="23:23" x14ac:dyDescent="0.2">
      <c r="W5925" s="631"/>
    </row>
    <row r="5926" spans="23:23" x14ac:dyDescent="0.2">
      <c r="W5926" s="631"/>
    </row>
    <row r="5927" spans="23:23" x14ac:dyDescent="0.2">
      <c r="W5927" s="631"/>
    </row>
    <row r="5928" spans="23:23" x14ac:dyDescent="0.2">
      <c r="W5928" s="631"/>
    </row>
    <row r="5929" spans="23:23" x14ac:dyDescent="0.2">
      <c r="W5929" s="631"/>
    </row>
    <row r="5930" spans="23:23" x14ac:dyDescent="0.2">
      <c r="W5930" s="631"/>
    </row>
    <row r="5931" spans="23:23" x14ac:dyDescent="0.2">
      <c r="W5931" s="631"/>
    </row>
    <row r="5932" spans="23:23" x14ac:dyDescent="0.2">
      <c r="W5932" s="631"/>
    </row>
    <row r="5933" spans="23:23" x14ac:dyDescent="0.2">
      <c r="W5933" s="631"/>
    </row>
    <row r="5934" spans="23:23" x14ac:dyDescent="0.2">
      <c r="W5934" s="631"/>
    </row>
    <row r="5935" spans="23:23" x14ac:dyDescent="0.2">
      <c r="W5935" s="631"/>
    </row>
    <row r="5936" spans="23:23" x14ac:dyDescent="0.2">
      <c r="W5936" s="631"/>
    </row>
    <row r="5937" spans="23:23" x14ac:dyDescent="0.2">
      <c r="W5937" s="631"/>
    </row>
    <row r="5938" spans="23:23" x14ac:dyDescent="0.2">
      <c r="W5938" s="631"/>
    </row>
    <row r="5939" spans="23:23" x14ac:dyDescent="0.2">
      <c r="W5939" s="631"/>
    </row>
    <row r="5940" spans="23:23" x14ac:dyDescent="0.2">
      <c r="W5940" s="631"/>
    </row>
    <row r="5941" spans="23:23" x14ac:dyDescent="0.2">
      <c r="W5941" s="631"/>
    </row>
    <row r="5942" spans="23:23" x14ac:dyDescent="0.2">
      <c r="W5942" s="631"/>
    </row>
    <row r="5943" spans="23:23" x14ac:dyDescent="0.2">
      <c r="W5943" s="631"/>
    </row>
    <row r="5944" spans="23:23" x14ac:dyDescent="0.2">
      <c r="W5944" s="631"/>
    </row>
    <row r="5945" spans="23:23" x14ac:dyDescent="0.2">
      <c r="W5945" s="631"/>
    </row>
    <row r="5946" spans="23:23" x14ac:dyDescent="0.2">
      <c r="W5946" s="631"/>
    </row>
    <row r="5947" spans="23:23" x14ac:dyDescent="0.2">
      <c r="W5947" s="631"/>
    </row>
    <row r="5948" spans="23:23" x14ac:dyDescent="0.2">
      <c r="W5948" s="631"/>
    </row>
    <row r="5949" spans="23:23" x14ac:dyDescent="0.2">
      <c r="W5949" s="631"/>
    </row>
    <row r="5950" spans="23:23" x14ac:dyDescent="0.2">
      <c r="W5950" s="631"/>
    </row>
    <row r="5951" spans="23:23" x14ac:dyDescent="0.2">
      <c r="W5951" s="631"/>
    </row>
    <row r="5952" spans="23:23" x14ac:dyDescent="0.2">
      <c r="W5952" s="631"/>
    </row>
    <row r="5953" spans="23:23" x14ac:dyDescent="0.2">
      <c r="W5953" s="631"/>
    </row>
    <row r="5954" spans="23:23" x14ac:dyDescent="0.2">
      <c r="W5954" s="631"/>
    </row>
    <row r="5955" spans="23:23" x14ac:dyDescent="0.2">
      <c r="W5955" s="631"/>
    </row>
    <row r="5956" spans="23:23" x14ac:dyDescent="0.2">
      <c r="W5956" s="631"/>
    </row>
    <row r="5957" spans="23:23" x14ac:dyDescent="0.2">
      <c r="W5957" s="631"/>
    </row>
    <row r="5958" spans="23:23" x14ac:dyDescent="0.2">
      <c r="W5958" s="631"/>
    </row>
    <row r="5959" spans="23:23" x14ac:dyDescent="0.2">
      <c r="W5959" s="631"/>
    </row>
    <row r="5960" spans="23:23" x14ac:dyDescent="0.2">
      <c r="W5960" s="631"/>
    </row>
    <row r="5961" spans="23:23" x14ac:dyDescent="0.2">
      <c r="W5961" s="631"/>
    </row>
    <row r="5962" spans="23:23" x14ac:dyDescent="0.2">
      <c r="W5962" s="631"/>
    </row>
    <row r="5963" spans="23:23" x14ac:dyDescent="0.2">
      <c r="W5963" s="631"/>
    </row>
    <row r="5964" spans="23:23" x14ac:dyDescent="0.2">
      <c r="W5964" s="631"/>
    </row>
    <row r="5965" spans="23:23" x14ac:dyDescent="0.2">
      <c r="W5965" s="631"/>
    </row>
    <row r="5966" spans="23:23" x14ac:dyDescent="0.2">
      <c r="W5966" s="631"/>
    </row>
    <row r="5967" spans="23:23" x14ac:dyDescent="0.2">
      <c r="W5967" s="631"/>
    </row>
    <row r="5968" spans="23:23" x14ac:dyDescent="0.2">
      <c r="W5968" s="631"/>
    </row>
    <row r="5969" spans="23:23" x14ac:dyDescent="0.2">
      <c r="W5969" s="631"/>
    </row>
    <row r="5970" spans="23:23" x14ac:dyDescent="0.2">
      <c r="W5970" s="631"/>
    </row>
    <row r="5971" spans="23:23" x14ac:dyDescent="0.2">
      <c r="W5971" s="631"/>
    </row>
    <row r="5972" spans="23:23" x14ac:dyDescent="0.2">
      <c r="W5972" s="631"/>
    </row>
    <row r="5973" spans="23:23" x14ac:dyDescent="0.2">
      <c r="W5973" s="631"/>
    </row>
    <row r="5974" spans="23:23" x14ac:dyDescent="0.2">
      <c r="W5974" s="631"/>
    </row>
    <row r="5975" spans="23:23" x14ac:dyDescent="0.2">
      <c r="W5975" s="631"/>
    </row>
    <row r="5976" spans="23:23" x14ac:dyDescent="0.2">
      <c r="W5976" s="631"/>
    </row>
    <row r="5977" spans="23:23" x14ac:dyDescent="0.2">
      <c r="W5977" s="631"/>
    </row>
    <row r="5978" spans="23:23" x14ac:dyDescent="0.2">
      <c r="W5978" s="631"/>
    </row>
    <row r="5979" spans="23:23" x14ac:dyDescent="0.2">
      <c r="W5979" s="631"/>
    </row>
    <row r="5980" spans="23:23" x14ac:dyDescent="0.2">
      <c r="W5980" s="631"/>
    </row>
    <row r="5981" spans="23:23" x14ac:dyDescent="0.2">
      <c r="W5981" s="631"/>
    </row>
    <row r="5982" spans="23:23" x14ac:dyDescent="0.2">
      <c r="W5982" s="631"/>
    </row>
    <row r="5983" spans="23:23" x14ac:dyDescent="0.2">
      <c r="W5983" s="631"/>
    </row>
    <row r="5984" spans="23:23" x14ac:dyDescent="0.2">
      <c r="W5984" s="631"/>
    </row>
    <row r="5985" spans="23:23" x14ac:dyDescent="0.2">
      <c r="W5985" s="631"/>
    </row>
    <row r="5986" spans="23:23" x14ac:dyDescent="0.2">
      <c r="W5986" s="631"/>
    </row>
    <row r="5987" spans="23:23" x14ac:dyDescent="0.2">
      <c r="W5987" s="631"/>
    </row>
    <row r="5988" spans="23:23" x14ac:dyDescent="0.2">
      <c r="W5988" s="631"/>
    </row>
    <row r="5989" spans="23:23" x14ac:dyDescent="0.2">
      <c r="W5989" s="631"/>
    </row>
    <row r="5990" spans="23:23" x14ac:dyDescent="0.2">
      <c r="W5990" s="631"/>
    </row>
    <row r="5991" spans="23:23" x14ac:dyDescent="0.2">
      <c r="W5991" s="631"/>
    </row>
    <row r="5992" spans="23:23" x14ac:dyDescent="0.2">
      <c r="W5992" s="631"/>
    </row>
    <row r="5993" spans="23:23" x14ac:dyDescent="0.2">
      <c r="W5993" s="631"/>
    </row>
    <row r="5994" spans="23:23" x14ac:dyDescent="0.2">
      <c r="W5994" s="631"/>
    </row>
    <row r="5995" spans="23:23" x14ac:dyDescent="0.2">
      <c r="W5995" s="631"/>
    </row>
    <row r="5996" spans="23:23" x14ac:dyDescent="0.2">
      <c r="W5996" s="631"/>
    </row>
    <row r="5997" spans="23:23" x14ac:dyDescent="0.2">
      <c r="W5997" s="631"/>
    </row>
    <row r="5998" spans="23:23" x14ac:dyDescent="0.2">
      <c r="W5998" s="631"/>
    </row>
    <row r="5999" spans="23:23" x14ac:dyDescent="0.2">
      <c r="W5999" s="631"/>
    </row>
    <row r="6000" spans="23:23" x14ac:dyDescent="0.2">
      <c r="W6000" s="631"/>
    </row>
    <row r="6001" spans="23:23" x14ac:dyDescent="0.2">
      <c r="W6001" s="631"/>
    </row>
    <row r="6002" spans="23:23" x14ac:dyDescent="0.2">
      <c r="W6002" s="631"/>
    </row>
    <row r="6003" spans="23:23" x14ac:dyDescent="0.2">
      <c r="W6003" s="631"/>
    </row>
    <row r="6004" spans="23:23" x14ac:dyDescent="0.2">
      <c r="W6004" s="631"/>
    </row>
    <row r="6005" spans="23:23" x14ac:dyDescent="0.2">
      <c r="W6005" s="631"/>
    </row>
    <row r="6006" spans="23:23" x14ac:dyDescent="0.2">
      <c r="W6006" s="631"/>
    </row>
    <row r="6007" spans="23:23" x14ac:dyDescent="0.2">
      <c r="W6007" s="631"/>
    </row>
  </sheetData>
  <sheetProtection algorithmName="SHA-512" hashValue="oDPT/cyLzYbM1OoMDGOARnoj4sEDEVDnxbM+epgPx9/dAOX0tn/ya4T9w1XCaD9FLZmzUWzl99oKBCRszRPFqQ==" saltValue="nUEFiQSzC958WcnVdSroFA==" spinCount="100000" sheet="1" objects="1" scenarios="1"/>
  <mergeCells count="6">
    <mergeCell ref="S205:U205"/>
    <mergeCell ref="S141:U141"/>
    <mergeCell ref="S173:U173"/>
    <mergeCell ref="S45:U45"/>
    <mergeCell ref="S77:U77"/>
    <mergeCell ref="S109:U109"/>
  </mergeCells>
  <phoneticPr fontId="0" type="noConversion"/>
  <dataValidations count="3">
    <dataValidation type="list" allowBlank="1" showInputMessage="1" showErrorMessage="1" sqref="I71:I75">
      <formula1>"LIOa,LIOb,J1,J2,J3,J4,J5,J6,1,2,3,4,5,6,7,8,9,10,11,12,13,14,15,LA,LB,LC,LD,LE,ID1,ID2,ID3"</formula1>
    </dataValidation>
    <dataValidation type="list" allowBlank="1" showInputMessage="1" showErrorMessage="1" sqref="I38:I43 I8:I10">
      <formula1>"LA,LB,LC,LD,LE"</formula1>
    </dataValidation>
    <dataValidation type="list" allowBlank="1" showInputMessage="1" showErrorMessage="1" sqref="I177:I196 I209:I228 I16:I35 I49:I68 I81:I100 I113:I132 I145:I164">
      <formula1>$D$240:$D$275</formula1>
    </dataValidation>
  </dataValidations>
  <pageMargins left="0.74803149606299213" right="0.74803149606299213" top="0.98425196850393704" bottom="0.98425196850393704" header="0.51181102362204722" footer="0.51181102362204722"/>
  <pageSetup paperSize="9" scale="51" orientation="landscape" r:id="rId1"/>
  <headerFooter alignWithMargins="0">
    <oddHeader>&amp;L&amp;"Arial,Vet"&amp;F&amp;R&amp;"Arial,Vet"&amp;A</oddHeader>
    <oddFooter>&amp;L&amp;"Arial,Vet"keizer / goedhart&amp;C&amp;"Arial,Vet"pagina &amp;P&amp;R&amp;"Arial,Vet"&amp;D</oddFooter>
  </headerFooter>
  <colBreaks count="1" manualBreakCount="1">
    <brk id="30" min="1" max="17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23</vt:i4>
      </vt:variant>
      <vt:variant>
        <vt:lpstr>Benoemde bereiken</vt:lpstr>
      </vt:variant>
      <vt:variant>
        <vt:i4>36</vt:i4>
      </vt:variant>
    </vt:vector>
  </HeadingPairs>
  <TitlesOfParts>
    <vt:vector size="59" baseType="lpstr">
      <vt:lpstr>toel</vt:lpstr>
      <vt:lpstr>geg LO</vt:lpstr>
      <vt:lpstr>geg ZO</vt:lpstr>
      <vt:lpstr>herbest</vt:lpstr>
      <vt:lpstr>pers</vt:lpstr>
      <vt:lpstr>peild SBO</vt:lpstr>
      <vt:lpstr>overdr SO</vt:lpstr>
      <vt:lpstr>peild SO</vt:lpstr>
      <vt:lpstr>sal pers SWV</vt:lpstr>
      <vt:lpstr>mat</vt:lpstr>
      <vt:lpstr>project</vt:lpstr>
      <vt:lpstr>mip</vt:lpstr>
      <vt:lpstr>act</vt:lpstr>
      <vt:lpstr>begr</vt:lpstr>
      <vt:lpstr>bal</vt:lpstr>
      <vt:lpstr>liq</vt:lpstr>
      <vt:lpstr>ken</vt:lpstr>
      <vt:lpstr>graf</vt:lpstr>
      <vt:lpstr>tab</vt:lpstr>
      <vt:lpstr>SBO</vt:lpstr>
      <vt:lpstr>bas LO</vt:lpstr>
      <vt:lpstr>bas ZO</vt:lpstr>
      <vt:lpstr>hlpbl</vt:lpstr>
      <vt:lpstr>act!Afdrukbereik</vt:lpstr>
      <vt:lpstr>bal!Afdrukbereik</vt:lpstr>
      <vt:lpstr>'bas LO'!Afdrukbereik</vt:lpstr>
      <vt:lpstr>'bas ZO'!Afdrukbereik</vt:lpstr>
      <vt:lpstr>begr!Afdrukbereik</vt:lpstr>
      <vt:lpstr>'geg LO'!Afdrukbereik</vt:lpstr>
      <vt:lpstr>'geg ZO'!Afdrukbereik</vt:lpstr>
      <vt:lpstr>graf!Afdrukbereik</vt:lpstr>
      <vt:lpstr>herbest!Afdrukbereik</vt:lpstr>
      <vt:lpstr>hlpbl!Afdrukbereik</vt:lpstr>
      <vt:lpstr>ken!Afdrukbereik</vt:lpstr>
      <vt:lpstr>liq!Afdrukbereik</vt:lpstr>
      <vt:lpstr>mat!Afdrukbereik</vt:lpstr>
      <vt:lpstr>mip!Afdrukbereik</vt:lpstr>
      <vt:lpstr>'overdr SO'!Afdrukbereik</vt:lpstr>
      <vt:lpstr>'peild SBO'!Afdrukbereik</vt:lpstr>
      <vt:lpstr>'peild SO'!Afdrukbereik</vt:lpstr>
      <vt:lpstr>pers!Afdrukbereik</vt:lpstr>
      <vt:lpstr>project!Afdrukbereik</vt:lpstr>
      <vt:lpstr>'sal pers SWV'!Afdrukbereik</vt:lpstr>
      <vt:lpstr>SBO!Afdrukbereik</vt:lpstr>
      <vt:lpstr>tab!Afdrukbereik</vt:lpstr>
      <vt:lpstr>toel!Afdrukbereik</vt:lpstr>
      <vt:lpstr>basisbedragMat</vt:lpstr>
      <vt:lpstr>basisbedragPers</vt:lpstr>
      <vt:lpstr>categorieMat</vt:lpstr>
      <vt:lpstr>categorieMat8jreo</vt:lpstr>
      <vt:lpstr>categoriePers</vt:lpstr>
      <vt:lpstr>categoriePers8jreo</vt:lpstr>
      <vt:lpstr>rugzakmatbas</vt:lpstr>
      <vt:lpstr>rugzakmatsbo</vt:lpstr>
      <vt:lpstr>rugzakpersbas</vt:lpstr>
      <vt:lpstr>rugzakperssbo</vt:lpstr>
      <vt:lpstr>tabelsalaris15</vt:lpstr>
      <vt:lpstr>tabelsalaris16</vt:lpstr>
      <vt:lpstr>verhoudingstabel_LB</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MJB SWV Passend Onderwijs PO 2014</dc:title>
  <dc:creator>Keizer/Goedhart</dc:creator>
  <cp:lastModifiedBy>B. Keizer</cp:lastModifiedBy>
  <cp:lastPrinted>2015-11-02T20:03:51Z</cp:lastPrinted>
  <dcterms:created xsi:type="dcterms:W3CDTF">2000-01-17T20:34:37Z</dcterms:created>
  <dcterms:modified xsi:type="dcterms:W3CDTF">2016-06-19T21:11:50Z</dcterms:modified>
</cp:coreProperties>
</file>